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6zn\Desktop\"/>
    </mc:Choice>
  </mc:AlternateContent>
  <xr:revisionPtr revIDLastSave="0" documentId="13_ncr:1_{F38AF116-BA1A-46BC-BA3C-A48775D32DBB}" xr6:coauthVersionLast="44" xr6:coauthVersionMax="44" xr10:uidLastSave="{00000000-0000-0000-0000-000000000000}"/>
  <bookViews>
    <workbookView xWindow="-120" yWindow="-120" windowWidth="20730" windowHeight="11160" firstSheet="16" activeTab="18" xr2:uid="{6E5A41AC-B01E-42D4-B8EE-0DE3856CB4FE}"/>
  </bookViews>
  <sheets>
    <sheet name="Querétaro" sheetId="1" r:id="rId1"/>
    <sheet name="CENSO Pirámides" sheetId="3" r:id="rId2"/>
    <sheet name="CONTEO Pirámides" sheetId="4" r:id="rId3"/>
    <sheet name="Indice de Whipple" sheetId="5" r:id="rId4"/>
    <sheet name="Indice de Myers" sheetId="6" r:id="rId5"/>
    <sheet name="Indice de Naciones Unidas" sheetId="7" r:id="rId6"/>
    <sheet name="Correción de información" sheetId="8" r:id="rId7"/>
    <sheet name="Tasas de crecimiento" sheetId="9" r:id="rId8"/>
    <sheet name="Diagramas de Lexis" sheetId="12" r:id="rId9"/>
    <sheet name="Datos de Defunciones" sheetId="14" r:id="rId10"/>
    <sheet name="Tabla de mortalidad" sheetId="13" r:id="rId11"/>
    <sheet name="TBM y TTM" sheetId="15" r:id="rId12"/>
    <sheet name="Tasas de Fecundidad" sheetId="16" state="hidden" r:id="rId13"/>
    <sheet name="Tasas de fecundidad." sheetId="17" r:id="rId14"/>
    <sheet name="Migración Hombres 2000-2005" sheetId="19" state="hidden" r:id="rId15"/>
    <sheet name="Migración Mujeres 2000-2005" sheetId="20" state="hidden" r:id="rId16"/>
    <sheet name="Migración Hombres 2005-2010" sheetId="21" r:id="rId17"/>
    <sheet name="Migración Mujeres 2005-2010" sheetId="22" r:id="rId18"/>
    <sheet name="Prospectivo y Retrospectivo" sheetId="18" r:id="rId19"/>
  </sheets>
  <definedNames>
    <definedName name="_xlnm._FilterDatabase" localSheetId="8" hidden="1">'Diagramas de Lexis'!$A$20:$A$25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7" i="18" l="1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26" i="18"/>
  <c r="F42" i="21"/>
  <c r="K43" i="21"/>
  <c r="K43" i="22"/>
  <c r="F38" i="22"/>
  <c r="K30" i="17"/>
  <c r="K56" i="17"/>
  <c r="D30" i="17"/>
  <c r="K31" i="17"/>
  <c r="K32" i="17"/>
  <c r="K33" i="17"/>
  <c r="K34" i="17"/>
  <c r="K35" i="17"/>
  <c r="K36" i="17"/>
  <c r="L30" i="17"/>
  <c r="L31" i="17"/>
  <c r="L32" i="17"/>
  <c r="L33" i="17"/>
  <c r="L34" i="17"/>
  <c r="L35" i="17"/>
  <c r="L36" i="17"/>
  <c r="M21" i="17"/>
  <c r="M22" i="17"/>
  <c r="M23" i="17"/>
  <c r="M24" i="17"/>
  <c r="M20" i="17"/>
  <c r="M25" i="17"/>
  <c r="M19" i="17"/>
  <c r="L20" i="17"/>
  <c r="L19" i="17"/>
  <c r="L25" i="17"/>
  <c r="L21" i="17"/>
  <c r="L22" i="17"/>
  <c r="L23" i="17"/>
  <c r="L24" i="17"/>
  <c r="K26" i="17"/>
  <c r="K18" i="17"/>
  <c r="J26" i="17"/>
  <c r="J18" i="17"/>
  <c r="J19" i="17"/>
  <c r="F30" i="17"/>
  <c r="E30" i="17"/>
  <c r="E31" i="17"/>
  <c r="E32" i="17"/>
  <c r="E33" i="17"/>
  <c r="E34" i="17"/>
  <c r="E35" i="17"/>
  <c r="E36" i="17"/>
  <c r="D31" i="17"/>
  <c r="D32" i="17"/>
  <c r="D33" i="17"/>
  <c r="D34" i="17"/>
  <c r="D35" i="17"/>
  <c r="D36" i="17"/>
  <c r="D44" i="17"/>
  <c r="F21" i="17" l="1"/>
  <c r="F22" i="17"/>
  <c r="F23" i="17"/>
  <c r="F24" i="17"/>
  <c r="F25" i="17"/>
  <c r="F20" i="17"/>
  <c r="F19" i="17"/>
  <c r="E21" i="17"/>
  <c r="E22" i="17"/>
  <c r="E23" i="17"/>
  <c r="E24" i="17"/>
  <c r="E25" i="17"/>
  <c r="E20" i="17"/>
  <c r="E19" i="17"/>
  <c r="D26" i="17"/>
  <c r="D18" i="17"/>
  <c r="C26" i="17"/>
  <c r="C18" i="17"/>
  <c r="C19" i="17"/>
  <c r="F8" i="17"/>
  <c r="C7" i="17"/>
  <c r="J12" i="9" l="1"/>
  <c r="F9" i="15" l="1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7" i="15"/>
  <c r="F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7" i="15"/>
  <c r="C8" i="15"/>
  <c r="K37" i="22" l="1"/>
  <c r="M8" i="16"/>
  <c r="F8" i="16"/>
  <c r="C8" i="16"/>
  <c r="C26" i="15"/>
  <c r="K37" i="21"/>
  <c r="J57" i="17"/>
  <c r="J58" i="17"/>
  <c r="J59" i="17"/>
  <c r="J60" i="17"/>
  <c r="J61" i="17"/>
  <c r="J62" i="17"/>
  <c r="J56" i="17"/>
  <c r="C57" i="17"/>
  <c r="C58" i="17"/>
  <c r="C59" i="17"/>
  <c r="C60" i="17"/>
  <c r="C61" i="17"/>
  <c r="C62" i="17"/>
  <c r="C56" i="17"/>
  <c r="F39" i="22" l="1"/>
  <c r="F40" i="20"/>
  <c r="F39" i="20"/>
  <c r="F38" i="20"/>
  <c r="F37" i="20"/>
  <c r="F36" i="20"/>
  <c r="B37" i="20"/>
  <c r="B36" i="20"/>
  <c r="B35" i="20"/>
  <c r="B39" i="21"/>
  <c r="B38" i="21"/>
  <c r="B37" i="21"/>
  <c r="B39" i="22"/>
  <c r="K40" i="22" s="1"/>
  <c r="B38" i="22"/>
  <c r="F42" i="22" s="1"/>
  <c r="B37" i="22"/>
  <c r="F41" i="22" s="1"/>
  <c r="F40" i="19"/>
  <c r="F39" i="19"/>
  <c r="F38" i="19"/>
  <c r="F37" i="19"/>
  <c r="F36" i="19"/>
  <c r="B37" i="19"/>
  <c r="B36" i="19"/>
  <c r="B35" i="19"/>
  <c r="F40" i="22" l="1"/>
  <c r="Q28" i="18"/>
  <c r="Q29" i="18"/>
  <c r="Q30" i="18"/>
  <c r="Q31" i="18"/>
  <c r="Q32" i="18"/>
  <c r="Q33" i="18"/>
  <c r="Q34" i="18"/>
  <c r="R34" i="18" s="1"/>
  <c r="Q35" i="18"/>
  <c r="Q36" i="18"/>
  <c r="Q37" i="18"/>
  <c r="Q38" i="18"/>
  <c r="R38" i="18" s="1"/>
  <c r="Q39" i="18"/>
  <c r="Q40" i="18"/>
  <c r="Q41" i="18"/>
  <c r="Q42" i="18"/>
  <c r="Q43" i="18"/>
  <c r="Q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27" i="18"/>
  <c r="P26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27" i="18"/>
  <c r="O26" i="18"/>
  <c r="U42" i="18"/>
  <c r="R42" i="18"/>
  <c r="S41" i="18" s="1"/>
  <c r="U41" i="18"/>
  <c r="R41" i="18"/>
  <c r="U40" i="18"/>
  <c r="R40" i="18"/>
  <c r="U39" i="18"/>
  <c r="U38" i="18"/>
  <c r="U37" i="18"/>
  <c r="R37" i="18"/>
  <c r="U36" i="18"/>
  <c r="R36" i="18"/>
  <c r="U35" i="18"/>
  <c r="U34" i="18"/>
  <c r="U33" i="18"/>
  <c r="R33" i="18"/>
  <c r="U32" i="18"/>
  <c r="R32" i="18"/>
  <c r="U31" i="18"/>
  <c r="U30" i="18"/>
  <c r="R30" i="18"/>
  <c r="S29" i="18" s="1"/>
  <c r="U29" i="18"/>
  <c r="R29" i="18"/>
  <c r="U28" i="18"/>
  <c r="R28" i="18"/>
  <c r="U27" i="18"/>
  <c r="R27" i="18"/>
  <c r="U26" i="18"/>
  <c r="Q26" i="18"/>
  <c r="R26" i="18" s="1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5" i="18"/>
  <c r="Q6" i="18"/>
  <c r="Q7" i="18"/>
  <c r="Q8" i="18"/>
  <c r="R8" i="18" s="1"/>
  <c r="Q9" i="18"/>
  <c r="Q10" i="18"/>
  <c r="Q11" i="18"/>
  <c r="R11" i="18" s="1"/>
  <c r="Q12" i="18"/>
  <c r="R12" i="18" s="1"/>
  <c r="Q13" i="18"/>
  <c r="Q14" i="18"/>
  <c r="Q15" i="18"/>
  <c r="Q16" i="18"/>
  <c r="R16" i="18" s="1"/>
  <c r="Q17" i="18"/>
  <c r="Q18" i="18"/>
  <c r="Q19" i="18"/>
  <c r="Q20" i="18"/>
  <c r="R20" i="18" s="1"/>
  <c r="Q21" i="18"/>
  <c r="Q5" i="18"/>
  <c r="Q4" i="18"/>
  <c r="R4" i="18" s="1"/>
  <c r="P6" i="18"/>
  <c r="R6" i="18" s="1"/>
  <c r="P7" i="18"/>
  <c r="P8" i="18"/>
  <c r="P9" i="18"/>
  <c r="P10" i="18"/>
  <c r="R10" i="18" s="1"/>
  <c r="P11" i="18"/>
  <c r="P12" i="18"/>
  <c r="P13" i="18"/>
  <c r="P14" i="18"/>
  <c r="P15" i="18"/>
  <c r="P16" i="18"/>
  <c r="P17" i="18"/>
  <c r="P18" i="18"/>
  <c r="R18" i="18" s="1"/>
  <c r="P19" i="18"/>
  <c r="P20" i="18"/>
  <c r="P21" i="18"/>
  <c r="P5" i="18"/>
  <c r="P4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5" i="18"/>
  <c r="O4" i="18"/>
  <c r="R19" i="18"/>
  <c r="R15" i="18"/>
  <c r="R14" i="18"/>
  <c r="R7" i="18"/>
  <c r="V45" i="13"/>
  <c r="V6" i="13"/>
  <c r="J6" i="13"/>
  <c r="I21" i="18"/>
  <c r="R31" i="18" l="1"/>
  <c r="R35" i="18"/>
  <c r="R39" i="18"/>
  <c r="S39" i="18" s="1"/>
  <c r="V39" i="18" s="1"/>
  <c r="W39" i="18" s="1"/>
  <c r="S40" i="18"/>
  <c r="V40" i="18" s="1"/>
  <c r="W40" i="18" s="1"/>
  <c r="R43" i="18"/>
  <c r="S27" i="18"/>
  <c r="S28" i="18"/>
  <c r="V28" i="18" s="1"/>
  <c r="W28" i="18" s="1"/>
  <c r="S30" i="18"/>
  <c r="V30" i="18" s="1"/>
  <c r="W30" i="18" s="1"/>
  <c r="S32" i="18"/>
  <c r="S34" i="18"/>
  <c r="V34" i="18" s="1"/>
  <c r="W34" i="18" s="1"/>
  <c r="S36" i="18"/>
  <c r="V36" i="18" s="1"/>
  <c r="W36" i="18" s="1"/>
  <c r="S38" i="18"/>
  <c r="V38" i="18" s="1"/>
  <c r="W38" i="18" s="1"/>
  <c r="V32" i="18"/>
  <c r="W32" i="18" s="1"/>
  <c r="S26" i="18"/>
  <c r="V26" i="18" s="1"/>
  <c r="W26" i="18" s="1"/>
  <c r="S31" i="18"/>
  <c r="V31" i="18" s="1"/>
  <c r="W31" i="18" s="1"/>
  <c r="S33" i="18"/>
  <c r="V33" i="18" s="1"/>
  <c r="W33" i="18" s="1"/>
  <c r="S35" i="18"/>
  <c r="V35" i="18" s="1"/>
  <c r="W35" i="18" s="1"/>
  <c r="S37" i="18"/>
  <c r="V37" i="18" s="1"/>
  <c r="W37" i="18" s="1"/>
  <c r="V27" i="18"/>
  <c r="W27" i="18" s="1"/>
  <c r="V29" i="18"/>
  <c r="W29" i="18" s="1"/>
  <c r="V41" i="18"/>
  <c r="W41" i="18" s="1"/>
  <c r="S42" i="18"/>
  <c r="V42" i="18" s="1"/>
  <c r="W42" i="18" s="1"/>
  <c r="R9" i="18"/>
  <c r="R13" i="18"/>
  <c r="R21" i="18"/>
  <c r="R17" i="18"/>
  <c r="S16" i="18" s="1"/>
  <c r="T17" i="18" s="1"/>
  <c r="V17" i="18" s="1"/>
  <c r="W17" i="18" s="1"/>
  <c r="R5" i="18"/>
  <c r="S4" i="18" s="1"/>
  <c r="T5" i="18" s="1"/>
  <c r="V5" i="18"/>
  <c r="W5" i="18" s="1"/>
  <c r="S5" i="18"/>
  <c r="T6" i="18" s="1"/>
  <c r="V6" i="18" s="1"/>
  <c r="W6" i="18" s="1"/>
  <c r="S6" i="18"/>
  <c r="T7" i="18" s="1"/>
  <c r="V7" i="18" s="1"/>
  <c r="W7" i="18" s="1"/>
  <c r="S7" i="18"/>
  <c r="T8" i="18" s="1"/>
  <c r="V8" i="18" s="1"/>
  <c r="W8" i="18" s="1"/>
  <c r="S8" i="18"/>
  <c r="T9" i="18" s="1"/>
  <c r="V9" i="18" s="1"/>
  <c r="W9" i="18" s="1"/>
  <c r="S9" i="18"/>
  <c r="T10" i="18" s="1"/>
  <c r="V10" i="18" s="1"/>
  <c r="W10" i="18" s="1"/>
  <c r="S10" i="18"/>
  <c r="T11" i="18" s="1"/>
  <c r="V11" i="18" s="1"/>
  <c r="W11" i="18" s="1"/>
  <c r="S11" i="18"/>
  <c r="T12" i="18" s="1"/>
  <c r="V12" i="18" s="1"/>
  <c r="W12" i="18" s="1"/>
  <c r="S12" i="18"/>
  <c r="T13" i="18" s="1"/>
  <c r="V13" i="18" s="1"/>
  <c r="W13" i="18" s="1"/>
  <c r="S13" i="18"/>
  <c r="T14" i="18" s="1"/>
  <c r="V14" i="18" s="1"/>
  <c r="W14" i="18" s="1"/>
  <c r="S14" i="18"/>
  <c r="T15" i="18" s="1"/>
  <c r="V15" i="18" s="1"/>
  <c r="W15" i="18" s="1"/>
  <c r="S15" i="18"/>
  <c r="T16" i="18" s="1"/>
  <c r="V16" i="18" s="1"/>
  <c r="W16" i="18" s="1"/>
  <c r="S18" i="18"/>
  <c r="T19" i="18" s="1"/>
  <c r="V19" i="18" s="1"/>
  <c r="W19" i="18" s="1"/>
  <c r="S19" i="18"/>
  <c r="T20" i="18" s="1"/>
  <c r="V20" i="18" s="1"/>
  <c r="W20" i="18" s="1"/>
  <c r="S20" i="18"/>
  <c r="T21" i="18" s="1"/>
  <c r="V21" i="18" s="1"/>
  <c r="W21" i="18" s="1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27" i="18"/>
  <c r="I26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6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5" i="18"/>
  <c r="D4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5" i="18"/>
  <c r="C4" i="18"/>
  <c r="S17" i="18" l="1"/>
  <c r="T18" i="18" s="1"/>
  <c r="V18" i="18" s="1"/>
  <c r="W18" i="18" s="1"/>
  <c r="V23" i="13" l="1"/>
  <c r="J23" i="13"/>
  <c r="V62" i="13"/>
  <c r="C56" i="12"/>
  <c r="H89" i="12"/>
  <c r="K168" i="12"/>
  <c r="K177" i="12"/>
  <c r="H177" i="12"/>
  <c r="H168" i="12"/>
  <c r="K252" i="12"/>
  <c r="K261" i="12"/>
  <c r="H261" i="12"/>
  <c r="H252" i="12"/>
  <c r="C261" i="12"/>
  <c r="C252" i="12"/>
  <c r="C177" i="12"/>
  <c r="C168" i="12"/>
  <c r="C94" i="12"/>
  <c r="H51" i="12"/>
  <c r="J15" i="17" l="1"/>
  <c r="C15" i="17"/>
  <c r="BB53" i="17"/>
  <c r="BB29" i="17"/>
  <c r="AV70" i="17"/>
  <c r="AV59" i="17" s="1"/>
  <c r="AN70" i="17"/>
  <c r="AN67" i="17" s="1"/>
  <c r="AM70" i="17"/>
  <c r="AM68" i="17" s="1"/>
  <c r="BA70" i="17"/>
  <c r="BA54" i="17" s="1"/>
  <c r="BB54" i="17" s="1"/>
  <c r="AZ70" i="17"/>
  <c r="AZ55" i="17" s="1"/>
  <c r="AY70" i="17"/>
  <c r="AY56" i="17" s="1"/>
  <c r="AX70" i="17"/>
  <c r="AX57" i="17" s="1"/>
  <c r="AW70" i="17"/>
  <c r="AW58" i="17" s="1"/>
  <c r="AU70" i="17"/>
  <c r="AU60" i="17" s="1"/>
  <c r="AT70" i="17"/>
  <c r="AT61" i="17" s="1"/>
  <c r="AS70" i="17"/>
  <c r="AS62" i="17" s="1"/>
  <c r="AR70" i="17"/>
  <c r="AR63" i="17" s="1"/>
  <c r="AQ70" i="17"/>
  <c r="AQ64" i="17" s="1"/>
  <c r="AP70" i="17"/>
  <c r="AP65" i="17" s="1"/>
  <c r="AO70" i="17"/>
  <c r="AO66" i="17" s="1"/>
  <c r="BA46" i="17"/>
  <c r="BA30" i="17" s="1"/>
  <c r="BB30" i="17" s="1"/>
  <c r="AZ46" i="17"/>
  <c r="AZ31" i="17" s="1"/>
  <c r="AX46" i="17"/>
  <c r="AX33" i="17" s="1"/>
  <c r="AY46" i="17"/>
  <c r="AY32" i="17" s="1"/>
  <c r="AW46" i="17"/>
  <c r="AW34" i="17" s="1"/>
  <c r="AV46" i="17"/>
  <c r="AV35" i="17" s="1"/>
  <c r="AU46" i="17"/>
  <c r="AU36" i="17" s="1"/>
  <c r="AT46" i="17"/>
  <c r="AT37" i="17" s="1"/>
  <c r="AS46" i="17"/>
  <c r="AS38" i="17" s="1"/>
  <c r="AT38" i="17" s="1"/>
  <c r="AR46" i="17"/>
  <c r="AR39" i="17" s="1"/>
  <c r="AQ46" i="17"/>
  <c r="AQ40" i="17" s="1"/>
  <c r="AP46" i="17"/>
  <c r="AP41" i="17" s="1"/>
  <c r="AO46" i="17"/>
  <c r="AO42" i="17" s="1"/>
  <c r="AN46" i="17"/>
  <c r="AN43" i="17" s="1"/>
  <c r="AM46" i="17"/>
  <c r="AM44" i="17" s="1"/>
  <c r="J88" i="17"/>
  <c r="C88" i="17"/>
  <c r="J87" i="17"/>
  <c r="C87" i="17"/>
  <c r="J86" i="17"/>
  <c r="C86" i="17"/>
  <c r="J85" i="17"/>
  <c r="C85" i="17"/>
  <c r="J84" i="17"/>
  <c r="C84" i="17"/>
  <c r="J83" i="17"/>
  <c r="C83" i="17"/>
  <c r="J82" i="17"/>
  <c r="C82" i="17"/>
  <c r="J75" i="17"/>
  <c r="C75" i="17"/>
  <c r="J74" i="17"/>
  <c r="C74" i="17"/>
  <c r="J73" i="17"/>
  <c r="C73" i="17"/>
  <c r="J72" i="17"/>
  <c r="C72" i="17"/>
  <c r="J71" i="17"/>
  <c r="C71" i="17"/>
  <c r="J70" i="17"/>
  <c r="C70" i="17"/>
  <c r="J69" i="17"/>
  <c r="C69" i="17"/>
  <c r="BA23" i="17"/>
  <c r="BA7" i="17" s="1"/>
  <c r="BB7" i="17" s="1"/>
  <c r="AZ23" i="17"/>
  <c r="AZ8" i="17" s="1"/>
  <c r="AY23" i="17"/>
  <c r="AY9" i="17" s="1"/>
  <c r="AX23" i="17"/>
  <c r="AX10" i="17" s="1"/>
  <c r="AW23" i="17"/>
  <c r="AW11" i="17" s="1"/>
  <c r="AV23" i="17"/>
  <c r="AV12" i="17" s="1"/>
  <c r="AU23" i="17"/>
  <c r="AU13" i="17" s="1"/>
  <c r="AT23" i="17"/>
  <c r="AS23" i="17"/>
  <c r="AS15" i="17" s="1"/>
  <c r="AR23" i="17"/>
  <c r="AR16" i="17" s="1"/>
  <c r="AQ23" i="17"/>
  <c r="AQ17" i="17" s="1"/>
  <c r="AP23" i="17"/>
  <c r="AP18" i="17" s="1"/>
  <c r="AO23" i="17"/>
  <c r="AO19" i="17" s="1"/>
  <c r="J36" i="17"/>
  <c r="C36" i="17"/>
  <c r="J35" i="17"/>
  <c r="C35" i="17"/>
  <c r="AT14" i="17"/>
  <c r="J34" i="17"/>
  <c r="C34" i="17"/>
  <c r="J33" i="17"/>
  <c r="C33" i="17"/>
  <c r="J32" i="17"/>
  <c r="C32" i="17"/>
  <c r="J31" i="17"/>
  <c r="C31" i="17"/>
  <c r="J30" i="17"/>
  <c r="C30" i="17"/>
  <c r="BB6" i="17"/>
  <c r="I12" i="17"/>
  <c r="B12" i="17"/>
  <c r="M7" i="17"/>
  <c r="J7" i="17"/>
  <c r="F7" i="17"/>
  <c r="AP19" i="17" l="1"/>
  <c r="AQ19" i="17" s="1"/>
  <c r="AR19" i="17" s="1"/>
  <c r="AS19" i="17" s="1"/>
  <c r="AT19" i="17" s="1"/>
  <c r="AU19" i="17" s="1"/>
  <c r="AV19" i="17" s="1"/>
  <c r="AW19" i="17" s="1"/>
  <c r="AX19" i="17" s="1"/>
  <c r="AY19" i="17" s="1"/>
  <c r="AZ19" i="17" s="1"/>
  <c r="BA19" i="17" s="1"/>
  <c r="AX11" i="17"/>
  <c r="AY11" i="17" s="1"/>
  <c r="AZ11" i="17" s="1"/>
  <c r="BA11" i="17" s="1"/>
  <c r="AU38" i="17"/>
  <c r="AX34" i="17"/>
  <c r="AY34" i="17" s="1"/>
  <c r="AP66" i="17"/>
  <c r="AQ66" i="17" s="1"/>
  <c r="AR66" i="17" s="1"/>
  <c r="AS66" i="17" s="1"/>
  <c r="AT66" i="17" s="1"/>
  <c r="AU66" i="17" s="1"/>
  <c r="AV66" i="17" s="1"/>
  <c r="AW66" i="17" s="1"/>
  <c r="AX66" i="17" s="1"/>
  <c r="AY66" i="17" s="1"/>
  <c r="AZ66" i="17" s="1"/>
  <c r="BA66" i="17" s="1"/>
  <c r="AV38" i="17"/>
  <c r="AW38" i="17" s="1"/>
  <c r="AX38" i="17" s="1"/>
  <c r="AY38" i="17" s="1"/>
  <c r="AZ38" i="17" s="1"/>
  <c r="BA38" i="17" s="1"/>
  <c r="AZ34" i="17"/>
  <c r="BA34" i="17" s="1"/>
  <c r="AN23" i="17"/>
  <c r="AN20" i="17" s="1"/>
  <c r="AM23" i="17" s="1"/>
  <c r="AM21" i="17" s="1"/>
  <c r="AN44" i="17"/>
  <c r="AO44" i="17" s="1"/>
  <c r="AP44" i="17" s="1"/>
  <c r="AQ44" i="17" s="1"/>
  <c r="AR44" i="17" s="1"/>
  <c r="AS44" i="17" s="1"/>
  <c r="AT44" i="17" s="1"/>
  <c r="AU44" i="17" s="1"/>
  <c r="AV44" i="17" s="1"/>
  <c r="AW44" i="17" s="1"/>
  <c r="AX44" i="17" s="1"/>
  <c r="AY44" i="17" s="1"/>
  <c r="AZ44" i="17" s="1"/>
  <c r="BA44" i="17" s="1"/>
  <c r="AR40" i="17"/>
  <c r="AS40" i="17" s="1"/>
  <c r="AT40" i="17" s="1"/>
  <c r="AU40" i="17" s="1"/>
  <c r="AV40" i="17" s="1"/>
  <c r="AW40" i="17" s="1"/>
  <c r="AX40" i="17" s="1"/>
  <c r="AY40" i="17" s="1"/>
  <c r="AZ40" i="17" s="1"/>
  <c r="BA40" i="17" s="1"/>
  <c r="AS16" i="17"/>
  <c r="AT16" i="17" s="1"/>
  <c r="AU16" i="17" s="1"/>
  <c r="AV16" i="17" s="1"/>
  <c r="AW16" i="17" s="1"/>
  <c r="AX16" i="17" s="1"/>
  <c r="AY16" i="17" s="1"/>
  <c r="AZ16" i="17" s="1"/>
  <c r="BA16" i="17" s="1"/>
  <c r="BA8" i="17"/>
  <c r="BB8" i="17" s="1"/>
  <c r="AS39" i="17"/>
  <c r="AT39" i="17" s="1"/>
  <c r="AU39" i="17" s="1"/>
  <c r="AV39" i="17" s="1"/>
  <c r="AW39" i="17" s="1"/>
  <c r="AX39" i="17" s="1"/>
  <c r="AY39" i="17" s="1"/>
  <c r="AZ39" i="17" s="1"/>
  <c r="BA39" i="17" s="1"/>
  <c r="AS63" i="17"/>
  <c r="AT63" i="17" s="1"/>
  <c r="AU63" i="17" s="1"/>
  <c r="AV63" i="17" s="1"/>
  <c r="AW63" i="17" s="1"/>
  <c r="AX63" i="17" s="1"/>
  <c r="AY63" i="17" s="1"/>
  <c r="AZ63" i="17" s="1"/>
  <c r="BA63" i="17" s="1"/>
  <c r="AX58" i="17"/>
  <c r="AY58" i="17" s="1"/>
  <c r="AZ58" i="17" s="1"/>
  <c r="BA58" i="17" s="1"/>
  <c r="BB58" i="17"/>
  <c r="AO43" i="17"/>
  <c r="AP43" i="17" s="1"/>
  <c r="AQ43" i="17" s="1"/>
  <c r="AR43" i="17" s="1"/>
  <c r="AS43" i="17" s="1"/>
  <c r="AT43" i="17" s="1"/>
  <c r="AU43" i="17" s="1"/>
  <c r="AV43" i="17" s="1"/>
  <c r="AW43" i="17" s="1"/>
  <c r="AX43" i="17" s="1"/>
  <c r="AY43" i="17" s="1"/>
  <c r="AZ43" i="17" s="1"/>
  <c r="BA43" i="17" s="1"/>
  <c r="BA31" i="17"/>
  <c r="BB31" i="17" s="1"/>
  <c r="AV60" i="17"/>
  <c r="AW60" i="17" s="1"/>
  <c r="AX60" i="17" s="1"/>
  <c r="AY60" i="17" s="1"/>
  <c r="AZ60" i="17" s="1"/>
  <c r="BA60" i="17" s="1"/>
  <c r="AW59" i="17"/>
  <c r="AX59" i="17" s="1"/>
  <c r="AY59" i="17" s="1"/>
  <c r="AZ59" i="17" s="1"/>
  <c r="BA59" i="17" s="1"/>
  <c r="AQ41" i="17"/>
  <c r="AR41" i="17" s="1"/>
  <c r="AS41" i="17" s="1"/>
  <c r="AT41" i="17" s="1"/>
  <c r="AU41" i="17" s="1"/>
  <c r="AV41" i="17" s="1"/>
  <c r="AW41" i="17" s="1"/>
  <c r="AX41" i="17" s="1"/>
  <c r="AY41" i="17" s="1"/>
  <c r="AZ41" i="17" s="1"/>
  <c r="BA41" i="17" s="1"/>
  <c r="AU37" i="17"/>
  <c r="AV37" i="17" s="1"/>
  <c r="AW37" i="17" s="1"/>
  <c r="AX37" i="17" s="1"/>
  <c r="AY37" i="17" s="1"/>
  <c r="AZ37" i="17" s="1"/>
  <c r="BA37" i="17" s="1"/>
  <c r="AZ32" i="17"/>
  <c r="BA32" i="17" s="1"/>
  <c r="AT62" i="17"/>
  <c r="AU62" i="17" s="1"/>
  <c r="AV62" i="17" s="1"/>
  <c r="AW62" i="17" s="1"/>
  <c r="AX62" i="17" s="1"/>
  <c r="AY62" i="17" s="1"/>
  <c r="AZ62" i="17" s="1"/>
  <c r="BA62" i="17" s="1"/>
  <c r="AY57" i="17"/>
  <c r="AZ57" i="17" s="1"/>
  <c r="BA57" i="17" s="1"/>
  <c r="AN68" i="17"/>
  <c r="AO68" i="17" s="1"/>
  <c r="AP68" i="17" s="1"/>
  <c r="AQ68" i="17" s="1"/>
  <c r="AR68" i="17" s="1"/>
  <c r="AS68" i="17" s="1"/>
  <c r="AT68" i="17" s="1"/>
  <c r="AU68" i="17" s="1"/>
  <c r="AV68" i="17" s="1"/>
  <c r="AW68" i="17" s="1"/>
  <c r="AX68" i="17" s="1"/>
  <c r="AY68" i="17" s="1"/>
  <c r="AZ68" i="17" s="1"/>
  <c r="BA68" i="17" s="1"/>
  <c r="AW35" i="17"/>
  <c r="AX35" i="17" s="1"/>
  <c r="AY35" i="17" s="1"/>
  <c r="AZ35" i="17" s="1"/>
  <c r="BA35" i="17" s="1"/>
  <c r="AR64" i="17"/>
  <c r="AS64" i="17" s="1"/>
  <c r="AT64" i="17" s="1"/>
  <c r="AU64" i="17" s="1"/>
  <c r="AV64" i="17" s="1"/>
  <c r="AW64" i="17" s="1"/>
  <c r="AX64" i="17" s="1"/>
  <c r="AY64" i="17" s="1"/>
  <c r="AZ64" i="17" s="1"/>
  <c r="BA64" i="17" s="1"/>
  <c r="BA55" i="17"/>
  <c r="BB55" i="17" s="1"/>
  <c r="AP42" i="17"/>
  <c r="AQ42" i="17" s="1"/>
  <c r="AR42" i="17" s="1"/>
  <c r="AS42" i="17" s="1"/>
  <c r="AT42" i="17" s="1"/>
  <c r="AU42" i="17" s="1"/>
  <c r="AV42" i="17" s="1"/>
  <c r="AW42" i="17" s="1"/>
  <c r="AX42" i="17" s="1"/>
  <c r="AY42" i="17" s="1"/>
  <c r="AZ42" i="17" s="1"/>
  <c r="BA42" i="17" s="1"/>
  <c r="AY33" i="17"/>
  <c r="AZ33" i="17" s="1"/>
  <c r="BA33" i="17" s="1"/>
  <c r="AQ65" i="17"/>
  <c r="AR65" i="17" s="1"/>
  <c r="AS65" i="17" s="1"/>
  <c r="AT65" i="17" s="1"/>
  <c r="AU65" i="17" s="1"/>
  <c r="AV65" i="17" s="1"/>
  <c r="AW65" i="17" s="1"/>
  <c r="AX65" i="17" s="1"/>
  <c r="AY65" i="17" s="1"/>
  <c r="AZ65" i="17" s="1"/>
  <c r="BA65" i="17" s="1"/>
  <c r="AU61" i="17"/>
  <c r="AV61" i="17" s="1"/>
  <c r="AW61" i="17" s="1"/>
  <c r="AX61" i="17" s="1"/>
  <c r="AY61" i="17" s="1"/>
  <c r="AZ61" i="17" s="1"/>
  <c r="BA61" i="17" s="1"/>
  <c r="AZ56" i="17"/>
  <c r="BA56" i="17" s="1"/>
  <c r="AV36" i="17"/>
  <c r="AW36" i="17" s="1"/>
  <c r="AX36" i="17" s="1"/>
  <c r="AY36" i="17" s="1"/>
  <c r="AZ36" i="17" s="1"/>
  <c r="BA36" i="17" s="1"/>
  <c r="AO67" i="17"/>
  <c r="AP67" i="17" s="1"/>
  <c r="AQ67" i="17" s="1"/>
  <c r="AR67" i="17" s="1"/>
  <c r="AS67" i="17" s="1"/>
  <c r="AT67" i="17" s="1"/>
  <c r="AU67" i="17" s="1"/>
  <c r="AV67" i="17" s="1"/>
  <c r="AW67" i="17" s="1"/>
  <c r="AX67" i="17" s="1"/>
  <c r="AY67" i="17" s="1"/>
  <c r="AZ67" i="17" s="1"/>
  <c r="BA67" i="17" s="1"/>
  <c r="BB38" i="17"/>
  <c r="AR17" i="17"/>
  <c r="AS17" i="17" s="1"/>
  <c r="AT17" i="17" s="1"/>
  <c r="AU17" i="17" s="1"/>
  <c r="AV17" i="17" s="1"/>
  <c r="AW17" i="17" s="1"/>
  <c r="AX17" i="17" s="1"/>
  <c r="AY17" i="17" s="1"/>
  <c r="AZ17" i="17" s="1"/>
  <c r="BA17" i="17" s="1"/>
  <c r="AZ9" i="17"/>
  <c r="BA9" i="17" s="1"/>
  <c r="AU14" i="17"/>
  <c r="AV14" i="17" s="1"/>
  <c r="AW14" i="17" s="1"/>
  <c r="AX14" i="17" s="1"/>
  <c r="AY14" i="17" s="1"/>
  <c r="AZ14" i="17" s="1"/>
  <c r="BA14" i="17" s="1"/>
  <c r="AV13" i="17"/>
  <c r="AW13" i="17" s="1"/>
  <c r="AX13" i="17" s="1"/>
  <c r="AY13" i="17" s="1"/>
  <c r="AZ13" i="17" s="1"/>
  <c r="BA13" i="17" s="1"/>
  <c r="AO20" i="17"/>
  <c r="AP20" i="17" s="1"/>
  <c r="AQ20" i="17" s="1"/>
  <c r="AR20" i="17" s="1"/>
  <c r="AS20" i="17" s="1"/>
  <c r="AT20" i="17" s="1"/>
  <c r="AU20" i="17" s="1"/>
  <c r="AV20" i="17" s="1"/>
  <c r="AW20" i="17" s="1"/>
  <c r="AX20" i="17" s="1"/>
  <c r="AY20" i="17" s="1"/>
  <c r="AZ20" i="17" s="1"/>
  <c r="BA20" i="17" s="1"/>
  <c r="AN21" i="17"/>
  <c r="AO21" i="17" s="1"/>
  <c r="AP21" i="17" s="1"/>
  <c r="AQ21" i="17" s="1"/>
  <c r="AR21" i="17" s="1"/>
  <c r="AS21" i="17" s="1"/>
  <c r="AT21" i="17" s="1"/>
  <c r="AU21" i="17" s="1"/>
  <c r="AV21" i="17" s="1"/>
  <c r="AW21" i="17" s="1"/>
  <c r="AX21" i="17" s="1"/>
  <c r="AY21" i="17" s="1"/>
  <c r="AZ21" i="17" s="1"/>
  <c r="BA21" i="17" s="1"/>
  <c r="AW12" i="17"/>
  <c r="AX12" i="17" s="1"/>
  <c r="AY12" i="17" s="1"/>
  <c r="AZ12" i="17" s="1"/>
  <c r="BA12" i="17" s="1"/>
  <c r="AT15" i="17"/>
  <c r="AU15" i="17" s="1"/>
  <c r="AV15" i="17" s="1"/>
  <c r="AW15" i="17" s="1"/>
  <c r="AX15" i="17" s="1"/>
  <c r="AY15" i="17" s="1"/>
  <c r="AZ15" i="17" s="1"/>
  <c r="BA15" i="17" s="1"/>
  <c r="AQ18" i="17"/>
  <c r="AR18" i="17" s="1"/>
  <c r="AS18" i="17" s="1"/>
  <c r="AT18" i="17" s="1"/>
  <c r="AU18" i="17" s="1"/>
  <c r="AV18" i="17" s="1"/>
  <c r="AW18" i="17" s="1"/>
  <c r="AX18" i="17" s="1"/>
  <c r="AY18" i="17" s="1"/>
  <c r="AZ18" i="17" s="1"/>
  <c r="BA18" i="17" s="1"/>
  <c r="AY10" i="17"/>
  <c r="AZ10" i="17" s="1"/>
  <c r="BA10" i="17" s="1"/>
  <c r="K77" i="16"/>
  <c r="D90" i="16"/>
  <c r="D77" i="16"/>
  <c r="K64" i="16"/>
  <c r="D64" i="16"/>
  <c r="K49" i="16"/>
  <c r="K45" i="16"/>
  <c r="D49" i="16"/>
  <c r="D45" i="16"/>
  <c r="BB40" i="17" l="1"/>
  <c r="BB57" i="17"/>
  <c r="BB14" i="17"/>
  <c r="BB44" i="17"/>
  <c r="J6" i="17" s="1"/>
  <c r="J8" i="17" s="1"/>
  <c r="BB34" i="17"/>
  <c r="BB43" i="17"/>
  <c r="BB63" i="17"/>
  <c r="BB61" i="17"/>
  <c r="BB33" i="17"/>
  <c r="BB66" i="17"/>
  <c r="BB64" i="17"/>
  <c r="BB9" i="17"/>
  <c r="BB67" i="17"/>
  <c r="BB65" i="17"/>
  <c r="BB42" i="17"/>
  <c r="BB32" i="17"/>
  <c r="BB20" i="17"/>
  <c r="BB36" i="17"/>
  <c r="BB56" i="17"/>
  <c r="BB35" i="17"/>
  <c r="BB41" i="17"/>
  <c r="BB59" i="17"/>
  <c r="BB68" i="17"/>
  <c r="BB62" i="17"/>
  <c r="BB37" i="17"/>
  <c r="BB60" i="17"/>
  <c r="BB39" i="17"/>
  <c r="C6" i="17" s="1"/>
  <c r="C8" i="17" s="1"/>
  <c r="BB17" i="17"/>
  <c r="BB11" i="17"/>
  <c r="BB15" i="17"/>
  <c r="BB12" i="17"/>
  <c r="BB10" i="17"/>
  <c r="BB16" i="17"/>
  <c r="BB13" i="17"/>
  <c r="BB18" i="17"/>
  <c r="BB21" i="17"/>
  <c r="BB19" i="17"/>
  <c r="J12" i="16"/>
  <c r="E12" i="16"/>
  <c r="D12" i="16"/>
  <c r="C12" i="16"/>
  <c r="C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39" i="16"/>
  <c r="AI40" i="16"/>
  <c r="AI41" i="16"/>
  <c r="AI26" i="16"/>
  <c r="AH27" i="16"/>
  <c r="AH28" i="16"/>
  <c r="AG28" i="16"/>
  <c r="AH29" i="16"/>
  <c r="AG29" i="16"/>
  <c r="AF29" i="16"/>
  <c r="AF30" i="16"/>
  <c r="AG30" i="16"/>
  <c r="AH30" i="16"/>
  <c r="AE30" i="16"/>
  <c r="AE31" i="16"/>
  <c r="AF31" i="16" s="1"/>
  <c r="AG31" i="16" s="1"/>
  <c r="AH31" i="16" s="1"/>
  <c r="AD31" i="16"/>
  <c r="AD32" i="16"/>
  <c r="AE32" i="16" s="1"/>
  <c r="AF32" i="16" s="1"/>
  <c r="AG32" i="16" s="1"/>
  <c r="AH32" i="16" s="1"/>
  <c r="AC32" i="16"/>
  <c r="AC33" i="16"/>
  <c r="AD33" i="16" s="1"/>
  <c r="AE33" i="16" s="1"/>
  <c r="AF33" i="16" s="1"/>
  <c r="AG33" i="16" s="1"/>
  <c r="AH33" i="16" s="1"/>
  <c r="AB33" i="16"/>
  <c r="AB34" i="16"/>
  <c r="AC34" i="16"/>
  <c r="AD34" i="16"/>
  <c r="AE34" i="16"/>
  <c r="AF34" i="16" s="1"/>
  <c r="AG34" i="16" s="1"/>
  <c r="AH34" i="16" s="1"/>
  <c r="AA34" i="16"/>
  <c r="AA35" i="16"/>
  <c r="AB35" i="16" s="1"/>
  <c r="AC35" i="16" s="1"/>
  <c r="AD35" i="16" s="1"/>
  <c r="AE35" i="16" s="1"/>
  <c r="AF35" i="16" s="1"/>
  <c r="AG35" i="16" s="1"/>
  <c r="AH35" i="16" s="1"/>
  <c r="Z35" i="16"/>
  <c r="AA36" i="16"/>
  <c r="Z36" i="16"/>
  <c r="AB36" i="16"/>
  <c r="AC36" i="16"/>
  <c r="AD36" i="16" s="1"/>
  <c r="AE36" i="16" s="1"/>
  <c r="AF36" i="16" s="1"/>
  <c r="AG36" i="16" s="1"/>
  <c r="AH36" i="16" s="1"/>
  <c r="Y36" i="16"/>
  <c r="Y37" i="16"/>
  <c r="Z37" i="16" s="1"/>
  <c r="AA37" i="16" s="1"/>
  <c r="AB37" i="16" s="1"/>
  <c r="AC37" i="16" s="1"/>
  <c r="AD37" i="16" s="1"/>
  <c r="AE37" i="16" s="1"/>
  <c r="AF37" i="16" s="1"/>
  <c r="AG37" i="16" s="1"/>
  <c r="AH37" i="16" s="1"/>
  <c r="X37" i="16"/>
  <c r="X38" i="16"/>
  <c r="Y38" i="16"/>
  <c r="Z38" i="16"/>
  <c r="AA38" i="16"/>
  <c r="AB38" i="16" s="1"/>
  <c r="AC38" i="16" s="1"/>
  <c r="AD38" i="16" s="1"/>
  <c r="AE38" i="16" s="1"/>
  <c r="AF38" i="16" s="1"/>
  <c r="AG38" i="16" s="1"/>
  <c r="AH38" i="16" s="1"/>
  <c r="W38" i="16"/>
  <c r="X39" i="16"/>
  <c r="W40" i="16"/>
  <c r="W39" i="16"/>
  <c r="Y39" i="16"/>
  <c r="Z39" i="16"/>
  <c r="AA39" i="16" s="1"/>
  <c r="AB39" i="16" s="1"/>
  <c r="AC39" i="16" s="1"/>
  <c r="AD39" i="16" s="1"/>
  <c r="AE39" i="16" s="1"/>
  <c r="AF39" i="16" s="1"/>
  <c r="AG39" i="16" s="1"/>
  <c r="AH39" i="16" s="1"/>
  <c r="V39" i="16"/>
  <c r="X40" i="16"/>
  <c r="Y40" i="16"/>
  <c r="Z40" i="16"/>
  <c r="AA40" i="16" s="1"/>
  <c r="AB40" i="16" s="1"/>
  <c r="AC40" i="16" s="1"/>
  <c r="AD40" i="16" s="1"/>
  <c r="AE40" i="16" s="1"/>
  <c r="AF40" i="16" s="1"/>
  <c r="AG40" i="16" s="1"/>
  <c r="AH40" i="16" s="1"/>
  <c r="V40" i="16"/>
  <c r="U40" i="16"/>
  <c r="U41" i="16"/>
  <c r="V41" i="16" s="1"/>
  <c r="W41" i="16" s="1"/>
  <c r="X41" i="16" s="1"/>
  <c r="Y41" i="16" s="1"/>
  <c r="Z41" i="16" s="1"/>
  <c r="AA41" i="16" s="1"/>
  <c r="AB41" i="16" s="1"/>
  <c r="AC41" i="16" s="1"/>
  <c r="AD41" i="16" s="1"/>
  <c r="AE41" i="16" s="1"/>
  <c r="AF41" i="16" s="1"/>
  <c r="AG41" i="16" s="1"/>
  <c r="AH41" i="16" s="1"/>
  <c r="T41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AH43" i="16"/>
  <c r="J96" i="16"/>
  <c r="J95" i="16"/>
  <c r="J94" i="16"/>
  <c r="K90" i="16"/>
  <c r="K82" i="16"/>
  <c r="L88" i="16"/>
  <c r="K88" i="16"/>
  <c r="J88" i="16"/>
  <c r="K87" i="16"/>
  <c r="L87" i="16" s="1"/>
  <c r="J87" i="16"/>
  <c r="K86" i="16"/>
  <c r="L86" i="16" s="1"/>
  <c r="J86" i="16"/>
  <c r="L85" i="16"/>
  <c r="K85" i="16"/>
  <c r="J85" i="16"/>
  <c r="L84" i="16"/>
  <c r="K84" i="16"/>
  <c r="J84" i="16"/>
  <c r="K83" i="16"/>
  <c r="L83" i="16" s="1"/>
  <c r="J83" i="16"/>
  <c r="L82" i="16"/>
  <c r="J82" i="16"/>
  <c r="C96" i="16"/>
  <c r="C95" i="16"/>
  <c r="C94" i="16"/>
  <c r="E83" i="16"/>
  <c r="E84" i="16"/>
  <c r="E85" i="16"/>
  <c r="E86" i="16"/>
  <c r="E87" i="16"/>
  <c r="E88" i="16"/>
  <c r="E82" i="16"/>
  <c r="C88" i="16"/>
  <c r="C87" i="16"/>
  <c r="C86" i="16"/>
  <c r="C85" i="16"/>
  <c r="C84" i="16"/>
  <c r="C83" i="16"/>
  <c r="C82" i="16"/>
  <c r="D83" i="16"/>
  <c r="D84" i="16"/>
  <c r="D85" i="16"/>
  <c r="D86" i="16"/>
  <c r="D87" i="16"/>
  <c r="D88" i="16"/>
  <c r="D82" i="16"/>
  <c r="J70" i="16"/>
  <c r="J71" i="16"/>
  <c r="J72" i="16"/>
  <c r="L72" i="16" s="1"/>
  <c r="J73" i="16"/>
  <c r="J74" i="16"/>
  <c r="J75" i="16"/>
  <c r="J69" i="16"/>
  <c r="J56" i="16"/>
  <c r="J57" i="16"/>
  <c r="J58" i="16"/>
  <c r="J59" i="16"/>
  <c r="L59" i="16" s="1"/>
  <c r="J60" i="16"/>
  <c r="J61" i="16"/>
  <c r="J62" i="16"/>
  <c r="K75" i="16"/>
  <c r="L75" i="16"/>
  <c r="K74" i="16"/>
  <c r="L74" i="16"/>
  <c r="K73" i="16"/>
  <c r="L73" i="16"/>
  <c r="K72" i="16"/>
  <c r="K71" i="16"/>
  <c r="L71" i="16"/>
  <c r="K70" i="16"/>
  <c r="L70" i="16"/>
  <c r="L69" i="16"/>
  <c r="K69" i="16"/>
  <c r="L62" i="16"/>
  <c r="K62" i="16"/>
  <c r="K61" i="16"/>
  <c r="L61" i="16" s="1"/>
  <c r="K60" i="16"/>
  <c r="L60" i="16"/>
  <c r="K59" i="16"/>
  <c r="L58" i="16"/>
  <c r="K58" i="16"/>
  <c r="K57" i="16"/>
  <c r="L57" i="16" s="1"/>
  <c r="K56" i="16"/>
  <c r="L56" i="16"/>
  <c r="E70" i="16"/>
  <c r="E71" i="16"/>
  <c r="E72" i="16"/>
  <c r="E73" i="16"/>
  <c r="E74" i="16"/>
  <c r="E75" i="16"/>
  <c r="E69" i="16"/>
  <c r="D70" i="16"/>
  <c r="D71" i="16"/>
  <c r="D72" i="16"/>
  <c r="D73" i="16"/>
  <c r="D74" i="16"/>
  <c r="D75" i="16"/>
  <c r="D69" i="16"/>
  <c r="C70" i="16"/>
  <c r="C71" i="16"/>
  <c r="C72" i="16"/>
  <c r="C73" i="16"/>
  <c r="C74" i="16"/>
  <c r="C75" i="16"/>
  <c r="C69" i="16"/>
  <c r="C56" i="16"/>
  <c r="E57" i="16"/>
  <c r="E58" i="16"/>
  <c r="E59" i="16"/>
  <c r="E60" i="16"/>
  <c r="E61" i="16"/>
  <c r="E62" i="16"/>
  <c r="E56" i="16"/>
  <c r="C57" i="16"/>
  <c r="C58" i="16"/>
  <c r="C59" i="16"/>
  <c r="C60" i="16"/>
  <c r="C61" i="16"/>
  <c r="C62" i="16"/>
  <c r="D57" i="16"/>
  <c r="D58" i="16"/>
  <c r="D59" i="16"/>
  <c r="D60" i="16"/>
  <c r="D61" i="16"/>
  <c r="D62" i="16"/>
  <c r="D56" i="16"/>
  <c r="J20" i="17" l="1"/>
  <c r="D56" i="17"/>
  <c r="C12" i="17"/>
  <c r="K21" i="17"/>
  <c r="K71" i="17" s="1"/>
  <c r="L71" i="17" s="1"/>
  <c r="K25" i="17"/>
  <c r="K75" i="17" s="1"/>
  <c r="L75" i="17" s="1"/>
  <c r="K22" i="17"/>
  <c r="K72" i="17" s="1"/>
  <c r="L72" i="17" s="1"/>
  <c r="K19" i="17"/>
  <c r="K23" i="17"/>
  <c r="K73" i="17" s="1"/>
  <c r="L73" i="17" s="1"/>
  <c r="K20" i="17"/>
  <c r="K70" i="17" s="1"/>
  <c r="L70" i="17" s="1"/>
  <c r="K24" i="17"/>
  <c r="K74" i="17" s="1"/>
  <c r="L74" i="17" s="1"/>
  <c r="C20" i="17"/>
  <c r="J12" i="17"/>
  <c r="L12" i="17" s="1"/>
  <c r="J24" i="17"/>
  <c r="J21" i="17"/>
  <c r="J23" i="17"/>
  <c r="K57" i="17"/>
  <c r="L57" i="17" s="1"/>
  <c r="M31" i="17"/>
  <c r="K83" i="17"/>
  <c r="L83" i="17" s="1"/>
  <c r="J25" i="17"/>
  <c r="D20" i="17"/>
  <c r="D70" i="17" s="1"/>
  <c r="E70" i="17" s="1"/>
  <c r="D24" i="17"/>
  <c r="D74" i="17" s="1"/>
  <c r="E74" i="17" s="1"/>
  <c r="D23" i="17"/>
  <c r="D73" i="17" s="1"/>
  <c r="E73" i="17" s="1"/>
  <c r="D21" i="17"/>
  <c r="D71" i="17" s="1"/>
  <c r="E71" i="17" s="1"/>
  <c r="D25" i="17"/>
  <c r="D75" i="17" s="1"/>
  <c r="E75" i="17" s="1"/>
  <c r="D22" i="17"/>
  <c r="D72" i="17" s="1"/>
  <c r="E72" i="17" s="1"/>
  <c r="D19" i="17"/>
  <c r="J22" i="17"/>
  <c r="M6" i="17"/>
  <c r="M8" i="17" s="1"/>
  <c r="F6" i="17"/>
  <c r="E12" i="17"/>
  <c r="C21" i="17"/>
  <c r="C25" i="17"/>
  <c r="C22" i="17"/>
  <c r="C24" i="17"/>
  <c r="C23" i="17"/>
  <c r="J31" i="16"/>
  <c r="K31" i="16" s="1"/>
  <c r="M31" i="16" s="1"/>
  <c r="J32" i="16"/>
  <c r="L32" i="16" s="1"/>
  <c r="J33" i="16"/>
  <c r="K33" i="16" s="1"/>
  <c r="M33" i="16" s="1"/>
  <c r="J34" i="16"/>
  <c r="L34" i="16" s="1"/>
  <c r="J35" i="16"/>
  <c r="L35" i="16" s="1"/>
  <c r="J36" i="16"/>
  <c r="J30" i="16"/>
  <c r="C31" i="16"/>
  <c r="E31" i="16" s="1"/>
  <c r="C32" i="16"/>
  <c r="E32" i="16" s="1"/>
  <c r="C33" i="16"/>
  <c r="D33" i="16" s="1"/>
  <c r="F33" i="16" s="1"/>
  <c r="C34" i="16"/>
  <c r="D34" i="16" s="1"/>
  <c r="F34" i="16" s="1"/>
  <c r="C35" i="16"/>
  <c r="D35" i="16" s="1"/>
  <c r="F35" i="16" s="1"/>
  <c r="C36" i="16"/>
  <c r="C30" i="16"/>
  <c r="I12" i="16"/>
  <c r="B12" i="16"/>
  <c r="M7" i="16"/>
  <c r="F7" i="16"/>
  <c r="J7" i="16"/>
  <c r="J8" i="16" s="1"/>
  <c r="K38" i="21" s="1"/>
  <c r="K69" i="17" l="1"/>
  <c r="L69" i="17" s="1"/>
  <c r="K77" i="17" s="1"/>
  <c r="K48" i="17"/>
  <c r="K49" i="17" s="1"/>
  <c r="K12" i="17"/>
  <c r="D69" i="17"/>
  <c r="M30" i="17"/>
  <c r="L56" i="17"/>
  <c r="K82" i="17"/>
  <c r="L82" i="17" s="1"/>
  <c r="K44" i="17"/>
  <c r="K45" i="17" s="1"/>
  <c r="K51" i="17" s="1"/>
  <c r="J94" i="17"/>
  <c r="K60" i="17"/>
  <c r="L60" i="17" s="1"/>
  <c r="M34" i="17"/>
  <c r="J96" i="17"/>
  <c r="K86" i="17"/>
  <c r="L86" i="17" s="1"/>
  <c r="K85" i="17"/>
  <c r="L85" i="17" s="1"/>
  <c r="M33" i="17"/>
  <c r="K59" i="17"/>
  <c r="L59" i="17" s="1"/>
  <c r="K87" i="17"/>
  <c r="L87" i="17" s="1"/>
  <c r="M35" i="17"/>
  <c r="K61" i="17"/>
  <c r="L61" i="17" s="1"/>
  <c r="M36" i="17"/>
  <c r="K62" i="17"/>
  <c r="L62" i="17" s="1"/>
  <c r="K88" i="17"/>
  <c r="L88" i="17" s="1"/>
  <c r="K84" i="17"/>
  <c r="L84" i="17" s="1"/>
  <c r="M32" i="17"/>
  <c r="K58" i="17"/>
  <c r="L58" i="17" s="1"/>
  <c r="J95" i="17"/>
  <c r="D85" i="17"/>
  <c r="E85" i="17" s="1"/>
  <c r="D59" i="17"/>
  <c r="E59" i="17" s="1"/>
  <c r="F33" i="17"/>
  <c r="F36" i="17"/>
  <c r="D62" i="17"/>
  <c r="E62" i="17" s="1"/>
  <c r="D88" i="17"/>
  <c r="E88" i="17" s="1"/>
  <c r="D12" i="17"/>
  <c r="K38" i="22"/>
  <c r="D84" i="17"/>
  <c r="E84" i="17" s="1"/>
  <c r="D58" i="17"/>
  <c r="E58" i="17" s="1"/>
  <c r="F32" i="17"/>
  <c r="F34" i="17"/>
  <c r="D86" i="17"/>
  <c r="E86" i="17" s="1"/>
  <c r="D60" i="17"/>
  <c r="E60" i="17" s="1"/>
  <c r="D61" i="17"/>
  <c r="E61" i="17" s="1"/>
  <c r="F35" i="17"/>
  <c r="D87" i="17"/>
  <c r="E87" i="17" s="1"/>
  <c r="D83" i="17"/>
  <c r="E83" i="17" s="1"/>
  <c r="D57" i="17"/>
  <c r="E57" i="17" s="1"/>
  <c r="F31" i="17"/>
  <c r="E30" i="16"/>
  <c r="D30" i="16"/>
  <c r="F30" i="16" s="1"/>
  <c r="L36" i="16"/>
  <c r="K36" i="16"/>
  <c r="M36" i="16" s="1"/>
  <c r="K30" i="16"/>
  <c r="M30" i="16" s="1"/>
  <c r="L30" i="16"/>
  <c r="E36" i="16"/>
  <c r="D36" i="16"/>
  <c r="F36" i="16" s="1"/>
  <c r="D31" i="16"/>
  <c r="F31" i="16" s="1"/>
  <c r="K35" i="16"/>
  <c r="M35" i="16" s="1"/>
  <c r="K34" i="16"/>
  <c r="M34" i="16" s="1"/>
  <c r="D32" i="16"/>
  <c r="F32" i="16" s="1"/>
  <c r="E35" i="16"/>
  <c r="K32" i="16"/>
  <c r="M32" i="16" s="1"/>
  <c r="L31" i="16"/>
  <c r="E34" i="16"/>
  <c r="E33" i="16"/>
  <c r="L33" i="16"/>
  <c r="M6" i="16"/>
  <c r="K12" i="16" s="1"/>
  <c r="J6" i="16"/>
  <c r="L12" i="16" s="1"/>
  <c r="C7" i="16"/>
  <c r="F6" i="16"/>
  <c r="E69" i="17" l="1"/>
  <c r="D77" i="17" s="1"/>
  <c r="D48" i="17"/>
  <c r="D49" i="17" s="1"/>
  <c r="D82" i="17"/>
  <c r="E82" i="17" s="1"/>
  <c r="D90" i="17" s="1"/>
  <c r="C95" i="17"/>
  <c r="K90" i="17"/>
  <c r="C96" i="17"/>
  <c r="K64" i="17"/>
  <c r="C94" i="17"/>
  <c r="E56" i="17"/>
  <c r="D64" i="17" s="1"/>
  <c r="D45" i="17"/>
  <c r="D51" i="17" s="1"/>
  <c r="D48" i="16"/>
  <c r="K48" i="16"/>
  <c r="K44" i="16"/>
  <c r="K51" i="16" s="1"/>
  <c r="D44" i="16"/>
  <c r="D51" i="16" s="1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44" i="13"/>
  <c r="P18" i="13"/>
  <c r="P19" i="13"/>
  <c r="P20" i="13"/>
  <c r="P21" i="13"/>
  <c r="P22" i="13"/>
  <c r="P23" i="13"/>
  <c r="P7" i="13"/>
  <c r="P8" i="13"/>
  <c r="P9" i="13"/>
  <c r="P10" i="13"/>
  <c r="P11" i="13"/>
  <c r="P12" i="13"/>
  <c r="P13" i="13"/>
  <c r="P14" i="13"/>
  <c r="P15" i="13"/>
  <c r="P16" i="13"/>
  <c r="P17" i="13"/>
  <c r="P6" i="13"/>
  <c r="P5" i="13"/>
  <c r="D23" i="13"/>
  <c r="D22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5" i="13"/>
  <c r="H34" i="15" l="1"/>
  <c r="H33" i="15"/>
  <c r="E28" i="15"/>
  <c r="B28" i="15"/>
  <c r="E5" i="15"/>
  <c r="B5" i="15"/>
  <c r="I31" i="15"/>
  <c r="O22" i="14" l="1"/>
  <c r="N22" i="14"/>
  <c r="M22" i="14"/>
  <c r="L22" i="14"/>
  <c r="K22" i="14"/>
  <c r="J22" i="14"/>
  <c r="G22" i="14"/>
  <c r="F22" i="14"/>
  <c r="E22" i="14"/>
  <c r="D22" i="14"/>
  <c r="C22" i="14"/>
  <c r="B22" i="14"/>
  <c r="K263" i="12" l="1"/>
  <c r="Q261" i="12" s="1"/>
  <c r="H263" i="12"/>
  <c r="C263" i="12"/>
  <c r="K254" i="12"/>
  <c r="H254" i="12"/>
  <c r="C254" i="12"/>
  <c r="E235" i="12"/>
  <c r="B242" i="12"/>
  <c r="K260" i="12"/>
  <c r="H260" i="12"/>
  <c r="C260" i="12"/>
  <c r="K251" i="12"/>
  <c r="H251" i="12"/>
  <c r="C251" i="12"/>
  <c r="U211" i="12"/>
  <c r="H200" i="12"/>
  <c r="B236" i="12"/>
  <c r="K137" i="12"/>
  <c r="K221" i="12"/>
  <c r="Q211" i="12"/>
  <c r="Q220" i="12"/>
  <c r="Q212" i="12"/>
  <c r="K214" i="12"/>
  <c r="K212" i="12"/>
  <c r="K128" i="12"/>
  <c r="Q260" i="12" l="1"/>
  <c r="Q262" i="12" s="1"/>
  <c r="U260" i="12" s="1"/>
  <c r="Q251" i="12"/>
  <c r="E11" i="8"/>
  <c r="C12" i="9" l="1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11" i="9"/>
  <c r="D24" i="6"/>
  <c r="D25" i="6"/>
  <c r="D26" i="6"/>
  <c r="D27" i="6"/>
  <c r="D28" i="6"/>
  <c r="D29" i="6"/>
  <c r="D30" i="6"/>
  <c r="D31" i="6"/>
  <c r="D32" i="6"/>
  <c r="D23" i="6"/>
  <c r="D10" i="6"/>
  <c r="D11" i="6"/>
  <c r="D12" i="6"/>
  <c r="D13" i="6"/>
  <c r="D14" i="6"/>
  <c r="D15" i="6"/>
  <c r="D16" i="6"/>
  <c r="D17" i="6"/>
  <c r="D18" i="6"/>
  <c r="D9" i="6"/>
  <c r="S24" i="8" l="1"/>
  <c r="E12" i="8"/>
  <c r="E13" i="8"/>
  <c r="E14" i="8"/>
  <c r="E15" i="8"/>
  <c r="E16" i="8"/>
  <c r="E17" i="8"/>
  <c r="E18" i="8"/>
  <c r="E19" i="8"/>
  <c r="E20" i="8"/>
  <c r="E21" i="8"/>
  <c r="E22" i="8"/>
  <c r="E23" i="8"/>
  <c r="P11" i="8"/>
  <c r="J11" i="8"/>
  <c r="G5" i="13" l="1"/>
  <c r="I5" i="13" s="1"/>
  <c r="H6" i="13" s="1"/>
  <c r="J5" i="13" s="1"/>
  <c r="S5" i="13"/>
  <c r="U5" i="13" s="1"/>
  <c r="T6" i="13" s="1"/>
  <c r="V5" i="13" s="1"/>
  <c r="S44" i="13"/>
  <c r="U44" i="13" s="1"/>
  <c r="T45" i="13" s="1"/>
  <c r="V44" i="13" s="1"/>
  <c r="G44" i="13"/>
  <c r="I44" i="13" s="1"/>
  <c r="H45" i="13" s="1"/>
  <c r="J44" i="13" s="1"/>
  <c r="C214" i="12" l="1"/>
  <c r="Q252" i="12"/>
  <c r="B243" i="12"/>
  <c r="B244" i="12"/>
  <c r="B245" i="12"/>
  <c r="B246" i="12"/>
  <c r="E240" i="12"/>
  <c r="E239" i="12"/>
  <c r="E236" i="12"/>
  <c r="E237" i="12"/>
  <c r="E238" i="12"/>
  <c r="B237" i="12"/>
  <c r="B238" i="12"/>
  <c r="B239" i="12"/>
  <c r="B240" i="12"/>
  <c r="B235" i="12"/>
  <c r="C221" i="12"/>
  <c r="C223" i="12" s="1"/>
  <c r="C220" i="12"/>
  <c r="H221" i="12"/>
  <c r="H223" i="12" s="1"/>
  <c r="H220" i="12"/>
  <c r="K211" i="12"/>
  <c r="H211" i="12"/>
  <c r="H212" i="12"/>
  <c r="H214" i="12" s="1"/>
  <c r="C211" i="12"/>
  <c r="H199" i="12"/>
  <c r="H201" i="12"/>
  <c r="H202" i="12"/>
  <c r="H198" i="12"/>
  <c r="K192" i="12"/>
  <c r="K193" i="12"/>
  <c r="K194" i="12"/>
  <c r="K195" i="12"/>
  <c r="K196" i="12"/>
  <c r="K191" i="12"/>
  <c r="H192" i="12"/>
  <c r="H193" i="12"/>
  <c r="H194" i="12"/>
  <c r="H195" i="12"/>
  <c r="H196" i="12"/>
  <c r="H191" i="12"/>
  <c r="B159" i="12"/>
  <c r="B160" i="12"/>
  <c r="B161" i="12"/>
  <c r="B162" i="12"/>
  <c r="B158" i="12"/>
  <c r="E156" i="12"/>
  <c r="E155" i="12"/>
  <c r="E154" i="12"/>
  <c r="E153" i="12"/>
  <c r="K167" i="12" s="1"/>
  <c r="E152" i="12"/>
  <c r="E151" i="12"/>
  <c r="C167" i="12" s="1"/>
  <c r="B152" i="12"/>
  <c r="B153" i="12"/>
  <c r="B154" i="12"/>
  <c r="B155" i="12"/>
  <c r="B156" i="12"/>
  <c r="B151" i="12"/>
  <c r="H112" i="12"/>
  <c r="K112" i="12"/>
  <c r="H136" i="12" s="1"/>
  <c r="H137" i="12" s="1"/>
  <c r="H139" i="12" s="1"/>
  <c r="H118" i="12"/>
  <c r="K111" i="12"/>
  <c r="K110" i="12"/>
  <c r="K109" i="12"/>
  <c r="K108" i="12"/>
  <c r="K107" i="12"/>
  <c r="H108" i="12"/>
  <c r="H109" i="12"/>
  <c r="H110" i="12"/>
  <c r="H111" i="12"/>
  <c r="H107" i="12"/>
  <c r="H117" i="12"/>
  <c r="H116" i="12"/>
  <c r="H115" i="12"/>
  <c r="H114" i="12"/>
  <c r="Q253" i="12" l="1"/>
  <c r="Q213" i="12"/>
  <c r="K136" i="12"/>
  <c r="K139" i="12" s="1"/>
  <c r="Q137" i="12" s="1"/>
  <c r="K220" i="12"/>
  <c r="K223" i="12" s="1"/>
  <c r="Q221" i="12" s="1"/>
  <c r="Q222" i="12" s="1"/>
  <c r="U220" i="12" s="1"/>
  <c r="C212" i="12"/>
  <c r="K170" i="12"/>
  <c r="Q168" i="12" s="1"/>
  <c r="C127" i="12"/>
  <c r="C128" i="12" s="1"/>
  <c r="C130" i="12" s="1"/>
  <c r="C136" i="12"/>
  <c r="C137" i="12" s="1"/>
  <c r="C139" i="12" s="1"/>
  <c r="Q136" i="12" s="1"/>
  <c r="C176" i="12"/>
  <c r="C179" i="12" s="1"/>
  <c r="K176" i="12"/>
  <c r="K179" i="12" s="1"/>
  <c r="Q177" i="12" s="1"/>
  <c r="H167" i="12"/>
  <c r="H170" i="12" s="1"/>
  <c r="C170" i="12"/>
  <c r="H176" i="12"/>
  <c r="H179" i="12" s="1"/>
  <c r="K127" i="12"/>
  <c r="K130" i="12" s="1"/>
  <c r="Q128" i="12" s="1"/>
  <c r="H127" i="12"/>
  <c r="H128" i="12" s="1"/>
  <c r="D90" i="12"/>
  <c r="D89" i="12"/>
  <c r="B90" i="12"/>
  <c r="B89" i="12"/>
  <c r="J72" i="12"/>
  <c r="J71" i="12"/>
  <c r="H72" i="12"/>
  <c r="H71" i="12"/>
  <c r="B52" i="12"/>
  <c r="B51" i="12"/>
  <c r="D52" i="12"/>
  <c r="D51" i="12"/>
  <c r="C55" i="12" s="1"/>
  <c r="C58" i="12" s="1"/>
  <c r="J34" i="12"/>
  <c r="J33" i="12"/>
  <c r="H34" i="12"/>
  <c r="H33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B15" i="12"/>
  <c r="B14" i="12"/>
  <c r="B13" i="12"/>
  <c r="B12" i="12"/>
  <c r="B11" i="12"/>
  <c r="B10" i="12"/>
  <c r="B9" i="12"/>
  <c r="B8" i="12"/>
  <c r="B7" i="12"/>
  <c r="B6" i="12"/>
  <c r="B5" i="12"/>
  <c r="B4" i="12"/>
  <c r="U251" i="12" l="1"/>
  <c r="D269" i="12" s="1"/>
  <c r="Q176" i="12"/>
  <c r="D229" i="12"/>
  <c r="Q178" i="12"/>
  <c r="U176" i="12" s="1"/>
  <c r="Q138" i="12"/>
  <c r="U136" i="12" s="1"/>
  <c r="Q167" i="12"/>
  <c r="Q169" i="12" s="1"/>
  <c r="U167" i="12" s="1"/>
  <c r="H130" i="12"/>
  <c r="Q127" i="12" s="1"/>
  <c r="Q129" i="12" s="1"/>
  <c r="U127" i="12" s="1"/>
  <c r="D145" i="12" s="1"/>
  <c r="N32" i="12"/>
  <c r="N33" i="12" s="1"/>
  <c r="N35" i="12" s="1"/>
  <c r="M39" i="12" s="1"/>
  <c r="N70" i="12"/>
  <c r="N71" i="12" s="1"/>
  <c r="N73" i="12" s="1"/>
  <c r="M77" i="12" s="1"/>
  <c r="H88" i="12"/>
  <c r="H91" i="12" s="1"/>
  <c r="G95" i="12" s="1"/>
  <c r="B62" i="12"/>
  <c r="I37" i="12"/>
  <c r="I38" i="12" s="1"/>
  <c r="I40" i="12" s="1"/>
  <c r="H44" i="12" s="1"/>
  <c r="H50" i="12"/>
  <c r="H53" i="12" s="1"/>
  <c r="G57" i="12" s="1"/>
  <c r="I75" i="12"/>
  <c r="I76" i="12" s="1"/>
  <c r="I78" i="12" s="1"/>
  <c r="H82" i="12" s="1"/>
  <c r="C93" i="12"/>
  <c r="C96" i="12" s="1"/>
  <c r="B100" i="12" s="1"/>
  <c r="I63" i="12" l="1"/>
  <c r="D185" i="12"/>
  <c r="I101" i="12"/>
  <c r="O83" i="12"/>
  <c r="O45" i="12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28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4" i="7"/>
  <c r="M4" i="9" l="1"/>
  <c r="F6" i="9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5" i="8"/>
  <c r="S26" i="8"/>
  <c r="S27" i="8"/>
  <c r="S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9" i="8"/>
  <c r="E10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9" i="8"/>
  <c r="S31" i="8" l="1"/>
  <c r="N31" i="8"/>
  <c r="C31" i="8"/>
  <c r="H31" i="8"/>
  <c r="C29" i="8"/>
  <c r="H29" i="8"/>
  <c r="I6" i="8" s="1"/>
  <c r="I21" i="8" s="1"/>
  <c r="D6" i="8"/>
  <c r="D17" i="8" s="1"/>
  <c r="I9" i="8"/>
  <c r="S29" i="8"/>
  <c r="T6" i="8" s="1"/>
  <c r="T19" i="8" s="1"/>
  <c r="D15" i="8"/>
  <c r="I23" i="8"/>
  <c r="I19" i="8"/>
  <c r="N29" i="8"/>
  <c r="O6" i="8" s="1"/>
  <c r="O9" i="8" s="1"/>
  <c r="I26" i="8"/>
  <c r="I22" i="8"/>
  <c r="I18" i="8"/>
  <c r="I14" i="8"/>
  <c r="I10" i="8"/>
  <c r="Y22" i="3"/>
  <c r="AB22" i="3"/>
  <c r="AC22" i="3"/>
  <c r="Y21" i="3"/>
  <c r="AB21" i="3"/>
  <c r="AC21" i="3"/>
  <c r="Y20" i="3"/>
  <c r="AB20" i="3" s="1"/>
  <c r="AC20" i="3"/>
  <c r="Y19" i="3"/>
  <c r="AB19" i="3" s="1"/>
  <c r="AC19" i="3"/>
  <c r="T22" i="8" l="1"/>
  <c r="T9" i="8"/>
  <c r="T23" i="8"/>
  <c r="T25" i="9" s="1"/>
  <c r="T26" i="8"/>
  <c r="T14" i="8"/>
  <c r="T10" i="8"/>
  <c r="U10" i="8" s="1"/>
  <c r="O19" i="8"/>
  <c r="O12" i="8"/>
  <c r="D16" i="8"/>
  <c r="I13" i="8"/>
  <c r="D21" i="8"/>
  <c r="T18" i="8"/>
  <c r="O23" i="8"/>
  <c r="T11" i="8"/>
  <c r="T15" i="8"/>
  <c r="D13" i="8"/>
  <c r="O14" i="8"/>
  <c r="O18" i="8"/>
  <c r="O22" i="8"/>
  <c r="O26" i="8"/>
  <c r="O16" i="8"/>
  <c r="O24" i="8"/>
  <c r="O13" i="8"/>
  <c r="O17" i="8"/>
  <c r="O25" i="8"/>
  <c r="O20" i="8"/>
  <c r="O21" i="8"/>
  <c r="I16" i="8"/>
  <c r="I24" i="8"/>
  <c r="I11" i="8"/>
  <c r="J12" i="8" s="1"/>
  <c r="I17" i="8"/>
  <c r="U26" i="8"/>
  <c r="D14" i="8"/>
  <c r="D22" i="8"/>
  <c r="D18" i="8"/>
  <c r="D26" i="8"/>
  <c r="D19" i="8"/>
  <c r="D11" i="8"/>
  <c r="D9" i="8"/>
  <c r="D20" i="8"/>
  <c r="D23" i="8"/>
  <c r="P9" i="8"/>
  <c r="J9" i="8"/>
  <c r="O15" i="8"/>
  <c r="J10" i="8"/>
  <c r="J26" i="8"/>
  <c r="D25" i="8"/>
  <c r="I15" i="8"/>
  <c r="T12" i="8"/>
  <c r="T16" i="8"/>
  <c r="T20" i="8"/>
  <c r="T24" i="8"/>
  <c r="T17" i="8"/>
  <c r="T21" i="8"/>
  <c r="T25" i="8"/>
  <c r="T13" i="8"/>
  <c r="O10" i="8"/>
  <c r="D12" i="8"/>
  <c r="D24" i="8"/>
  <c r="I20" i="8"/>
  <c r="I25" i="8"/>
  <c r="AT4" i="3"/>
  <c r="AT5" i="3"/>
  <c r="AT6" i="3"/>
  <c r="AS4" i="3"/>
  <c r="AS5" i="3"/>
  <c r="AS6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E1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U11" i="8" l="1"/>
  <c r="W11" i="9"/>
  <c r="X11" i="9" s="1"/>
  <c r="O27" i="13" s="1"/>
  <c r="W25" i="9"/>
  <c r="X25" i="9" s="1"/>
  <c r="O20" i="13" s="1"/>
  <c r="U9" i="8"/>
  <c r="U25" i="9"/>
  <c r="V25" i="9"/>
  <c r="Z25" i="9"/>
  <c r="U20" i="8"/>
  <c r="P24" i="8"/>
  <c r="E24" i="8"/>
  <c r="U24" i="8"/>
  <c r="J24" i="8"/>
  <c r="U13" i="8"/>
  <c r="T29" i="8"/>
  <c r="O29" i="8"/>
  <c r="K14" i="9"/>
  <c r="L14" i="9" s="1"/>
  <c r="E14" i="9"/>
  <c r="G14" i="9" s="1"/>
  <c r="H14" i="9"/>
  <c r="I14" i="9" s="1"/>
  <c r="C9" i="13" s="1"/>
  <c r="E9" i="13" s="1"/>
  <c r="F9" i="13" s="1"/>
  <c r="G9" i="13" s="1"/>
  <c r="U18" i="8"/>
  <c r="E9" i="8"/>
  <c r="T26" i="9"/>
  <c r="P18" i="8"/>
  <c r="J25" i="8"/>
  <c r="U19" i="8"/>
  <c r="Z28" i="9"/>
  <c r="AA28" i="9" s="1"/>
  <c r="T28" i="9"/>
  <c r="V28" i="9" s="1"/>
  <c r="W28" i="9"/>
  <c r="P17" i="8"/>
  <c r="J23" i="8"/>
  <c r="J18" i="8"/>
  <c r="P19" i="8"/>
  <c r="J16" i="8"/>
  <c r="D29" i="8"/>
  <c r="J22" i="8"/>
  <c r="U15" i="8"/>
  <c r="J17" i="8"/>
  <c r="T11" i="9"/>
  <c r="U11" i="9" s="1"/>
  <c r="Z11" i="9"/>
  <c r="E25" i="9"/>
  <c r="F25" i="9" s="1"/>
  <c r="K25" i="9"/>
  <c r="H25" i="9"/>
  <c r="E21" i="9"/>
  <c r="F21" i="9" s="1"/>
  <c r="H21" i="9"/>
  <c r="K21" i="9"/>
  <c r="J21" i="8"/>
  <c r="J19" i="8"/>
  <c r="P23" i="8"/>
  <c r="P15" i="8"/>
  <c r="U17" i="8"/>
  <c r="J14" i="8"/>
  <c r="P13" i="8"/>
  <c r="W16" i="9"/>
  <c r="Z16" i="9"/>
  <c r="T16" i="9"/>
  <c r="U16" i="9" s="1"/>
  <c r="T23" i="9"/>
  <c r="V23" i="9" s="1"/>
  <c r="U23" i="8"/>
  <c r="Z12" i="9"/>
  <c r="AA12" i="9" s="1"/>
  <c r="T12" i="9"/>
  <c r="U12" i="9" s="1"/>
  <c r="W12" i="9"/>
  <c r="P25" i="8"/>
  <c r="P16" i="8"/>
  <c r="T20" i="9"/>
  <c r="U20" i="9" s="1"/>
  <c r="Z20" i="9"/>
  <c r="AB20" i="9" s="1"/>
  <c r="W20" i="9"/>
  <c r="Y20" i="9" s="1"/>
  <c r="O54" i="13" s="1"/>
  <c r="P14" i="8"/>
  <c r="P12" i="8"/>
  <c r="P10" i="8"/>
  <c r="U14" i="8"/>
  <c r="U21" i="8"/>
  <c r="K13" i="9"/>
  <c r="H13" i="9"/>
  <c r="E13" i="9"/>
  <c r="P26" i="8"/>
  <c r="H26" i="9"/>
  <c r="K26" i="9"/>
  <c r="E26" i="9"/>
  <c r="U25" i="8"/>
  <c r="U22" i="8"/>
  <c r="E25" i="8"/>
  <c r="U16" i="8"/>
  <c r="Z24" i="9"/>
  <c r="AB24" i="9" s="1"/>
  <c r="T24" i="9"/>
  <c r="W24" i="9"/>
  <c r="Y24" i="9" s="1"/>
  <c r="O58" i="13" s="1"/>
  <c r="E26" i="8"/>
  <c r="U12" i="8"/>
  <c r="Z21" i="9"/>
  <c r="AB21" i="9" s="1"/>
  <c r="T21" i="9"/>
  <c r="U21" i="9" s="1"/>
  <c r="W21" i="9"/>
  <c r="X21" i="9" s="1"/>
  <c r="O16" i="13" s="1"/>
  <c r="J13" i="8"/>
  <c r="I29" i="8"/>
  <c r="K22" i="9"/>
  <c r="P22" i="8"/>
  <c r="H20" i="9"/>
  <c r="J20" i="9" s="1"/>
  <c r="C54" i="13" s="1"/>
  <c r="E54" i="13" s="1"/>
  <c r="F54" i="13" s="1"/>
  <c r="G54" i="13" s="1"/>
  <c r="P20" i="8"/>
  <c r="J20" i="8"/>
  <c r="J15" i="8"/>
  <c r="P21" i="8"/>
  <c r="E5" i="7"/>
  <c r="G5" i="7" s="1"/>
  <c r="I28" i="7"/>
  <c r="F30" i="7"/>
  <c r="H30" i="7" s="1"/>
  <c r="F32" i="7"/>
  <c r="H32" i="7" s="1"/>
  <c r="I33" i="7"/>
  <c r="F36" i="7"/>
  <c r="H36" i="7" s="1"/>
  <c r="F39" i="7"/>
  <c r="H39" i="7" s="1"/>
  <c r="F41" i="7"/>
  <c r="H41" i="7" s="1"/>
  <c r="F43" i="7"/>
  <c r="H43" i="7" s="1"/>
  <c r="I44" i="7"/>
  <c r="I42" i="7"/>
  <c r="I40" i="7"/>
  <c r="I36" i="7"/>
  <c r="I34" i="7"/>
  <c r="I32" i="7"/>
  <c r="I30" i="7"/>
  <c r="I31" i="7"/>
  <c r="F44" i="7"/>
  <c r="H44" i="7" s="1"/>
  <c r="F42" i="7"/>
  <c r="H42" i="7" s="1"/>
  <c r="F40" i="7"/>
  <c r="H40" i="7" s="1"/>
  <c r="F38" i="7"/>
  <c r="H38" i="7" s="1"/>
  <c r="I38" i="7"/>
  <c r="F37" i="7"/>
  <c r="H37" i="7" s="1"/>
  <c r="F35" i="7"/>
  <c r="H35" i="7" s="1"/>
  <c r="F33" i="7"/>
  <c r="H33" i="7" s="1"/>
  <c r="F31" i="7"/>
  <c r="H31" i="7" s="1"/>
  <c r="I5" i="7"/>
  <c r="I6" i="7"/>
  <c r="I7" i="7"/>
  <c r="I8" i="7"/>
  <c r="I9" i="7"/>
  <c r="I10" i="7"/>
  <c r="I11" i="7"/>
  <c r="I12" i="7"/>
  <c r="I13" i="7"/>
  <c r="I14" i="7"/>
  <c r="J14" i="7" s="1"/>
  <c r="I15" i="7"/>
  <c r="I16" i="7"/>
  <c r="I17" i="7"/>
  <c r="J17" i="7" s="1"/>
  <c r="I18" i="7"/>
  <c r="J18" i="7" s="1"/>
  <c r="I19" i="7"/>
  <c r="I20" i="7"/>
  <c r="I21" i="7"/>
  <c r="J21" i="7" s="1"/>
  <c r="I4" i="7"/>
  <c r="F5" i="7"/>
  <c r="H5" i="7" s="1"/>
  <c r="F6" i="7"/>
  <c r="H6" i="7" s="1"/>
  <c r="F7" i="7"/>
  <c r="H7" i="7" s="1"/>
  <c r="F8" i="7"/>
  <c r="H8" i="7" s="1"/>
  <c r="F9" i="7"/>
  <c r="H9" i="7" s="1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G18" i="7" s="1"/>
  <c r="E19" i="7"/>
  <c r="G19" i="7" s="1"/>
  <c r="E20" i="7"/>
  <c r="G20" i="7" s="1"/>
  <c r="B10" i="3"/>
  <c r="Q16" i="13" l="1"/>
  <c r="R16" i="13" s="1"/>
  <c r="S16" i="13" s="1"/>
  <c r="Q54" i="13"/>
  <c r="R54" i="13" s="1"/>
  <c r="S54" i="13" s="1"/>
  <c r="E39" i="15"/>
  <c r="Q58" i="13"/>
  <c r="R58" i="13" s="1"/>
  <c r="S58" i="13" s="1"/>
  <c r="Q20" i="13"/>
  <c r="R20" i="13" s="1"/>
  <c r="S20" i="13" s="1"/>
  <c r="Y25" i="9"/>
  <c r="O59" i="13" s="1"/>
  <c r="Z26" i="9"/>
  <c r="AA26" i="9" s="1"/>
  <c r="AB25" i="9"/>
  <c r="AA25" i="9"/>
  <c r="J14" i="9"/>
  <c r="C48" i="13" s="1"/>
  <c r="E48" i="13" s="1"/>
  <c r="F48" i="13" s="1"/>
  <c r="G48" i="13" s="1"/>
  <c r="M14" i="9"/>
  <c r="W26" i="9"/>
  <c r="Y26" i="9" s="1"/>
  <c r="O60" i="13" s="1"/>
  <c r="U28" i="9"/>
  <c r="V11" i="9"/>
  <c r="F14" i="9"/>
  <c r="V12" i="9"/>
  <c r="E22" i="9"/>
  <c r="F22" i="9" s="1"/>
  <c r="Z23" i="9"/>
  <c r="AB23" i="9" s="1"/>
  <c r="Y21" i="9"/>
  <c r="O55" i="13" s="1"/>
  <c r="H22" i="9"/>
  <c r="I22" i="9" s="1"/>
  <c r="C17" i="13" s="1"/>
  <c r="E17" i="13" s="1"/>
  <c r="F17" i="13" s="1"/>
  <c r="G17" i="13" s="1"/>
  <c r="G25" i="9"/>
  <c r="U29" i="8"/>
  <c r="P29" i="8"/>
  <c r="W23" i="9"/>
  <c r="Y23" i="9" s="1"/>
  <c r="O57" i="13" s="1"/>
  <c r="V21" i="9"/>
  <c r="J29" i="8"/>
  <c r="AB26" i="9"/>
  <c r="AB28" i="9"/>
  <c r="L22" i="9"/>
  <c r="M22" i="9"/>
  <c r="L26" i="9"/>
  <c r="M26" i="9"/>
  <c r="M13" i="9"/>
  <c r="L13" i="9"/>
  <c r="E23" i="9"/>
  <c r="G23" i="9" s="1"/>
  <c r="H23" i="9"/>
  <c r="K23" i="9"/>
  <c r="K16" i="9"/>
  <c r="M16" i="9" s="1"/>
  <c r="J21" i="9"/>
  <c r="C55" i="13" s="1"/>
  <c r="E55" i="13" s="1"/>
  <c r="F55" i="13" s="1"/>
  <c r="G55" i="13" s="1"/>
  <c r="I21" i="9"/>
  <c r="C16" i="13" s="1"/>
  <c r="E16" i="13" s="1"/>
  <c r="F16" i="13" s="1"/>
  <c r="G16" i="13" s="1"/>
  <c r="AA11" i="9"/>
  <c r="AB11" i="9"/>
  <c r="I20" i="9"/>
  <c r="C15" i="13" s="1"/>
  <c r="E15" i="13" s="1"/>
  <c r="F15" i="13" s="1"/>
  <c r="G15" i="13" s="1"/>
  <c r="G22" i="9"/>
  <c r="I26" i="9"/>
  <c r="C21" i="13" s="1"/>
  <c r="E21" i="13" s="1"/>
  <c r="F21" i="13" s="1"/>
  <c r="G21" i="13" s="1"/>
  <c r="J26" i="9"/>
  <c r="C60" i="13" s="1"/>
  <c r="E60" i="13" s="1"/>
  <c r="F60" i="13" s="1"/>
  <c r="G60" i="13" s="1"/>
  <c r="K20" i="9"/>
  <c r="M20" i="9" s="1"/>
  <c r="AB12" i="9"/>
  <c r="AA16" i="9"/>
  <c r="AB16" i="9"/>
  <c r="E15" i="9"/>
  <c r="G15" i="9" s="1"/>
  <c r="H15" i="9"/>
  <c r="K15" i="9"/>
  <c r="W19" i="9"/>
  <c r="Y19" i="9" s="1"/>
  <c r="O53" i="13" s="1"/>
  <c r="Z19" i="9"/>
  <c r="AB19" i="9" s="1"/>
  <c r="T19" i="9"/>
  <c r="U19" i="9" s="1"/>
  <c r="E16" i="9"/>
  <c r="G16" i="9" s="1"/>
  <c r="L25" i="9"/>
  <c r="M25" i="9"/>
  <c r="AA24" i="9"/>
  <c r="W15" i="9"/>
  <c r="Y15" i="9" s="1"/>
  <c r="O49" i="13" s="1"/>
  <c r="K24" i="9"/>
  <c r="M24" i="9" s="1"/>
  <c r="Y28" i="9"/>
  <c r="O62" i="13" s="1"/>
  <c r="X28" i="9"/>
  <c r="O23" i="13" s="1"/>
  <c r="K18" i="9"/>
  <c r="E18" i="9"/>
  <c r="G18" i="9" s="1"/>
  <c r="H18" i="9"/>
  <c r="E29" i="8"/>
  <c r="T13" i="9"/>
  <c r="W13" i="9"/>
  <c r="X13" i="9" s="1"/>
  <c r="Z13" i="9"/>
  <c r="AA13" i="9" s="1"/>
  <c r="H28" i="9"/>
  <c r="J28" i="9" s="1"/>
  <c r="C62" i="13" s="1"/>
  <c r="E62" i="13" s="1"/>
  <c r="F62" i="13" s="1"/>
  <c r="K28" i="9"/>
  <c r="L28" i="9" s="1"/>
  <c r="E28" i="9"/>
  <c r="F28" i="9" s="1"/>
  <c r="E27" i="9"/>
  <c r="F27" i="9" s="1"/>
  <c r="H27" i="9"/>
  <c r="I27" i="9" s="1"/>
  <c r="C22" i="13" s="1"/>
  <c r="E22" i="13" s="1"/>
  <c r="F22" i="13" s="1"/>
  <c r="G22" i="13" s="1"/>
  <c r="K27" i="9"/>
  <c r="M27" i="9" s="1"/>
  <c r="F13" i="9"/>
  <c r="G13" i="9"/>
  <c r="K12" i="9"/>
  <c r="M12" i="9" s="1"/>
  <c r="E12" i="9"/>
  <c r="H12" i="9"/>
  <c r="Y12" i="9"/>
  <c r="X12" i="9"/>
  <c r="U23" i="9"/>
  <c r="Y16" i="9"/>
  <c r="O50" i="13" s="1"/>
  <c r="X16" i="9"/>
  <c r="O11" i="13" s="1"/>
  <c r="H16" i="9"/>
  <c r="J16" i="9" s="1"/>
  <c r="C50" i="13" s="1"/>
  <c r="E50" i="13" s="1"/>
  <c r="F50" i="13" s="1"/>
  <c r="G50" i="13" s="1"/>
  <c r="G21" i="9"/>
  <c r="Z18" i="9"/>
  <c r="AA18" i="9" s="1"/>
  <c r="W18" i="9"/>
  <c r="X18" i="9" s="1"/>
  <c r="O13" i="13" s="1"/>
  <c r="T18" i="9"/>
  <c r="V18" i="9" s="1"/>
  <c r="E24" i="9"/>
  <c r="K17" i="9"/>
  <c r="E17" i="9"/>
  <c r="H17" i="9"/>
  <c r="J17" i="9" s="1"/>
  <c r="C51" i="13" s="1"/>
  <c r="E51" i="13" s="1"/>
  <c r="F51" i="13" s="1"/>
  <c r="G51" i="13" s="1"/>
  <c r="X26" i="9"/>
  <c r="O21" i="13" s="1"/>
  <c r="K11" i="9"/>
  <c r="L11" i="9" s="1"/>
  <c r="E11" i="9"/>
  <c r="H11" i="9"/>
  <c r="I11" i="9" s="1"/>
  <c r="D27" i="13" s="1"/>
  <c r="X20" i="9"/>
  <c r="O15" i="13" s="1"/>
  <c r="U24" i="9"/>
  <c r="V24" i="9"/>
  <c r="F26" i="9"/>
  <c r="G26" i="9"/>
  <c r="J13" i="9"/>
  <c r="I13" i="9"/>
  <c r="T14" i="9"/>
  <c r="W14" i="9"/>
  <c r="Z14" i="9"/>
  <c r="AA20" i="9"/>
  <c r="E20" i="9"/>
  <c r="G20" i="9" s="1"/>
  <c r="AA21" i="9"/>
  <c r="V16" i="9"/>
  <c r="L21" i="9"/>
  <c r="M21" i="9"/>
  <c r="J25" i="9"/>
  <c r="C59" i="13" s="1"/>
  <c r="E59" i="13" s="1"/>
  <c r="F59" i="13" s="1"/>
  <c r="G59" i="13" s="1"/>
  <c r="I25" i="9"/>
  <c r="C20" i="13" s="1"/>
  <c r="E20" i="13" s="1"/>
  <c r="F20" i="13" s="1"/>
  <c r="G20" i="13" s="1"/>
  <c r="Y11" i="9"/>
  <c r="O67" i="13" s="1"/>
  <c r="Z17" i="9"/>
  <c r="AA17" i="9" s="1"/>
  <c r="T17" i="9"/>
  <c r="U17" i="9" s="1"/>
  <c r="W17" i="9"/>
  <c r="X17" i="9" s="1"/>
  <c r="O12" i="13" s="1"/>
  <c r="Z22" i="9"/>
  <c r="AA22" i="9" s="1"/>
  <c r="W22" i="9"/>
  <c r="X22" i="9" s="1"/>
  <c r="O17" i="13" s="1"/>
  <c r="T22" i="9"/>
  <c r="U22" i="9" s="1"/>
  <c r="Z15" i="9"/>
  <c r="AB15" i="9" s="1"/>
  <c r="W27" i="9"/>
  <c r="Y27" i="9" s="1"/>
  <c r="O61" i="13" s="1"/>
  <c r="T27" i="9"/>
  <c r="V27" i="9" s="1"/>
  <c r="Z27" i="9"/>
  <c r="AA27" i="9" s="1"/>
  <c r="V20" i="9"/>
  <c r="T15" i="9"/>
  <c r="K19" i="9"/>
  <c r="E19" i="9"/>
  <c r="G19" i="9" s="1"/>
  <c r="H19" i="9"/>
  <c r="H24" i="9"/>
  <c r="J24" i="9" s="1"/>
  <c r="C58" i="13" s="1"/>
  <c r="E58" i="13" s="1"/>
  <c r="F58" i="13" s="1"/>
  <c r="G58" i="13" s="1"/>
  <c r="V26" i="9"/>
  <c r="U26" i="9"/>
  <c r="U18" i="9"/>
  <c r="X24" i="9"/>
  <c r="O19" i="13" s="1"/>
  <c r="J5" i="7"/>
  <c r="J19" i="7"/>
  <c r="J15" i="7"/>
  <c r="H22" i="7"/>
  <c r="J11" i="7"/>
  <c r="J20" i="7"/>
  <c r="J16" i="7"/>
  <c r="J13" i="7"/>
  <c r="J9" i="7"/>
  <c r="J10" i="7"/>
  <c r="J6" i="7"/>
  <c r="J12" i="7"/>
  <c r="J8" i="7"/>
  <c r="J7" i="7"/>
  <c r="G22" i="7"/>
  <c r="F34" i="7"/>
  <c r="H34" i="7" s="1"/>
  <c r="I29" i="7"/>
  <c r="J29" i="7" s="1"/>
  <c r="I35" i="7"/>
  <c r="I37" i="7"/>
  <c r="J37" i="7" s="1"/>
  <c r="I39" i="7"/>
  <c r="J40" i="7" s="1"/>
  <c r="I41" i="7"/>
  <c r="J41" i="7" s="1"/>
  <c r="I43" i="7"/>
  <c r="J43" i="7" s="1"/>
  <c r="I45" i="7"/>
  <c r="J45" i="7" s="1"/>
  <c r="E29" i="7"/>
  <c r="G29" i="7" s="1"/>
  <c r="J31" i="7"/>
  <c r="J32" i="7"/>
  <c r="J33" i="7"/>
  <c r="J34" i="7"/>
  <c r="J35" i="7"/>
  <c r="F29" i="7"/>
  <c r="H29" i="7" s="1"/>
  <c r="E30" i="7"/>
  <c r="G30" i="7" s="1"/>
  <c r="E32" i="7"/>
  <c r="G32" i="7" s="1"/>
  <c r="E34" i="7"/>
  <c r="G34" i="7" s="1"/>
  <c r="J36" i="7"/>
  <c r="E36" i="7"/>
  <c r="G36" i="7" s="1"/>
  <c r="E31" i="7"/>
  <c r="G31" i="7" s="1"/>
  <c r="E33" i="7"/>
  <c r="G33" i="7" s="1"/>
  <c r="E35" i="7"/>
  <c r="G35" i="7" s="1"/>
  <c r="J39" i="7"/>
  <c r="E37" i="7"/>
  <c r="G37" i="7" s="1"/>
  <c r="E38" i="7"/>
  <c r="G38" i="7" s="1"/>
  <c r="E39" i="7"/>
  <c r="G39" i="7" s="1"/>
  <c r="E40" i="7"/>
  <c r="G40" i="7" s="1"/>
  <c r="E41" i="7"/>
  <c r="G41" i="7" s="1"/>
  <c r="E42" i="7"/>
  <c r="G42" i="7" s="1"/>
  <c r="E43" i="7"/>
  <c r="G43" i="7" s="1"/>
  <c r="E44" i="7"/>
  <c r="G44" i="7" s="1"/>
  <c r="D60" i="6"/>
  <c r="C53" i="6"/>
  <c r="E53" i="6" s="1"/>
  <c r="C54" i="6"/>
  <c r="C55" i="6"/>
  <c r="C56" i="6"/>
  <c r="E56" i="6" s="1"/>
  <c r="C57" i="6"/>
  <c r="E57" i="6" s="1"/>
  <c r="C58" i="6"/>
  <c r="C59" i="6"/>
  <c r="C60" i="6"/>
  <c r="E60" i="6" s="1"/>
  <c r="C61" i="6"/>
  <c r="E61" i="6" s="1"/>
  <c r="C52" i="6"/>
  <c r="E52" i="6" s="1"/>
  <c r="C37" i="6"/>
  <c r="E37" i="6" s="1"/>
  <c r="B53" i="6"/>
  <c r="D53" i="6" s="1"/>
  <c r="B54" i="6"/>
  <c r="D54" i="6" s="1"/>
  <c r="B55" i="6"/>
  <c r="D55" i="6" s="1"/>
  <c r="B56" i="6"/>
  <c r="D56" i="6" s="1"/>
  <c r="B57" i="6"/>
  <c r="D57" i="6" s="1"/>
  <c r="B58" i="6"/>
  <c r="D58" i="6" s="1"/>
  <c r="B59" i="6"/>
  <c r="D59" i="6" s="1"/>
  <c r="B60" i="6"/>
  <c r="B61" i="6"/>
  <c r="D61" i="6" s="1"/>
  <c r="B52" i="6"/>
  <c r="D52" i="6" s="1"/>
  <c r="B37" i="6"/>
  <c r="D37" i="6" s="1"/>
  <c r="E59" i="6"/>
  <c r="E58" i="6"/>
  <c r="E55" i="6"/>
  <c r="E54" i="6"/>
  <c r="A53" i="6"/>
  <c r="A38" i="6"/>
  <c r="B38" i="6"/>
  <c r="D38" i="6" s="1"/>
  <c r="C38" i="6"/>
  <c r="E38" i="6" s="1"/>
  <c r="B39" i="6"/>
  <c r="D39" i="6" s="1"/>
  <c r="F39" i="6" s="1"/>
  <c r="C39" i="6"/>
  <c r="E39" i="6"/>
  <c r="B40" i="6"/>
  <c r="D40" i="6" s="1"/>
  <c r="C40" i="6"/>
  <c r="E40" i="6" s="1"/>
  <c r="B41" i="6"/>
  <c r="D41" i="6" s="1"/>
  <c r="C41" i="6"/>
  <c r="E41" i="6" s="1"/>
  <c r="B42" i="6"/>
  <c r="D42" i="6" s="1"/>
  <c r="C42" i="6"/>
  <c r="E42" i="6" s="1"/>
  <c r="B43" i="6"/>
  <c r="D43" i="6" s="1"/>
  <c r="F43" i="6" s="1"/>
  <c r="C43" i="6"/>
  <c r="E43" i="6"/>
  <c r="B44" i="6"/>
  <c r="D44" i="6" s="1"/>
  <c r="C44" i="6"/>
  <c r="E44" i="6" s="1"/>
  <c r="B45" i="6"/>
  <c r="D45" i="6" s="1"/>
  <c r="C45" i="6"/>
  <c r="E45" i="6" s="1"/>
  <c r="B46" i="6"/>
  <c r="D46" i="6" s="1"/>
  <c r="C46" i="6"/>
  <c r="E46" i="6" s="1"/>
  <c r="E26" i="6"/>
  <c r="E27" i="6"/>
  <c r="E30" i="6"/>
  <c r="E31" i="6"/>
  <c r="C24" i="6"/>
  <c r="E24" i="6" s="1"/>
  <c r="C25" i="6"/>
  <c r="E25" i="6" s="1"/>
  <c r="C26" i="6"/>
  <c r="C27" i="6"/>
  <c r="C28" i="6"/>
  <c r="E28" i="6" s="1"/>
  <c r="C29" i="6"/>
  <c r="E29" i="6" s="1"/>
  <c r="C30" i="6"/>
  <c r="C31" i="6"/>
  <c r="C32" i="6"/>
  <c r="E32" i="6" s="1"/>
  <c r="C23" i="6"/>
  <c r="B24" i="6"/>
  <c r="B25" i="6"/>
  <c r="B26" i="6"/>
  <c r="B27" i="6"/>
  <c r="B28" i="6"/>
  <c r="B29" i="6"/>
  <c r="B30" i="6"/>
  <c r="B31" i="6"/>
  <c r="B32" i="6"/>
  <c r="B23" i="6"/>
  <c r="A24" i="6"/>
  <c r="B44" i="15" l="1"/>
  <c r="E43" i="15"/>
  <c r="B40" i="15"/>
  <c r="Q19" i="13"/>
  <c r="R19" i="13" s="1"/>
  <c r="S19" i="13" s="1"/>
  <c r="Q61" i="13"/>
  <c r="R61" i="13" s="1"/>
  <c r="S61" i="13" s="1"/>
  <c r="Q15" i="13"/>
  <c r="R15" i="13" s="1"/>
  <c r="S15" i="13" s="1"/>
  <c r="B39" i="15"/>
  <c r="Q21" i="13"/>
  <c r="R21" i="13" s="1"/>
  <c r="S21" i="13" s="1"/>
  <c r="B45" i="15"/>
  <c r="Q13" i="13"/>
  <c r="R13" i="13" s="1"/>
  <c r="S13" i="13" s="1"/>
  <c r="Q11" i="13"/>
  <c r="R11" i="13" s="1"/>
  <c r="S11" i="13" s="1"/>
  <c r="Q62" i="13"/>
  <c r="R62" i="13" s="1"/>
  <c r="Q49" i="13"/>
  <c r="R49" i="13" s="1"/>
  <c r="S49" i="13" s="1"/>
  <c r="Q55" i="13"/>
  <c r="R55" i="13" s="1"/>
  <c r="S55" i="13" s="1"/>
  <c r="E40" i="15"/>
  <c r="Q17" i="13"/>
  <c r="R17" i="13" s="1"/>
  <c r="S17" i="13" s="1"/>
  <c r="B41" i="15"/>
  <c r="Q12" i="13"/>
  <c r="R12" i="13" s="1"/>
  <c r="S12" i="13" s="1"/>
  <c r="Q50" i="13"/>
  <c r="R50" i="13" s="1"/>
  <c r="S50" i="13" s="1"/>
  <c r="E35" i="15"/>
  <c r="Q23" i="13"/>
  <c r="R23" i="13" s="1"/>
  <c r="Q53" i="13"/>
  <c r="R53" i="13" s="1"/>
  <c r="S53" i="13" s="1"/>
  <c r="Q57" i="13"/>
  <c r="R57" i="13" s="1"/>
  <c r="S57" i="13" s="1"/>
  <c r="E42" i="15"/>
  <c r="Q60" i="13"/>
  <c r="R60" i="13" s="1"/>
  <c r="S60" i="13" s="1"/>
  <c r="E45" i="15"/>
  <c r="Q59" i="13"/>
  <c r="R59" i="13" s="1"/>
  <c r="S59" i="13" s="1"/>
  <c r="E44" i="15"/>
  <c r="J22" i="9"/>
  <c r="C56" i="13" s="1"/>
  <c r="E56" i="13" s="1"/>
  <c r="F56" i="13" s="1"/>
  <c r="G56" i="13" s="1"/>
  <c r="F11" i="9"/>
  <c r="G11" i="9"/>
  <c r="AB17" i="9"/>
  <c r="F46" i="6"/>
  <c r="F42" i="6"/>
  <c r="F38" i="6"/>
  <c r="F52" i="6"/>
  <c r="F61" i="6"/>
  <c r="F53" i="6"/>
  <c r="F45" i="6"/>
  <c r="F41" i="6"/>
  <c r="F57" i="6"/>
  <c r="F23" i="6"/>
  <c r="F44" i="6"/>
  <c r="F40" i="6"/>
  <c r="E23" i="6"/>
  <c r="J30" i="7"/>
  <c r="O46" i="13"/>
  <c r="O68" i="13"/>
  <c r="D68" i="13"/>
  <c r="C46" i="13"/>
  <c r="O29" i="13"/>
  <c r="O8" i="13"/>
  <c r="D69" i="13"/>
  <c r="C47" i="13"/>
  <c r="E47" i="13" s="1"/>
  <c r="F47" i="13" s="1"/>
  <c r="G47" i="13" s="1"/>
  <c r="O7" i="13"/>
  <c r="O28" i="13"/>
  <c r="Y17" i="9"/>
  <c r="O51" i="13" s="1"/>
  <c r="C8" i="13"/>
  <c r="E8" i="13" s="1"/>
  <c r="F8" i="13" s="1"/>
  <c r="G8" i="13" s="1"/>
  <c r="D29" i="13"/>
  <c r="AA23" i="9"/>
  <c r="I12" i="9"/>
  <c r="AB18" i="9"/>
  <c r="X23" i="9"/>
  <c r="O18" i="13" s="1"/>
  <c r="V17" i="9"/>
  <c r="AB22" i="9"/>
  <c r="Y22" i="9"/>
  <c r="O56" i="13" s="1"/>
  <c r="G27" i="9"/>
  <c r="M28" i="9"/>
  <c r="AA19" i="9"/>
  <c r="G28" i="9"/>
  <c r="M11" i="9"/>
  <c r="X15" i="9"/>
  <c r="O10" i="13" s="1"/>
  <c r="L16" i="9"/>
  <c r="F19" i="9"/>
  <c r="V22" i="9"/>
  <c r="Y18" i="9"/>
  <c r="O52" i="13" s="1"/>
  <c r="U27" i="9"/>
  <c r="X14" i="9"/>
  <c r="O9" i="13" s="1"/>
  <c r="Y14" i="9"/>
  <c r="O48" i="13" s="1"/>
  <c r="L17" i="9"/>
  <c r="M17" i="9"/>
  <c r="L19" i="9"/>
  <c r="M19" i="9"/>
  <c r="F12" i="9"/>
  <c r="G12" i="9"/>
  <c r="I23" i="9"/>
  <c r="C18" i="13" s="1"/>
  <c r="E18" i="13" s="1"/>
  <c r="F18" i="13" s="1"/>
  <c r="G18" i="13" s="1"/>
  <c r="J23" i="9"/>
  <c r="C57" i="13" s="1"/>
  <c r="E57" i="13" s="1"/>
  <c r="F57" i="13" s="1"/>
  <c r="G57" i="13" s="1"/>
  <c r="L24" i="9"/>
  <c r="U14" i="9"/>
  <c r="V14" i="9"/>
  <c r="F24" i="9"/>
  <c r="G24" i="9"/>
  <c r="X27" i="9"/>
  <c r="O22" i="13" s="1"/>
  <c r="V13" i="9"/>
  <c r="U13" i="9"/>
  <c r="L18" i="9"/>
  <c r="M18" i="9"/>
  <c r="X19" i="9"/>
  <c r="O14" i="13" s="1"/>
  <c r="L15" i="9"/>
  <c r="M15" i="9"/>
  <c r="L27" i="9"/>
  <c r="L20" i="9"/>
  <c r="I19" i="9"/>
  <c r="C14" i="13" s="1"/>
  <c r="E14" i="13" s="1"/>
  <c r="F14" i="13" s="1"/>
  <c r="G14" i="13" s="1"/>
  <c r="J19" i="9"/>
  <c r="C53" i="13" s="1"/>
  <c r="E53" i="13" s="1"/>
  <c r="F53" i="13" s="1"/>
  <c r="G53" i="13" s="1"/>
  <c r="U15" i="9"/>
  <c r="V15" i="9"/>
  <c r="AB27" i="9"/>
  <c r="I17" i="9"/>
  <c r="C12" i="13" s="1"/>
  <c r="E12" i="13" s="1"/>
  <c r="F12" i="13" s="1"/>
  <c r="G12" i="13" s="1"/>
  <c r="L12" i="9"/>
  <c r="Y13" i="9"/>
  <c r="F18" i="9"/>
  <c r="V19" i="9"/>
  <c r="I15" i="9"/>
  <c r="C10" i="13" s="1"/>
  <c r="E10" i="13" s="1"/>
  <c r="F10" i="13" s="1"/>
  <c r="G10" i="13" s="1"/>
  <c r="J15" i="9"/>
  <c r="C49" i="13" s="1"/>
  <c r="E49" i="13" s="1"/>
  <c r="F49" i="13" s="1"/>
  <c r="G49" i="13" s="1"/>
  <c r="I28" i="9"/>
  <c r="C23" i="13" s="1"/>
  <c r="E23" i="13" s="1"/>
  <c r="F23" i="13" s="1"/>
  <c r="F23" i="9"/>
  <c r="I16" i="9"/>
  <c r="C11" i="13" s="1"/>
  <c r="E11" i="13" s="1"/>
  <c r="F11" i="13" s="1"/>
  <c r="G11" i="13" s="1"/>
  <c r="AA14" i="9"/>
  <c r="AB14" i="9"/>
  <c r="J11" i="9"/>
  <c r="D67" i="13" s="1"/>
  <c r="F17" i="9"/>
  <c r="G17" i="9"/>
  <c r="J27" i="9"/>
  <c r="C61" i="13" s="1"/>
  <c r="E61" i="13" s="1"/>
  <c r="F61" i="13" s="1"/>
  <c r="G61" i="13" s="1"/>
  <c r="AB13" i="9"/>
  <c r="I18" i="9"/>
  <c r="C13" i="13" s="1"/>
  <c r="E13" i="13" s="1"/>
  <c r="F13" i="13" s="1"/>
  <c r="G13" i="13" s="1"/>
  <c r="J18" i="9"/>
  <c r="C52" i="13" s="1"/>
  <c r="E52" i="13" s="1"/>
  <c r="F52" i="13" s="1"/>
  <c r="G52" i="13" s="1"/>
  <c r="AA15" i="9"/>
  <c r="F15" i="9"/>
  <c r="F20" i="9"/>
  <c r="L23" i="9"/>
  <c r="M23" i="9"/>
  <c r="I24" i="9"/>
  <c r="C19" i="13" s="1"/>
  <c r="E19" i="13" s="1"/>
  <c r="F19" i="13" s="1"/>
  <c r="G19" i="13" s="1"/>
  <c r="F16" i="9"/>
  <c r="J42" i="7"/>
  <c r="H46" i="7"/>
  <c r="J44" i="7"/>
  <c r="J38" i="7"/>
  <c r="J22" i="7"/>
  <c r="G24" i="7" s="1"/>
  <c r="G46" i="7"/>
  <c r="F55" i="6"/>
  <c r="F59" i="6"/>
  <c r="F60" i="6"/>
  <c r="F58" i="6"/>
  <c r="F56" i="6"/>
  <c r="F54" i="6"/>
  <c r="F37" i="6"/>
  <c r="F24" i="6"/>
  <c r="F25" i="6"/>
  <c r="F26" i="6"/>
  <c r="F27" i="6"/>
  <c r="F28" i="6"/>
  <c r="F29" i="6"/>
  <c r="F30" i="6"/>
  <c r="F31" i="6"/>
  <c r="F32" i="6"/>
  <c r="C10" i="5"/>
  <c r="G21" i="5"/>
  <c r="G20" i="5"/>
  <c r="G19" i="5"/>
  <c r="G18" i="5"/>
  <c r="G17" i="5"/>
  <c r="G16" i="5"/>
  <c r="G15" i="5"/>
  <c r="G14" i="5"/>
  <c r="F21" i="5"/>
  <c r="F20" i="5"/>
  <c r="F19" i="5"/>
  <c r="F18" i="5"/>
  <c r="F17" i="5"/>
  <c r="F16" i="5"/>
  <c r="F15" i="5"/>
  <c r="F14" i="5"/>
  <c r="C21" i="5"/>
  <c r="C20" i="5"/>
  <c r="C19" i="5"/>
  <c r="C18" i="5"/>
  <c r="C17" i="5"/>
  <c r="C16" i="5"/>
  <c r="C15" i="5"/>
  <c r="C14" i="5"/>
  <c r="B21" i="5"/>
  <c r="B20" i="5"/>
  <c r="B19" i="5"/>
  <c r="B18" i="5"/>
  <c r="B17" i="5"/>
  <c r="B16" i="5"/>
  <c r="B15" i="5"/>
  <c r="B14" i="5"/>
  <c r="E46" i="13" l="1"/>
  <c r="F46" i="13" s="1"/>
  <c r="G46" i="13" s="1"/>
  <c r="I5" i="18"/>
  <c r="C27" i="18"/>
  <c r="E38" i="15"/>
  <c r="B36" i="15"/>
  <c r="E34" i="15"/>
  <c r="B35" i="15"/>
  <c r="B37" i="15"/>
  <c r="E46" i="15"/>
  <c r="B43" i="15"/>
  <c r="Q14" i="13"/>
  <c r="R14" i="13" s="1"/>
  <c r="S14" i="13" s="1"/>
  <c r="B38" i="15"/>
  <c r="Q9" i="13"/>
  <c r="R9" i="13" s="1"/>
  <c r="S9" i="13" s="1"/>
  <c r="B33" i="15"/>
  <c r="Q52" i="13"/>
  <c r="R52" i="13" s="1"/>
  <c r="S52" i="13" s="1"/>
  <c r="E37" i="15"/>
  <c r="Q10" i="13"/>
  <c r="R10" i="13" s="1"/>
  <c r="S10" i="13" s="1"/>
  <c r="B34" i="15"/>
  <c r="Q56" i="13"/>
  <c r="R56" i="13" s="1"/>
  <c r="S56" i="13" s="1"/>
  <c r="E41" i="15"/>
  <c r="Q8" i="13"/>
  <c r="R8" i="13" s="1"/>
  <c r="S8" i="13" s="1"/>
  <c r="B32" i="15"/>
  <c r="Q22" i="13"/>
  <c r="R22" i="13" s="1"/>
  <c r="S22" i="13" s="1"/>
  <c r="B46" i="15"/>
  <c r="Q48" i="13"/>
  <c r="R48" i="13" s="1"/>
  <c r="S48" i="13" s="1"/>
  <c r="E33" i="15"/>
  <c r="Q18" i="13"/>
  <c r="R18" i="13" s="1"/>
  <c r="S18" i="13" s="1"/>
  <c r="B42" i="15"/>
  <c r="Q51" i="13"/>
  <c r="R51" i="13" s="1"/>
  <c r="S51" i="13" s="1"/>
  <c r="E36" i="15"/>
  <c r="Q7" i="13"/>
  <c r="R7" i="13" s="1"/>
  <c r="S7" i="13" s="1"/>
  <c r="Q46" i="13"/>
  <c r="R46" i="13" s="1"/>
  <c r="S46" i="13" s="1"/>
  <c r="E31" i="15"/>
  <c r="F62" i="6"/>
  <c r="G52" i="6" s="1"/>
  <c r="H52" i="6" s="1"/>
  <c r="I52" i="6" s="1"/>
  <c r="G58" i="6"/>
  <c r="H58" i="6" s="1"/>
  <c r="G56" i="6"/>
  <c r="H56" i="6" s="1"/>
  <c r="J56" i="6" s="1"/>
  <c r="G55" i="6"/>
  <c r="H55" i="6" s="1"/>
  <c r="D74" i="13"/>
  <c r="D72" i="13"/>
  <c r="D73" i="13"/>
  <c r="D71" i="13"/>
  <c r="D28" i="13"/>
  <c r="C7" i="13"/>
  <c r="E7" i="13" s="1"/>
  <c r="F7" i="13" s="1"/>
  <c r="G7" i="13" s="1"/>
  <c r="F47" i="6"/>
  <c r="G41" i="6" s="1"/>
  <c r="H41" i="6" s="1"/>
  <c r="G60" i="6"/>
  <c r="H60" i="6" s="1"/>
  <c r="O69" i="13"/>
  <c r="O71" i="13" s="1"/>
  <c r="O47" i="13"/>
  <c r="G53" i="6"/>
  <c r="H53" i="6" s="1"/>
  <c r="I53" i="6" s="1"/>
  <c r="G54" i="6"/>
  <c r="H54" i="6" s="1"/>
  <c r="G59" i="6"/>
  <c r="H59" i="6" s="1"/>
  <c r="J59" i="6" s="1"/>
  <c r="J46" i="7"/>
  <c r="G48" i="7" s="1"/>
  <c r="O31" i="13"/>
  <c r="O33" i="13"/>
  <c r="O32" i="13"/>
  <c r="O34" i="13"/>
  <c r="G57" i="6"/>
  <c r="H57" i="6" s="1"/>
  <c r="G61" i="6"/>
  <c r="H61" i="6" s="1"/>
  <c r="I59" i="6"/>
  <c r="G45" i="6"/>
  <c r="H45" i="6" s="1"/>
  <c r="J45" i="6" s="1"/>
  <c r="G38" i="6"/>
  <c r="H38" i="6" s="1"/>
  <c r="J38" i="6" s="1"/>
  <c r="G42" i="6"/>
  <c r="H42" i="6" s="1"/>
  <c r="J42" i="6" s="1"/>
  <c r="G46" i="6"/>
  <c r="H46" i="6" s="1"/>
  <c r="J46" i="6" s="1"/>
  <c r="I45" i="6"/>
  <c r="I38" i="6"/>
  <c r="F33" i="6"/>
  <c r="G24" i="6" s="1"/>
  <c r="C5" i="5"/>
  <c r="B10" i="6"/>
  <c r="B11" i="6"/>
  <c r="B12" i="6"/>
  <c r="B13" i="6"/>
  <c r="B14" i="6"/>
  <c r="B15" i="6"/>
  <c r="B16" i="6"/>
  <c r="B17" i="6"/>
  <c r="B18" i="6"/>
  <c r="B9" i="6"/>
  <c r="C10" i="6"/>
  <c r="C11" i="6"/>
  <c r="C12" i="6"/>
  <c r="C13" i="6"/>
  <c r="C14" i="6"/>
  <c r="C15" i="6"/>
  <c r="C16" i="6"/>
  <c r="C17" i="6"/>
  <c r="C18" i="6"/>
  <c r="C9" i="6"/>
  <c r="A10" i="6"/>
  <c r="B31" i="15" l="1"/>
  <c r="Q47" i="13"/>
  <c r="R47" i="13" s="1"/>
  <c r="S47" i="13" s="1"/>
  <c r="E32" i="15"/>
  <c r="G26" i="6"/>
  <c r="G32" i="6"/>
  <c r="G25" i="6"/>
  <c r="H25" i="6" s="1"/>
  <c r="G28" i="6"/>
  <c r="I41" i="6"/>
  <c r="J41" i="6"/>
  <c r="I42" i="6"/>
  <c r="J60" i="6"/>
  <c r="I60" i="6"/>
  <c r="I55" i="6"/>
  <c r="J55" i="6"/>
  <c r="E9" i="6"/>
  <c r="F10" i="6"/>
  <c r="E10" i="6"/>
  <c r="G29" i="6"/>
  <c r="G27" i="6"/>
  <c r="H27" i="6" s="1"/>
  <c r="G30" i="6"/>
  <c r="E15" i="6"/>
  <c r="F15" i="6"/>
  <c r="D31" i="13"/>
  <c r="D33" i="13"/>
  <c r="D32" i="13"/>
  <c r="D34" i="13"/>
  <c r="F18" i="6"/>
  <c r="E18" i="6"/>
  <c r="O35" i="13"/>
  <c r="E13" i="6"/>
  <c r="J53" i="6"/>
  <c r="J61" i="6"/>
  <c r="I61" i="6"/>
  <c r="G23" i="6"/>
  <c r="D75" i="13"/>
  <c r="O72" i="13"/>
  <c r="G31" i="6"/>
  <c r="F11" i="6"/>
  <c r="E11" i="6"/>
  <c r="E14" i="6"/>
  <c r="E17" i="6"/>
  <c r="E16" i="6"/>
  <c r="F16" i="6"/>
  <c r="E12" i="6"/>
  <c r="I46" i="6"/>
  <c r="I57" i="6"/>
  <c r="J57" i="6"/>
  <c r="O73" i="13"/>
  <c r="G39" i="6"/>
  <c r="H39" i="6" s="1"/>
  <c r="G44" i="6"/>
  <c r="H44" i="6" s="1"/>
  <c r="G40" i="6"/>
  <c r="H40" i="6" s="1"/>
  <c r="G43" i="6"/>
  <c r="H43" i="6" s="1"/>
  <c r="G37" i="6"/>
  <c r="H37" i="6" s="1"/>
  <c r="O74" i="13"/>
  <c r="I56" i="6"/>
  <c r="J58" i="6"/>
  <c r="I58" i="6"/>
  <c r="J54" i="6"/>
  <c r="I54" i="6"/>
  <c r="J52" i="6"/>
  <c r="H26" i="6"/>
  <c r="H32" i="6"/>
  <c r="H24" i="6"/>
  <c r="G10" i="5"/>
  <c r="F10" i="5"/>
  <c r="B10" i="5"/>
  <c r="D35" i="13" l="1"/>
  <c r="O75" i="13"/>
  <c r="E4" i="6"/>
  <c r="C6" i="13"/>
  <c r="E6" i="13" s="1"/>
  <c r="F6" i="13" s="1"/>
  <c r="G6" i="13" s="1"/>
  <c r="I6" i="13" s="1"/>
  <c r="H7" i="13" s="1"/>
  <c r="D36" i="13"/>
  <c r="C5" i="13" s="1"/>
  <c r="J37" i="6"/>
  <c r="I37" i="6"/>
  <c r="I39" i="6"/>
  <c r="J39" i="6"/>
  <c r="F14" i="6"/>
  <c r="O6" i="13"/>
  <c r="O36" i="13"/>
  <c r="O5" i="13" s="1"/>
  <c r="F9" i="6"/>
  <c r="J43" i="6"/>
  <c r="I43" i="6"/>
  <c r="F12" i="6"/>
  <c r="F17" i="6"/>
  <c r="C45" i="13"/>
  <c r="E45" i="13" s="1"/>
  <c r="F45" i="13" s="1"/>
  <c r="G45" i="13" s="1"/>
  <c r="I45" i="13" s="1"/>
  <c r="H46" i="13" s="1"/>
  <c r="J45" i="13" s="1"/>
  <c r="D76" i="13"/>
  <c r="C44" i="13" s="1"/>
  <c r="C26" i="18" s="1"/>
  <c r="J44" i="6"/>
  <c r="I44" i="6"/>
  <c r="J40" i="6"/>
  <c r="I40" i="6"/>
  <c r="F13" i="6"/>
  <c r="H30" i="6"/>
  <c r="I30" i="6" s="1"/>
  <c r="H23" i="6"/>
  <c r="H29" i="6"/>
  <c r="J29" i="6" s="1"/>
  <c r="H28" i="6"/>
  <c r="I28" i="6" s="1"/>
  <c r="H31" i="6"/>
  <c r="J31" i="6" s="1"/>
  <c r="J25" i="6"/>
  <c r="I25" i="6"/>
  <c r="I24" i="6"/>
  <c r="J24" i="6"/>
  <c r="I32" i="6"/>
  <c r="J32" i="6"/>
  <c r="J27" i="6"/>
  <c r="I27" i="6"/>
  <c r="I26" i="6"/>
  <c r="J26" i="6"/>
  <c r="E5" i="5"/>
  <c r="B5" i="5"/>
  <c r="D5" i="5"/>
  <c r="Y18" i="3"/>
  <c r="Y4" i="3"/>
  <c r="Y16" i="3"/>
  <c r="Y15" i="3"/>
  <c r="Y12" i="3"/>
  <c r="Y11" i="3"/>
  <c r="Y8" i="3"/>
  <c r="Y7" i="3"/>
  <c r="Y5" i="3"/>
  <c r="Y6" i="3"/>
  <c r="Y9" i="3"/>
  <c r="Y10" i="3"/>
  <c r="Y13" i="3"/>
  <c r="Y14" i="3"/>
  <c r="Y17" i="3"/>
  <c r="Y21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3" i="4"/>
  <c r="F38" i="21" l="1"/>
  <c r="K40" i="21" s="1"/>
  <c r="F41" i="21"/>
  <c r="F40" i="21"/>
  <c r="F39" i="21"/>
  <c r="E26" i="18"/>
  <c r="F26" i="18" s="1"/>
  <c r="E4" i="18"/>
  <c r="F4" i="18" s="1"/>
  <c r="Q5" i="13"/>
  <c r="R5" i="13" s="1"/>
  <c r="B29" i="15"/>
  <c r="O24" i="13"/>
  <c r="E44" i="13"/>
  <c r="F44" i="13" s="1"/>
  <c r="C63" i="13"/>
  <c r="F26" i="15" s="1"/>
  <c r="Q6" i="13"/>
  <c r="R6" i="13" s="1"/>
  <c r="S6" i="13" s="1"/>
  <c r="U6" i="13" s="1"/>
  <c r="T7" i="13" s="1"/>
  <c r="U7" i="13" s="1"/>
  <c r="T8" i="13" s="1"/>
  <c r="B30" i="15"/>
  <c r="E5" i="13"/>
  <c r="F5" i="13" s="1"/>
  <c r="C24" i="13"/>
  <c r="O76" i="13"/>
  <c r="O44" i="13" s="1"/>
  <c r="O45" i="13"/>
  <c r="J30" i="6"/>
  <c r="J28" i="6"/>
  <c r="I46" i="13"/>
  <c r="H47" i="13" s="1"/>
  <c r="J46" i="13" s="1"/>
  <c r="D4" i="6"/>
  <c r="I31" i="6"/>
  <c r="I29" i="6"/>
  <c r="F19" i="6"/>
  <c r="G9" i="6" s="1"/>
  <c r="H9" i="6" s="1"/>
  <c r="I7" i="13"/>
  <c r="H8" i="13" s="1"/>
  <c r="I8" i="13" s="1"/>
  <c r="H9" i="13" s="1"/>
  <c r="J23" i="6"/>
  <c r="C4" i="6" s="1"/>
  <c r="I23" i="6"/>
  <c r="AP4" i="4"/>
  <c r="AP5" i="4"/>
  <c r="AP3" i="4"/>
  <c r="G26" i="18" l="1"/>
  <c r="J26" i="18" s="1"/>
  <c r="K26" i="18" s="1"/>
  <c r="E5" i="18"/>
  <c r="F5" i="18" s="1"/>
  <c r="G4" i="18" s="1"/>
  <c r="H5" i="18" s="1"/>
  <c r="J5" i="18" s="1"/>
  <c r="K5" i="18" s="1"/>
  <c r="E27" i="18"/>
  <c r="F27" i="18" s="1"/>
  <c r="K39" i="21"/>
  <c r="K41" i="21" s="1"/>
  <c r="K39" i="22"/>
  <c r="K41" i="22" s="1"/>
  <c r="E29" i="15"/>
  <c r="O63" i="13"/>
  <c r="Q44" i="13"/>
  <c r="R44" i="13" s="1"/>
  <c r="V7" i="13"/>
  <c r="C47" i="15"/>
  <c r="I29" i="15" s="1"/>
  <c r="I33" i="15" s="1"/>
  <c r="E30" i="15"/>
  <c r="Q45" i="13"/>
  <c r="R45" i="13" s="1"/>
  <c r="S45" i="13" s="1"/>
  <c r="U45" i="13" s="1"/>
  <c r="T46" i="13" s="1"/>
  <c r="J9" i="6"/>
  <c r="I9" i="6"/>
  <c r="J8" i="13"/>
  <c r="I9" i="13"/>
  <c r="H10" i="13" s="1"/>
  <c r="I47" i="13"/>
  <c r="H48" i="13" s="1"/>
  <c r="J47" i="13" s="1"/>
  <c r="U8" i="13"/>
  <c r="T9" i="13" s="1"/>
  <c r="J7" i="13"/>
  <c r="G12" i="6"/>
  <c r="H12" i="6" s="1"/>
  <c r="G16" i="6"/>
  <c r="H16" i="6" s="1"/>
  <c r="G17" i="6"/>
  <c r="H17" i="6" s="1"/>
  <c r="G10" i="6"/>
  <c r="H10" i="6" s="1"/>
  <c r="G15" i="6"/>
  <c r="H15" i="6" s="1"/>
  <c r="G13" i="6"/>
  <c r="H13" i="6" s="1"/>
  <c r="G18" i="6"/>
  <c r="H18" i="6" s="1"/>
  <c r="G11" i="6"/>
  <c r="H11" i="6" s="1"/>
  <c r="G14" i="6"/>
  <c r="H14" i="6" s="1"/>
  <c r="AP5" i="3"/>
  <c r="AP6" i="3"/>
  <c r="AP4" i="3"/>
  <c r="E6" i="18" l="1"/>
  <c r="F6" i="18" s="1"/>
  <c r="G5" i="18" s="1"/>
  <c r="H6" i="18" s="1"/>
  <c r="J6" i="18" s="1"/>
  <c r="K6" i="18" s="1"/>
  <c r="E28" i="18"/>
  <c r="F28" i="18" s="1"/>
  <c r="G27" i="18" s="1"/>
  <c r="J27" i="18" s="1"/>
  <c r="K27" i="18" s="1"/>
  <c r="U46" i="13"/>
  <c r="T47" i="13" s="1"/>
  <c r="F47" i="15"/>
  <c r="I30" i="15" s="1"/>
  <c r="I34" i="15" s="1"/>
  <c r="I13" i="6"/>
  <c r="J13" i="6"/>
  <c r="J15" i="6"/>
  <c r="I15" i="6"/>
  <c r="U9" i="13"/>
  <c r="T10" i="13" s="1"/>
  <c r="V9" i="13" s="1"/>
  <c r="J11" i="6"/>
  <c r="I11" i="6"/>
  <c r="I10" i="6"/>
  <c r="J10" i="6"/>
  <c r="V8" i="13"/>
  <c r="J16" i="6"/>
  <c r="I16" i="6"/>
  <c r="J9" i="13"/>
  <c r="I10" i="13"/>
  <c r="H11" i="13" s="1"/>
  <c r="J14" i="6"/>
  <c r="I14" i="6"/>
  <c r="J12" i="6"/>
  <c r="I12" i="6"/>
  <c r="I18" i="6"/>
  <c r="J18" i="6"/>
  <c r="J17" i="6"/>
  <c r="I17" i="6"/>
  <c r="I48" i="13"/>
  <c r="H49" i="13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D105" i="4"/>
  <c r="E105" i="4" s="1"/>
  <c r="C105" i="4"/>
  <c r="V46" i="13" l="1"/>
  <c r="U47" i="13"/>
  <c r="T48" i="13" s="1"/>
  <c r="U48" i="13" s="1"/>
  <c r="T49" i="13" s="1"/>
  <c r="B4" i="6"/>
  <c r="AS3" i="4"/>
  <c r="AC4" i="4"/>
  <c r="AC8" i="4"/>
  <c r="AC12" i="4"/>
  <c r="AC16" i="4"/>
  <c r="AC20" i="4"/>
  <c r="AB5" i="4"/>
  <c r="AB9" i="4"/>
  <c r="AB13" i="4"/>
  <c r="AB17" i="4"/>
  <c r="AB21" i="4"/>
  <c r="F5" i="4"/>
  <c r="F9" i="4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65" i="4"/>
  <c r="F69" i="4"/>
  <c r="F73" i="4"/>
  <c r="F77" i="4"/>
  <c r="F81" i="4"/>
  <c r="F85" i="4"/>
  <c r="F89" i="4"/>
  <c r="F93" i="4"/>
  <c r="F97" i="4"/>
  <c r="F101" i="4"/>
  <c r="E4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3" i="4"/>
  <c r="AT3" i="4"/>
  <c r="AS4" i="4"/>
  <c r="AC5" i="4"/>
  <c r="AC9" i="4"/>
  <c r="AC13" i="4"/>
  <c r="AC17" i="4"/>
  <c r="AC21" i="4"/>
  <c r="AB6" i="4"/>
  <c r="AB10" i="4"/>
  <c r="AB14" i="4"/>
  <c r="AB18" i="4"/>
  <c r="E104" i="4"/>
  <c r="F6" i="4"/>
  <c r="F10" i="4"/>
  <c r="F14" i="4"/>
  <c r="F18" i="4"/>
  <c r="F22" i="4"/>
  <c r="F26" i="4"/>
  <c r="F30" i="4"/>
  <c r="F34" i="4"/>
  <c r="F38" i="4"/>
  <c r="F42" i="4"/>
  <c r="F46" i="4"/>
  <c r="AT4" i="4"/>
  <c r="AS5" i="4"/>
  <c r="AC6" i="4"/>
  <c r="AC10" i="4"/>
  <c r="AC14" i="4"/>
  <c r="AC18" i="4"/>
  <c r="AB3" i="4"/>
  <c r="AB7" i="4"/>
  <c r="AB11" i="4"/>
  <c r="AB15" i="4"/>
  <c r="AB19" i="4"/>
  <c r="F3" i="4"/>
  <c r="F7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AT5" i="4"/>
  <c r="AC3" i="4"/>
  <c r="AC7" i="4"/>
  <c r="AC11" i="4"/>
  <c r="AC15" i="4"/>
  <c r="AC19" i="4"/>
  <c r="AB4" i="4"/>
  <c r="AB8" i="4"/>
  <c r="AB12" i="4"/>
  <c r="AB16" i="4"/>
  <c r="F12" i="4"/>
  <c r="F28" i="4"/>
  <c r="F44" i="4"/>
  <c r="F54" i="4"/>
  <c r="F62" i="4"/>
  <c r="F70" i="4"/>
  <c r="F78" i="4"/>
  <c r="F86" i="4"/>
  <c r="F94" i="4"/>
  <c r="F102" i="4"/>
  <c r="E9" i="4"/>
  <c r="E17" i="4"/>
  <c r="E25" i="4"/>
  <c r="E33" i="4"/>
  <c r="E41" i="4"/>
  <c r="E49" i="4"/>
  <c r="E57" i="4"/>
  <c r="E65" i="4"/>
  <c r="E73" i="4"/>
  <c r="E81" i="4"/>
  <c r="E89" i="4"/>
  <c r="E97" i="4"/>
  <c r="AB20" i="4"/>
  <c r="F16" i="4"/>
  <c r="F32" i="4"/>
  <c r="F48" i="4"/>
  <c r="F56" i="4"/>
  <c r="F64" i="4"/>
  <c r="F72" i="4"/>
  <c r="F80" i="4"/>
  <c r="F88" i="4"/>
  <c r="F96" i="4"/>
  <c r="F104" i="4"/>
  <c r="E11" i="4"/>
  <c r="E19" i="4"/>
  <c r="E27" i="4"/>
  <c r="E35" i="4"/>
  <c r="E43" i="4"/>
  <c r="E51" i="4"/>
  <c r="E59" i="4"/>
  <c r="E67" i="4"/>
  <c r="E75" i="4"/>
  <c r="E83" i="4"/>
  <c r="E91" i="4"/>
  <c r="E99" i="4"/>
  <c r="E31" i="4"/>
  <c r="E47" i="4"/>
  <c r="E63" i="4"/>
  <c r="E79" i="4"/>
  <c r="E95" i="4"/>
  <c r="F4" i="4"/>
  <c r="F20" i="4"/>
  <c r="F36" i="4"/>
  <c r="F50" i="4"/>
  <c r="F58" i="4"/>
  <c r="F66" i="4"/>
  <c r="F74" i="4"/>
  <c r="F82" i="4"/>
  <c r="F90" i="4"/>
  <c r="F98" i="4"/>
  <c r="E5" i="4"/>
  <c r="E13" i="4"/>
  <c r="E21" i="4"/>
  <c r="E29" i="4"/>
  <c r="E37" i="4"/>
  <c r="E45" i="4"/>
  <c r="E53" i="4"/>
  <c r="E61" i="4"/>
  <c r="E69" i="4"/>
  <c r="E77" i="4"/>
  <c r="E85" i="4"/>
  <c r="E93" i="4"/>
  <c r="E101" i="4"/>
  <c r="F8" i="4"/>
  <c r="F24" i="4"/>
  <c r="F40" i="4"/>
  <c r="F52" i="4"/>
  <c r="F60" i="4"/>
  <c r="F68" i="4"/>
  <c r="F76" i="4"/>
  <c r="F84" i="4"/>
  <c r="F92" i="4"/>
  <c r="F100" i="4"/>
  <c r="E7" i="4"/>
  <c r="E15" i="4"/>
  <c r="E23" i="4"/>
  <c r="E39" i="4"/>
  <c r="E55" i="4"/>
  <c r="E71" i="4"/>
  <c r="E87" i="4"/>
  <c r="E103" i="4"/>
  <c r="J10" i="13"/>
  <c r="I11" i="13"/>
  <c r="H12" i="13" s="1"/>
  <c r="I49" i="13"/>
  <c r="H50" i="13" s="1"/>
  <c r="J49" i="13" s="1"/>
  <c r="J48" i="13"/>
  <c r="U10" i="13"/>
  <c r="T11" i="13" s="1"/>
  <c r="D106" i="3"/>
  <c r="C106" i="3"/>
  <c r="E106" i="3" s="1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9" i="3"/>
  <c r="B8" i="3"/>
  <c r="B7" i="3"/>
  <c r="B6" i="3"/>
  <c r="B5" i="3"/>
  <c r="B4" i="3"/>
  <c r="E29" i="18" l="1"/>
  <c r="F29" i="18" s="1"/>
  <c r="G28" i="18" s="1"/>
  <c r="J28" i="18" s="1"/>
  <c r="K28" i="18" s="1"/>
  <c r="E7" i="18"/>
  <c r="F7" i="18" s="1"/>
  <c r="G6" i="18" s="1"/>
  <c r="H7" i="18" s="1"/>
  <c r="J7" i="18" s="1"/>
  <c r="K7" i="18" s="1"/>
  <c r="E8" i="18"/>
  <c r="F8" i="18" s="1"/>
  <c r="G7" i="18" s="1"/>
  <c r="H8" i="18" s="1"/>
  <c r="J8" i="18" s="1"/>
  <c r="K8" i="18" s="1"/>
  <c r="E30" i="18"/>
  <c r="F30" i="18" s="1"/>
  <c r="G29" i="18" s="1"/>
  <c r="J29" i="18" s="1"/>
  <c r="K29" i="18" s="1"/>
  <c r="V48" i="13"/>
  <c r="U49" i="13"/>
  <c r="T50" i="13" s="1"/>
  <c r="V47" i="13"/>
  <c r="U11" i="13"/>
  <c r="T12" i="13" s="1"/>
  <c r="J11" i="13"/>
  <c r="I12" i="13"/>
  <c r="H13" i="13" s="1"/>
  <c r="V10" i="13"/>
  <c r="I50" i="13"/>
  <c r="H51" i="13" s="1"/>
  <c r="J50" i="13" s="1"/>
  <c r="E31" i="18" l="1"/>
  <c r="F31" i="18" s="1"/>
  <c r="G30" i="18" s="1"/>
  <c r="J30" i="18" s="1"/>
  <c r="K30" i="18" s="1"/>
  <c r="E9" i="18"/>
  <c r="F9" i="18" s="1"/>
  <c r="G8" i="18" s="1"/>
  <c r="H9" i="18" s="1"/>
  <c r="J9" i="18" s="1"/>
  <c r="K9" i="18" s="1"/>
  <c r="U50" i="13"/>
  <c r="T51" i="13" s="1"/>
  <c r="V49" i="13"/>
  <c r="I13" i="13"/>
  <c r="H14" i="13" s="1"/>
  <c r="J13" i="13" s="1"/>
  <c r="U12" i="13"/>
  <c r="T13" i="13" s="1"/>
  <c r="V11" i="13"/>
  <c r="I51" i="13"/>
  <c r="H52" i="13" s="1"/>
  <c r="J12" i="13"/>
  <c r="U51" i="13" l="1"/>
  <c r="T52" i="13" s="1"/>
  <c r="V50" i="13"/>
  <c r="I14" i="13"/>
  <c r="H15" i="13" s="1"/>
  <c r="I52" i="13"/>
  <c r="H53" i="13" s="1"/>
  <c r="J52" i="13" s="1"/>
  <c r="U13" i="13"/>
  <c r="T14" i="13" s="1"/>
  <c r="J51" i="13"/>
  <c r="V12" i="13"/>
  <c r="E33" i="18" l="1"/>
  <c r="F33" i="18" s="1"/>
  <c r="E11" i="18"/>
  <c r="F11" i="18" s="1"/>
  <c r="E10" i="18"/>
  <c r="F10" i="18" s="1"/>
  <c r="G9" i="18" s="1"/>
  <c r="H10" i="18" s="1"/>
  <c r="J10" i="18" s="1"/>
  <c r="K10" i="18" s="1"/>
  <c r="E32" i="18"/>
  <c r="F32" i="18" s="1"/>
  <c r="G31" i="18" s="1"/>
  <c r="J31" i="18" s="1"/>
  <c r="K31" i="18" s="1"/>
  <c r="V51" i="13"/>
  <c r="U52" i="13"/>
  <c r="T53" i="13" s="1"/>
  <c r="I15" i="13"/>
  <c r="H16" i="13" s="1"/>
  <c r="I16" i="13" s="1"/>
  <c r="H17" i="13" s="1"/>
  <c r="U14" i="13"/>
  <c r="T15" i="13" s="1"/>
  <c r="V14" i="13" s="1"/>
  <c r="I53" i="13"/>
  <c r="H54" i="13" s="1"/>
  <c r="J53" i="13" s="1"/>
  <c r="V13" i="13"/>
  <c r="J14" i="13"/>
  <c r="G10" i="18" l="1"/>
  <c r="H11" i="18" s="1"/>
  <c r="J11" i="18" s="1"/>
  <c r="K11" i="18" s="1"/>
  <c r="E12" i="18"/>
  <c r="F12" i="18" s="1"/>
  <c r="G11" i="18" s="1"/>
  <c r="H12" i="18" s="1"/>
  <c r="J12" i="18" s="1"/>
  <c r="K12" i="18" s="1"/>
  <c r="E34" i="18"/>
  <c r="F34" i="18" s="1"/>
  <c r="G33" i="18" s="1"/>
  <c r="J33" i="18" s="1"/>
  <c r="K33" i="18" s="1"/>
  <c r="G32" i="18"/>
  <c r="J32" i="18" s="1"/>
  <c r="K32" i="18" s="1"/>
  <c r="V52" i="13"/>
  <c r="U53" i="13"/>
  <c r="T54" i="13" s="1"/>
  <c r="I54" i="13"/>
  <c r="H55" i="13" s="1"/>
  <c r="U15" i="13"/>
  <c r="T16" i="13" s="1"/>
  <c r="V15" i="13" s="1"/>
  <c r="J15" i="13"/>
  <c r="J16" i="13"/>
  <c r="I17" i="13"/>
  <c r="H18" i="13" s="1"/>
  <c r="J17" i="13" s="1"/>
  <c r="U54" i="13" l="1"/>
  <c r="T55" i="13" s="1"/>
  <c r="V53" i="13"/>
  <c r="I18" i="13"/>
  <c r="H19" i="13" s="1"/>
  <c r="J18" i="13" s="1"/>
  <c r="I55" i="13"/>
  <c r="H56" i="13" s="1"/>
  <c r="J55" i="13" s="1"/>
  <c r="U16" i="13"/>
  <c r="T17" i="13" s="1"/>
  <c r="J54" i="13"/>
  <c r="E14" i="18" l="1"/>
  <c r="F14" i="18" s="1"/>
  <c r="E36" i="18"/>
  <c r="F36" i="18" s="1"/>
  <c r="E13" i="18"/>
  <c r="F13" i="18" s="1"/>
  <c r="G12" i="18" s="1"/>
  <c r="H13" i="18" s="1"/>
  <c r="J13" i="18" s="1"/>
  <c r="K13" i="18" s="1"/>
  <c r="E35" i="18"/>
  <c r="F35" i="18" s="1"/>
  <c r="G34" i="18" s="1"/>
  <c r="J34" i="18" s="1"/>
  <c r="K34" i="18" s="1"/>
  <c r="V54" i="13"/>
  <c r="U55" i="13"/>
  <c r="T56" i="13" s="1"/>
  <c r="U17" i="13"/>
  <c r="T18" i="13" s="1"/>
  <c r="I19" i="13"/>
  <c r="H20" i="13" s="1"/>
  <c r="I20" i="13" s="1"/>
  <c r="H21" i="13" s="1"/>
  <c r="V16" i="13"/>
  <c r="I56" i="13"/>
  <c r="H57" i="13" s="1"/>
  <c r="G35" i="18" l="1"/>
  <c r="J35" i="18" s="1"/>
  <c r="K35" i="18" s="1"/>
  <c r="G13" i="18"/>
  <c r="H14" i="18" s="1"/>
  <c r="J14" i="18" s="1"/>
  <c r="K14" i="18" s="1"/>
  <c r="U56" i="13"/>
  <c r="T57" i="13" s="1"/>
  <c r="V55" i="13"/>
  <c r="J19" i="13"/>
  <c r="I57" i="13"/>
  <c r="H58" i="13" s="1"/>
  <c r="J56" i="13"/>
  <c r="U18" i="13"/>
  <c r="T19" i="13" s="1"/>
  <c r="J20" i="13"/>
  <c r="I21" i="13"/>
  <c r="H22" i="13" s="1"/>
  <c r="J21" i="13" s="1"/>
  <c r="V17" i="13"/>
  <c r="E37" i="18" l="1"/>
  <c r="F37" i="18" s="1"/>
  <c r="G36" i="18" s="1"/>
  <c r="J36" i="18" s="1"/>
  <c r="K36" i="18" s="1"/>
  <c r="E15" i="18"/>
  <c r="F15" i="18" s="1"/>
  <c r="U57" i="13"/>
  <c r="T58" i="13" s="1"/>
  <c r="V56" i="13"/>
  <c r="U19" i="13"/>
  <c r="T20" i="13" s="1"/>
  <c r="I22" i="13"/>
  <c r="H23" i="13" s="1"/>
  <c r="J22" i="13" s="1"/>
  <c r="V18" i="13"/>
  <c r="I58" i="13"/>
  <c r="H59" i="13" s="1"/>
  <c r="J57" i="13"/>
  <c r="G14" i="18" l="1"/>
  <c r="H15" i="18" s="1"/>
  <c r="J15" i="18" s="1"/>
  <c r="K15" i="18" s="1"/>
  <c r="E16" i="18"/>
  <c r="F16" i="18" s="1"/>
  <c r="G15" i="18" s="1"/>
  <c r="H16" i="18" s="1"/>
  <c r="J16" i="18" s="1"/>
  <c r="K16" i="18" s="1"/>
  <c r="E38" i="18"/>
  <c r="F38" i="18" s="1"/>
  <c r="G37" i="18" s="1"/>
  <c r="J37" i="18" s="1"/>
  <c r="K37" i="18" s="1"/>
  <c r="U58" i="13"/>
  <c r="T59" i="13" s="1"/>
  <c r="V57" i="13"/>
  <c r="U20" i="13"/>
  <c r="T21" i="13" s="1"/>
  <c r="K19" i="13"/>
  <c r="L19" i="13" s="1"/>
  <c r="I23" i="13"/>
  <c r="V19" i="13"/>
  <c r="I59" i="13"/>
  <c r="H60" i="13" s="1"/>
  <c r="J58" i="13"/>
  <c r="E39" i="18" l="1"/>
  <c r="F39" i="18" s="1"/>
  <c r="G38" i="18" s="1"/>
  <c r="J38" i="18" s="1"/>
  <c r="K38" i="18" s="1"/>
  <c r="E17" i="18"/>
  <c r="F17" i="18" s="1"/>
  <c r="G16" i="18" s="1"/>
  <c r="H17" i="18" s="1"/>
  <c r="J17" i="18" s="1"/>
  <c r="K17" i="18" s="1"/>
  <c r="K21" i="13"/>
  <c r="L21" i="13" s="1"/>
  <c r="K17" i="13"/>
  <c r="L17" i="13" s="1"/>
  <c r="U59" i="13"/>
  <c r="T60" i="13" s="1"/>
  <c r="V58" i="13"/>
  <c r="U21" i="13"/>
  <c r="T22" i="13" s="1"/>
  <c r="V21" i="13" s="1"/>
  <c r="I60" i="13"/>
  <c r="H61" i="13" s="1"/>
  <c r="V20" i="13"/>
  <c r="J59" i="13"/>
  <c r="K23" i="13"/>
  <c r="L23" i="13" s="1"/>
  <c r="K5" i="13"/>
  <c r="L5" i="13" s="1"/>
  <c r="K13" i="13"/>
  <c r="L13" i="13" s="1"/>
  <c r="K7" i="13"/>
  <c r="L7" i="13" s="1"/>
  <c r="K10" i="13"/>
  <c r="L10" i="13" s="1"/>
  <c r="K8" i="13"/>
  <c r="L8" i="13" s="1"/>
  <c r="K9" i="13"/>
  <c r="L9" i="13" s="1"/>
  <c r="K15" i="13"/>
  <c r="L15" i="13" s="1"/>
  <c r="K16" i="13"/>
  <c r="L16" i="13" s="1"/>
  <c r="K11" i="13"/>
  <c r="L11" i="13" s="1"/>
  <c r="K14" i="13"/>
  <c r="L14" i="13" s="1"/>
  <c r="K20" i="13"/>
  <c r="L20" i="13" s="1"/>
  <c r="K12" i="13"/>
  <c r="L12" i="13" s="1"/>
  <c r="K6" i="13"/>
  <c r="L6" i="13" s="1"/>
  <c r="K22" i="13"/>
  <c r="L22" i="13" s="1"/>
  <c r="K18" i="13"/>
  <c r="L18" i="13" s="1"/>
  <c r="E18" i="18" l="1"/>
  <c r="F18" i="18" s="1"/>
  <c r="G17" i="18" s="1"/>
  <c r="H18" i="18" s="1"/>
  <c r="J18" i="18" s="1"/>
  <c r="K18" i="18" s="1"/>
  <c r="E40" i="18"/>
  <c r="F40" i="18" s="1"/>
  <c r="G39" i="18" s="1"/>
  <c r="J39" i="18" s="1"/>
  <c r="K39" i="18" s="1"/>
  <c r="V59" i="13"/>
  <c r="U60" i="13"/>
  <c r="T61" i="13" s="1"/>
  <c r="I61" i="13"/>
  <c r="H62" i="13" s="1"/>
  <c r="J62" i="13" s="1"/>
  <c r="J60" i="13"/>
  <c r="U22" i="13"/>
  <c r="T23" i="13" s="1"/>
  <c r="V22" i="13" s="1"/>
  <c r="E41" i="18" l="1"/>
  <c r="F41" i="18" s="1"/>
  <c r="G40" i="18" s="1"/>
  <c r="J40" i="18" s="1"/>
  <c r="K40" i="18" s="1"/>
  <c r="E19" i="18"/>
  <c r="F19" i="18" s="1"/>
  <c r="G18" i="18" s="1"/>
  <c r="H19" i="18" s="1"/>
  <c r="J19" i="18" s="1"/>
  <c r="K19" i="18" s="1"/>
  <c r="E21" i="18"/>
  <c r="F21" i="18" s="1"/>
  <c r="E43" i="18"/>
  <c r="F43" i="18" s="1"/>
  <c r="V60" i="13"/>
  <c r="U61" i="13"/>
  <c r="T62" i="13" s="1"/>
  <c r="I62" i="13"/>
  <c r="U23" i="13"/>
  <c r="J61" i="13"/>
  <c r="E20" i="18" l="1"/>
  <c r="F20" i="18" s="1"/>
  <c r="G19" i="18" s="1"/>
  <c r="H20" i="18" s="1"/>
  <c r="J20" i="18" s="1"/>
  <c r="K20" i="18" s="1"/>
  <c r="E42" i="18"/>
  <c r="F42" i="18" s="1"/>
  <c r="G41" i="18" s="1"/>
  <c r="J41" i="18" s="1"/>
  <c r="K41" i="18" s="1"/>
  <c r="K61" i="13"/>
  <c r="L61" i="13" s="1"/>
  <c r="W62" i="13"/>
  <c r="X62" i="13" s="1"/>
  <c r="U62" i="13"/>
  <c r="V61" i="13"/>
  <c r="K56" i="13"/>
  <c r="L56" i="13" s="1"/>
  <c r="W23" i="13"/>
  <c r="X23" i="13" s="1"/>
  <c r="W9" i="13"/>
  <c r="X9" i="13" s="1"/>
  <c r="W8" i="13"/>
  <c r="X8" i="13" s="1"/>
  <c r="W7" i="13"/>
  <c r="X7" i="13" s="1"/>
  <c r="W6" i="13"/>
  <c r="X6" i="13" s="1"/>
  <c r="W5" i="13"/>
  <c r="X5" i="13" s="1"/>
  <c r="W11" i="13"/>
  <c r="X11" i="13" s="1"/>
  <c r="W12" i="13"/>
  <c r="X12" i="13" s="1"/>
  <c r="W10" i="13"/>
  <c r="X10" i="13" s="1"/>
  <c r="W14" i="13"/>
  <c r="X14" i="13" s="1"/>
  <c r="W13" i="13"/>
  <c r="X13" i="13" s="1"/>
  <c r="W15" i="13"/>
  <c r="X15" i="13" s="1"/>
  <c r="W17" i="13"/>
  <c r="X17" i="13" s="1"/>
  <c r="K59" i="13"/>
  <c r="L59" i="13" s="1"/>
  <c r="W20" i="13"/>
  <c r="X20" i="13" s="1"/>
  <c r="W18" i="13"/>
  <c r="X18" i="13" s="1"/>
  <c r="K58" i="13"/>
  <c r="L58" i="13" s="1"/>
  <c r="K62" i="13"/>
  <c r="L62" i="13" s="1"/>
  <c r="K46" i="13"/>
  <c r="L46" i="13" s="1"/>
  <c r="K44" i="13"/>
  <c r="L44" i="13" s="1"/>
  <c r="K47" i="13"/>
  <c r="L47" i="13" s="1"/>
  <c r="K49" i="13"/>
  <c r="L49" i="13" s="1"/>
  <c r="K45" i="13"/>
  <c r="L45" i="13" s="1"/>
  <c r="K50" i="13"/>
  <c r="L50" i="13" s="1"/>
  <c r="K48" i="13"/>
  <c r="L48" i="13" s="1"/>
  <c r="K52" i="13"/>
  <c r="L52" i="13" s="1"/>
  <c r="K53" i="13"/>
  <c r="L53" i="13" s="1"/>
  <c r="K51" i="13"/>
  <c r="L51" i="13" s="1"/>
  <c r="K57" i="13"/>
  <c r="L57" i="13" s="1"/>
  <c r="K55" i="13"/>
  <c r="L55" i="13" s="1"/>
  <c r="K54" i="13"/>
  <c r="L54" i="13" s="1"/>
  <c r="W21" i="13"/>
  <c r="X21" i="13" s="1"/>
  <c r="W16" i="13"/>
  <c r="X16" i="13" s="1"/>
  <c r="K60" i="13"/>
  <c r="L60" i="13" s="1"/>
  <c r="W19" i="13"/>
  <c r="X19" i="13" s="1"/>
  <c r="W22" i="13"/>
  <c r="X22" i="13" s="1"/>
  <c r="G20" i="18" l="1"/>
  <c r="H21" i="18" s="1"/>
  <c r="J21" i="18" s="1"/>
  <c r="K21" i="18" s="1"/>
  <c r="G42" i="18"/>
  <c r="J42" i="18" s="1"/>
  <c r="K42" i="18" s="1"/>
  <c r="W44" i="13"/>
  <c r="X44" i="13" s="1"/>
  <c r="W47" i="13"/>
  <c r="X47" i="13" s="1"/>
  <c r="W50" i="13"/>
  <c r="X50" i="13" s="1"/>
  <c r="W51" i="13"/>
  <c r="X51" i="13" s="1"/>
  <c r="W53" i="13"/>
  <c r="X53" i="13" s="1"/>
  <c r="W61" i="13"/>
  <c r="X61" i="13" s="1"/>
  <c r="W59" i="13"/>
  <c r="X59" i="13" s="1"/>
  <c r="W57" i="13"/>
  <c r="X57" i="13" s="1"/>
  <c r="W58" i="13"/>
  <c r="X58" i="13" s="1"/>
  <c r="W56" i="13"/>
  <c r="X56" i="13" s="1"/>
  <c r="W46" i="13"/>
  <c r="X46" i="13" s="1"/>
  <c r="W48" i="13"/>
  <c r="X48" i="13" s="1"/>
  <c r="W45" i="13"/>
  <c r="X45" i="13" s="1"/>
  <c r="W49" i="13"/>
  <c r="X49" i="13" s="1"/>
  <c r="W52" i="13"/>
  <c r="X52" i="13" s="1"/>
  <c r="W54" i="13"/>
  <c r="X54" i="13" s="1"/>
  <c r="W60" i="13"/>
  <c r="X60" i="13" s="1"/>
  <c r="W55" i="13"/>
  <c r="X55" i="13" s="1"/>
</calcChain>
</file>

<file path=xl/sharedStrings.xml><?xml version="1.0" encoding="utf-8"?>
<sst xmlns="http://schemas.openxmlformats.org/spreadsheetml/2006/main" count="2147" uniqueCount="677">
  <si>
    <t>Edades</t>
  </si>
  <si>
    <t>Hombres</t>
  </si>
  <si>
    <t>Hombre</t>
  </si>
  <si>
    <t>Mujer</t>
  </si>
  <si>
    <t>Mujeres</t>
  </si>
  <si>
    <t>0 Años</t>
  </si>
  <si>
    <t>1 Año</t>
  </si>
  <si>
    <t>2 Años</t>
  </si>
  <si>
    <t>3 Años</t>
  </si>
  <si>
    <t>4 Años</t>
  </si>
  <si>
    <t>5 Años</t>
  </si>
  <si>
    <t>6 Años</t>
  </si>
  <si>
    <t>7 Años</t>
  </si>
  <si>
    <t>8 Años</t>
  </si>
  <si>
    <t>9 Años</t>
  </si>
  <si>
    <t>10 Años</t>
  </si>
  <si>
    <t>11 Años</t>
  </si>
  <si>
    <t>12 Años</t>
  </si>
  <si>
    <t>13 Años</t>
  </si>
  <si>
    <t>14 Años</t>
  </si>
  <si>
    <t>15 Años</t>
  </si>
  <si>
    <t>16 Años</t>
  </si>
  <si>
    <t>17 Años</t>
  </si>
  <si>
    <t>18 Años</t>
  </si>
  <si>
    <t>19 Años</t>
  </si>
  <si>
    <t>20 Años</t>
  </si>
  <si>
    <t>21 Años</t>
  </si>
  <si>
    <t>22 Años</t>
  </si>
  <si>
    <t>23 Años</t>
  </si>
  <si>
    <t>24 Años</t>
  </si>
  <si>
    <t>25 Años</t>
  </si>
  <si>
    <t>26 Años</t>
  </si>
  <si>
    <t>27 Años</t>
  </si>
  <si>
    <t>28 Años</t>
  </si>
  <si>
    <t>29 Años</t>
  </si>
  <si>
    <t>30 Años</t>
  </si>
  <si>
    <t>31 Años</t>
  </si>
  <si>
    <t>32 Años</t>
  </si>
  <si>
    <t>33 Años</t>
  </si>
  <si>
    <t>34 Años</t>
  </si>
  <si>
    <t>35 Años</t>
  </si>
  <si>
    <t>36 Años</t>
  </si>
  <si>
    <t>37 Años</t>
  </si>
  <si>
    <t>38 Años</t>
  </si>
  <si>
    <t>39 Años</t>
  </si>
  <si>
    <t>40 Años</t>
  </si>
  <si>
    <t>41 Años</t>
  </si>
  <si>
    <t>42 Años</t>
  </si>
  <si>
    <t>43 Años</t>
  </si>
  <si>
    <t>44 Años</t>
  </si>
  <si>
    <t>45 Años</t>
  </si>
  <si>
    <t>46 Años</t>
  </si>
  <si>
    <t>47 Años</t>
  </si>
  <si>
    <t>48 Años</t>
  </si>
  <si>
    <t>49 Años</t>
  </si>
  <si>
    <t>50 Años</t>
  </si>
  <si>
    <t>51 Años</t>
  </si>
  <si>
    <t>52 Años</t>
  </si>
  <si>
    <t>53 Años</t>
  </si>
  <si>
    <t>54 Años</t>
  </si>
  <si>
    <t>55 Años</t>
  </si>
  <si>
    <t>56 Años</t>
  </si>
  <si>
    <t>57 Años</t>
  </si>
  <si>
    <t>58 Años</t>
  </si>
  <si>
    <t>59 Años</t>
  </si>
  <si>
    <t>60 Años</t>
  </si>
  <si>
    <t>61 Años</t>
  </si>
  <si>
    <t>62 Años</t>
  </si>
  <si>
    <t>63 Años</t>
  </si>
  <si>
    <t>64 Años</t>
  </si>
  <si>
    <t>65 Años</t>
  </si>
  <si>
    <t>66 Años</t>
  </si>
  <si>
    <t>67 Años</t>
  </si>
  <si>
    <t>68 Años</t>
  </si>
  <si>
    <t>69 Años</t>
  </si>
  <si>
    <t>70 Años</t>
  </si>
  <si>
    <t>71 Años</t>
  </si>
  <si>
    <t>72 Años</t>
  </si>
  <si>
    <t>73 Años</t>
  </si>
  <si>
    <t>74 Años</t>
  </si>
  <si>
    <t>75 Años</t>
  </si>
  <si>
    <t>76 Años</t>
  </si>
  <si>
    <t>77 Años</t>
  </si>
  <si>
    <t>78 Años</t>
  </si>
  <si>
    <t>79 Años</t>
  </si>
  <si>
    <t>80 Años</t>
  </si>
  <si>
    <t>81 Años</t>
  </si>
  <si>
    <t>82 Años</t>
  </si>
  <si>
    <t>83 Años</t>
  </si>
  <si>
    <t>84 Años</t>
  </si>
  <si>
    <t>85 Años</t>
  </si>
  <si>
    <t>86 Años</t>
  </si>
  <si>
    <t>87 Años</t>
  </si>
  <si>
    <t>88 Años</t>
  </si>
  <si>
    <t>89 Años</t>
  </si>
  <si>
    <t>90 Años</t>
  </si>
  <si>
    <t>91 Años</t>
  </si>
  <si>
    <t>92 Años</t>
  </si>
  <si>
    <t>93 Años</t>
  </si>
  <si>
    <t>94 Años</t>
  </si>
  <si>
    <t>95 Años</t>
  </si>
  <si>
    <t>96 Años</t>
  </si>
  <si>
    <t>97 Años</t>
  </si>
  <si>
    <t>98 Años</t>
  </si>
  <si>
    <t>99 Años</t>
  </si>
  <si>
    <t>100 años y más</t>
  </si>
  <si>
    <t>No especificado</t>
  </si>
  <si>
    <t>Total</t>
  </si>
  <si>
    <t>0 años</t>
  </si>
  <si>
    <t>1 año</t>
  </si>
  <si>
    <t>2 años</t>
  </si>
  <si>
    <t>3 años</t>
  </si>
  <si>
    <t>4 años</t>
  </si>
  <si>
    <t>5 años</t>
  </si>
  <si>
    <t>6 años</t>
  </si>
  <si>
    <t>7 años</t>
  </si>
  <si>
    <t>8 años</t>
  </si>
  <si>
    <t>9 años</t>
  </si>
  <si>
    <t>10 años</t>
  </si>
  <si>
    <t>11 años</t>
  </si>
  <si>
    <t>12 años</t>
  </si>
  <si>
    <t>13 años</t>
  </si>
  <si>
    <t>14 años</t>
  </si>
  <si>
    <t>15 años</t>
  </si>
  <si>
    <t>16 años</t>
  </si>
  <si>
    <t>17 años</t>
  </si>
  <si>
    <t>18 años</t>
  </si>
  <si>
    <t>19 años</t>
  </si>
  <si>
    <t>20 años</t>
  </si>
  <si>
    <t>21 años</t>
  </si>
  <si>
    <t>22 años</t>
  </si>
  <si>
    <t>23 años</t>
  </si>
  <si>
    <t>24 años</t>
  </si>
  <si>
    <t>25 años</t>
  </si>
  <si>
    <t>26 años</t>
  </si>
  <si>
    <t>27 años</t>
  </si>
  <si>
    <t>28 años</t>
  </si>
  <si>
    <t>29 años</t>
  </si>
  <si>
    <t>30 años</t>
  </si>
  <si>
    <t>31 años</t>
  </si>
  <si>
    <t>32 años</t>
  </si>
  <si>
    <t>33 años</t>
  </si>
  <si>
    <t>34 años</t>
  </si>
  <si>
    <t>35 años</t>
  </si>
  <si>
    <t>36 años</t>
  </si>
  <si>
    <t>37 años</t>
  </si>
  <si>
    <t>38 años</t>
  </si>
  <si>
    <t>39 años</t>
  </si>
  <si>
    <t>40 años</t>
  </si>
  <si>
    <t>41 años</t>
  </si>
  <si>
    <t>42 años</t>
  </si>
  <si>
    <t>43 años</t>
  </si>
  <si>
    <t>44 años</t>
  </si>
  <si>
    <t>45 años</t>
  </si>
  <si>
    <t>46 años</t>
  </si>
  <si>
    <t>47 años</t>
  </si>
  <si>
    <t>48 años</t>
  </si>
  <si>
    <t>49 años</t>
  </si>
  <si>
    <t>50 años</t>
  </si>
  <si>
    <t>51 años</t>
  </si>
  <si>
    <t>52 años</t>
  </si>
  <si>
    <t>53 años</t>
  </si>
  <si>
    <t>54 años</t>
  </si>
  <si>
    <t>55 años</t>
  </si>
  <si>
    <t>56 años</t>
  </si>
  <si>
    <t>57 años</t>
  </si>
  <si>
    <t>58 años</t>
  </si>
  <si>
    <t>59 años</t>
  </si>
  <si>
    <t>60 años</t>
  </si>
  <si>
    <t>61 años</t>
  </si>
  <si>
    <t>62 años</t>
  </si>
  <si>
    <t>63 años</t>
  </si>
  <si>
    <t>64 años</t>
  </si>
  <si>
    <t>65 años</t>
  </si>
  <si>
    <t>66 años</t>
  </si>
  <si>
    <t>67 años</t>
  </si>
  <si>
    <t>68 años</t>
  </si>
  <si>
    <t>69 años</t>
  </si>
  <si>
    <t>70 años</t>
  </si>
  <si>
    <t>71 años</t>
  </si>
  <si>
    <t>72 años</t>
  </si>
  <si>
    <t>73 años</t>
  </si>
  <si>
    <t>74 años</t>
  </si>
  <si>
    <t>75 años</t>
  </si>
  <si>
    <t>76 años</t>
  </si>
  <si>
    <t>77 años</t>
  </si>
  <si>
    <t>78 años</t>
  </si>
  <si>
    <t>79 años</t>
  </si>
  <si>
    <t>80 años</t>
  </si>
  <si>
    <t>81 años</t>
  </si>
  <si>
    <t>82 años</t>
  </si>
  <si>
    <t>83 años</t>
  </si>
  <si>
    <t>84 años</t>
  </si>
  <si>
    <t>85 años</t>
  </si>
  <si>
    <t>86 años</t>
  </si>
  <si>
    <t>87 años</t>
  </si>
  <si>
    <t>88 años</t>
  </si>
  <si>
    <t>89 años</t>
  </si>
  <si>
    <t>90 años</t>
  </si>
  <si>
    <t>91 años</t>
  </si>
  <si>
    <t>92 años</t>
  </si>
  <si>
    <t>93 años</t>
  </si>
  <si>
    <t>94 años</t>
  </si>
  <si>
    <t>95 años</t>
  </si>
  <si>
    <t>96 años</t>
  </si>
  <si>
    <t>97 años</t>
  </si>
  <si>
    <t>98 años</t>
  </si>
  <si>
    <t>99 años</t>
  </si>
  <si>
    <t>De 100 y más años</t>
  </si>
  <si>
    <t>Hombre2</t>
  </si>
  <si>
    <t>POR EDADES INDIVIDUALES</t>
  </si>
  <si>
    <t>POR GRANDES GRUPOS</t>
  </si>
  <si>
    <t>Porcentajes</t>
  </si>
  <si>
    <t>POR EDADES QUINQUENALES</t>
  </si>
  <si>
    <t>0-14 años</t>
  </si>
  <si>
    <t>65 y más años</t>
  </si>
  <si>
    <t>15-64 años</t>
  </si>
  <si>
    <t>Hombres2</t>
  </si>
  <si>
    <t xml:space="preserve">Mujeres </t>
  </si>
  <si>
    <t>Porcentaje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</si>
  <si>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</si>
  <si>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</si>
  <si>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</si>
  <si>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</si>
  <si>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</si>
  <si>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</si>
  <si>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</si>
  <si>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</si>
  <si>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</si>
  <si>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</si>
  <si>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</si>
  <si>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</si>
  <si>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</si>
  <si>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</si>
  <si>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</si>
  <si>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</si>
  <si>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</si>
  <si>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 y más años</t>
  </si>
  <si>
    <t>Censo 2010</t>
  </si>
  <si>
    <t>Edad</t>
  </si>
  <si>
    <t>Conteo 2005</t>
  </si>
  <si>
    <t xml:space="preserve">Hombres </t>
  </si>
  <si>
    <t>i</t>
  </si>
  <si>
    <t>A</t>
  </si>
  <si>
    <t>B</t>
  </si>
  <si>
    <t>C</t>
  </si>
  <si>
    <t>D</t>
  </si>
  <si>
    <t>E</t>
  </si>
  <si>
    <t>F</t>
  </si>
  <si>
    <t>G</t>
  </si>
  <si>
    <t>Indice de Whipple de Querétaro</t>
  </si>
  <si>
    <t>Índice de Myers de Querétaro</t>
  </si>
  <si>
    <t>Censo 2010 Hombres</t>
  </si>
  <si>
    <t>Conteo 2005 Mujeres</t>
  </si>
  <si>
    <t>Conteo 2005 Hombres</t>
  </si>
  <si>
    <t>Censo 2010 Mujeres</t>
  </si>
  <si>
    <t>Grupo de Edad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</si>
  <si>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</si>
  <si>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</si>
  <si>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</si>
  <si>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</si>
  <si>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</si>
  <si>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</si>
  <si>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</si>
  <si>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</si>
  <si>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</si>
  <si>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</si>
  <si>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</si>
  <si>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</si>
  <si>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</si>
  <si>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</si>
  <si>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</si>
  <si>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</si>
  <si>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</si>
  <si>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o más</t>
  </si>
  <si>
    <t>I de Masc</t>
  </si>
  <si>
    <t>INU =</t>
  </si>
  <si>
    <t>Censo 2010 Querétaro</t>
  </si>
  <si>
    <t>Conteo 2005 Querétaro</t>
  </si>
  <si>
    <r>
      <t>5P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vertAlign val="superscript"/>
        <sz val="11"/>
        <color theme="1"/>
        <rFont val="Calibri"/>
        <family val="2"/>
        <scheme val="minor"/>
      </rPr>
      <t xml:space="preserve">H </t>
    </r>
  </si>
  <si>
    <r>
      <t>5P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vertAlign val="superscript"/>
        <sz val="11"/>
        <color theme="1"/>
        <rFont val="Calibri"/>
        <family val="2"/>
        <scheme val="minor"/>
      </rPr>
      <t xml:space="preserve">M </t>
    </r>
  </si>
  <si>
    <r>
      <t>5CEH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</si>
  <si>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5CEM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</si>
  <si>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|100-5CEH</t>
    </r>
    <r>
      <rPr>
        <b/>
        <vertAlign val="subscript"/>
        <sz val="11"/>
        <color theme="1"/>
        <rFont val="Calibri"/>
        <family val="2"/>
        <scheme val="minor"/>
      </rPr>
      <t>x|</t>
    </r>
  </si>
  <si>
    <r>
      <t>|100-5CEM</t>
    </r>
    <r>
      <rPr>
        <b/>
        <vertAlign val="subscript"/>
        <sz val="11"/>
        <color theme="1"/>
        <rFont val="Calibri"/>
        <family val="2"/>
        <scheme val="minor"/>
      </rPr>
      <t>x|</t>
    </r>
  </si>
  <si>
    <r>
      <t>|</t>
    </r>
    <r>
      <rPr>
        <b/>
        <sz val="11"/>
        <color theme="1"/>
        <rFont val="Calibri"/>
        <family val="2"/>
      </rPr>
      <t>∆IM|</t>
    </r>
  </si>
  <si>
    <t>Información</t>
  </si>
  <si>
    <t>BUENA</t>
  </si>
  <si>
    <t>PORCENTAJE</t>
  </si>
  <si>
    <t>REGULAR</t>
  </si>
  <si>
    <t>85 y más</t>
  </si>
  <si>
    <t>0-4</t>
  </si>
  <si>
    <t>5-9</t>
  </si>
  <si>
    <t>nPx</t>
  </si>
  <si>
    <t>Factor de Prorrateo:</t>
  </si>
  <si>
    <t>CENSO 2010 Hombres</t>
  </si>
  <si>
    <t>Fecha del Conteo 2005</t>
  </si>
  <si>
    <t>Fecha del Censo 2010</t>
  </si>
  <si>
    <t>Diferencia:</t>
  </si>
  <si>
    <r>
      <rPr>
        <sz val="14"/>
        <color theme="1"/>
        <rFont val="Calibri"/>
        <family val="2"/>
        <scheme val="minor"/>
      </rPr>
      <t>r</t>
    </r>
    <r>
      <rPr>
        <vertAlign val="subscript"/>
        <sz val="14"/>
        <color theme="1"/>
        <rFont val="Calibri"/>
        <family val="2"/>
        <scheme val="minor"/>
      </rPr>
      <t xml:space="preserve"> aritm</t>
    </r>
  </si>
  <si>
    <t>Mitad del 2010</t>
  </si>
  <si>
    <t>Mitad del 2005</t>
  </si>
  <si>
    <t>n:</t>
  </si>
  <si>
    <r>
      <t xml:space="preserve">r </t>
    </r>
    <r>
      <rPr>
        <vertAlign val="subscript"/>
        <sz val="14"/>
        <color theme="1"/>
        <rFont val="Calibri"/>
        <family val="2"/>
        <scheme val="minor"/>
      </rPr>
      <t>exp</t>
    </r>
  </si>
  <si>
    <r>
      <t>r</t>
    </r>
    <r>
      <rPr>
        <vertAlign val="subscript"/>
        <sz val="14"/>
        <color theme="1"/>
        <rFont val="Calibri"/>
        <family val="2"/>
        <scheme val="minor"/>
      </rPr>
      <t xml:space="preserve"> geo</t>
    </r>
  </si>
  <si>
    <r>
      <t xml:space="preserve">P </t>
    </r>
    <r>
      <rPr>
        <vertAlign val="subscript"/>
        <sz val="14"/>
        <color theme="1"/>
        <rFont val="Calibri"/>
        <family val="2"/>
        <scheme val="minor"/>
      </rPr>
      <t>30/06/2010</t>
    </r>
  </si>
  <si>
    <r>
      <t xml:space="preserve">P </t>
    </r>
    <r>
      <rPr>
        <vertAlign val="subscript"/>
        <sz val="14"/>
        <color theme="1"/>
        <rFont val="Calibri"/>
        <family val="2"/>
        <scheme val="minor"/>
      </rPr>
      <t>30/06/2005</t>
    </r>
  </si>
  <si>
    <r>
      <t>P</t>
    </r>
    <r>
      <rPr>
        <vertAlign val="subscript"/>
        <sz val="11"/>
        <color theme="1"/>
        <rFont val="Calibri"/>
        <family val="2"/>
        <scheme val="minor"/>
      </rPr>
      <t>23-62</t>
    </r>
    <r>
      <rPr>
        <sz val="11"/>
        <color theme="1"/>
        <rFont val="Calibri"/>
        <family val="2"/>
        <scheme val="minor"/>
      </rPr>
      <t xml:space="preserve"> </t>
    </r>
  </si>
  <si>
    <r>
      <t>P</t>
    </r>
    <r>
      <rPr>
        <vertAlign val="subscript"/>
        <sz val="11"/>
        <color theme="1"/>
        <rFont val="Calibri"/>
        <family val="2"/>
        <scheme val="minor"/>
      </rPr>
      <t>23-62</t>
    </r>
  </si>
  <si>
    <t>Porcentaje de NE</t>
  </si>
  <si>
    <t>Año</t>
  </si>
  <si>
    <t>Nacimientos</t>
  </si>
  <si>
    <t>Menores de 1 año</t>
  </si>
  <si>
    <t>Defunciones</t>
  </si>
  <si>
    <t>b) Calcular la población de menores de un año a mitad de 2005 para hombres y mujeres. Utilizar el método de Coale y Demeny.</t>
  </si>
  <si>
    <t>HOMBRES</t>
  </si>
  <si>
    <t>Entonces la población menor a un año en principios de 2005 es:</t>
  </si>
  <si>
    <t>MUJERES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</si>
  <si>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04,</t>
    </r>
    <r>
      <rPr>
        <b/>
        <vertAlign val="superscript"/>
        <sz val="11"/>
        <color theme="1"/>
        <rFont val="Calibri"/>
        <family val="2"/>
      </rPr>
      <t>α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</si>
  <si>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04 </t>
    </r>
    <r>
      <rPr>
        <b/>
        <sz val="11"/>
        <color theme="1"/>
        <rFont val="Calibri"/>
        <family val="2"/>
        <scheme val="minor"/>
      </rPr>
      <t xml:space="preserve">(1 - 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04</t>
    </r>
    <r>
      <rPr>
        <b/>
        <sz val="11"/>
        <color theme="1"/>
        <rFont val="Calibri"/>
        <family val="2"/>
        <scheme val="minor"/>
      </rPr>
      <t>)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</si>
  <si>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04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</si>
  <si>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04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</si>
  <si>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05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</si>
  <si>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05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</si>
  <si>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05,</t>
    </r>
    <r>
      <rPr>
        <b/>
        <vertAlign val="superscript"/>
        <sz val="11"/>
        <color theme="1"/>
        <rFont val="Calibri"/>
        <family val="2"/>
      </rPr>
      <t>α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</si>
  <si>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05</t>
    </r>
    <r>
      <rPr>
        <b/>
        <sz val="11"/>
        <color theme="1"/>
        <rFont val="Calibri"/>
        <family val="2"/>
        <scheme val="minor"/>
      </rPr>
      <t xml:space="preserve"> - [D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05,</t>
    </r>
    <r>
      <rPr>
        <b/>
        <vertAlign val="superscript"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>]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</si>
  <si>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05 </t>
    </r>
    <r>
      <rPr>
        <b/>
        <sz val="11"/>
        <color theme="1"/>
        <rFont val="Calibri"/>
        <family val="2"/>
        <scheme val="minor"/>
      </rPr>
      <t xml:space="preserve">(1 - 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05</t>
    </r>
    <r>
      <rPr>
        <b/>
        <sz val="11"/>
        <color theme="1"/>
        <rFont val="Calibri"/>
        <family val="2"/>
        <scheme val="minor"/>
      </rPr>
      <t>)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</si>
  <si>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04</t>
    </r>
    <r>
      <rPr>
        <b/>
        <sz val="11"/>
        <color theme="1"/>
        <rFont val="Calibri"/>
        <family val="2"/>
        <scheme val="minor"/>
      </rPr>
      <t xml:space="preserve"> - [D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04,</t>
    </r>
    <r>
      <rPr>
        <b/>
        <vertAlign val="superscript"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>]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</si>
  <si>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04</t>
    </r>
    <r>
      <rPr>
        <b/>
        <sz val="11"/>
        <color theme="1"/>
        <rFont val="Calibri"/>
        <family val="2"/>
        <scheme val="minor"/>
      </rPr>
      <t xml:space="preserve"> / N</t>
    </r>
    <r>
      <rPr>
        <b/>
        <vertAlign val="superscript"/>
        <sz val="11"/>
        <color theme="1"/>
        <rFont val="Calibri"/>
        <family val="2"/>
        <scheme val="minor"/>
      </rPr>
      <t>04</t>
    </r>
  </si>
  <si>
    <r>
      <t>0.0425 + 2.875(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04</t>
    </r>
    <r>
      <rPr>
        <b/>
        <sz val="11"/>
        <color theme="1"/>
        <rFont val="Calibri"/>
        <family val="2"/>
        <scheme val="minor"/>
      </rPr>
      <t>)</t>
    </r>
  </si>
  <si>
    <t>Defunciones de población menor a un año en principios de 2005:</t>
  </si>
  <si>
    <t>Sumamos la población de 1), 2) y las dividimos entre dos:</t>
  </si>
  <si>
    <t>Población de hombres menores de un año a mitad de 2005</t>
  </si>
  <si>
    <t>c) Calcular la población de menores de un año a mitad de 2010 para hombres y mujeres. Utilizar el método de Coale y Demeny.</t>
  </si>
  <si>
    <t>Población de mujeres menores de un año a mitad de 2005</t>
  </si>
  <si>
    <t>Diagrama de Lexis</t>
  </si>
  <si>
    <r>
      <t xml:space="preserve">1) Calculamos </t>
    </r>
    <r>
      <rPr>
        <b/>
        <sz val="11"/>
        <color rgb="FFFF0000"/>
        <rFont val="Calibri"/>
        <family val="2"/>
        <scheme val="minor"/>
      </rPr>
      <t>la población a principios de 2005</t>
    </r>
    <r>
      <rPr>
        <sz val="11"/>
        <color theme="1"/>
        <rFont val="Calibri"/>
        <family val="2"/>
        <scheme val="minor"/>
      </rPr>
      <t>.</t>
    </r>
  </si>
  <si>
    <r>
      <t xml:space="preserve">2) Calculamos la </t>
    </r>
    <r>
      <rPr>
        <b/>
        <sz val="11"/>
        <color rgb="FFFFC000"/>
        <rFont val="Calibri"/>
        <family val="2"/>
        <scheme val="minor"/>
      </rPr>
      <t>población a finales de 2005</t>
    </r>
    <r>
      <rPr>
        <sz val="11"/>
        <color theme="1"/>
        <rFont val="Calibri"/>
        <family val="2"/>
        <scheme val="minor"/>
      </rPr>
      <t>.</t>
    </r>
  </si>
  <si>
    <r>
      <t>3) Calculamos la</t>
    </r>
    <r>
      <rPr>
        <b/>
        <sz val="11"/>
        <color rgb="FF0070C0"/>
        <rFont val="Calibri"/>
        <family val="2"/>
        <scheme val="minor"/>
      </rPr>
      <t xml:space="preserve"> población menor a un año a mitad de 2005.</t>
    </r>
  </si>
  <si>
    <r>
      <t xml:space="preserve">1) Calculamos </t>
    </r>
    <r>
      <rPr>
        <b/>
        <sz val="11"/>
        <color rgb="FFFF0000"/>
        <rFont val="Calibri"/>
        <family val="2"/>
        <scheme val="minor"/>
      </rPr>
      <t>la población a principios de 2010</t>
    </r>
    <r>
      <rPr>
        <sz val="11"/>
        <color theme="1"/>
        <rFont val="Calibri"/>
        <family val="2"/>
        <scheme val="minor"/>
      </rPr>
      <t>.</t>
    </r>
  </si>
  <si>
    <t>Defunciones de población menor a un año en principios de 2010:</t>
  </si>
  <si>
    <t>Entonces la población menor a un año en principios de 2010 es:</t>
  </si>
  <si>
    <r>
      <t xml:space="preserve">2) Calculamos la </t>
    </r>
    <r>
      <rPr>
        <b/>
        <sz val="11"/>
        <color rgb="FFFFC000"/>
        <rFont val="Calibri"/>
        <family val="2"/>
        <scheme val="minor"/>
      </rPr>
      <t>población a finales de 2010</t>
    </r>
    <r>
      <rPr>
        <sz val="11"/>
        <color theme="1"/>
        <rFont val="Calibri"/>
        <family val="2"/>
        <scheme val="minor"/>
      </rPr>
      <t>.</t>
    </r>
  </si>
  <si>
    <r>
      <t>3) Calculamos la</t>
    </r>
    <r>
      <rPr>
        <b/>
        <sz val="11"/>
        <color rgb="FF0070C0"/>
        <rFont val="Calibri"/>
        <family val="2"/>
        <scheme val="minor"/>
      </rPr>
      <t xml:space="preserve"> población menor a un año a mitad de 2010.</t>
    </r>
  </si>
  <si>
    <t>Población de hombres menores de un año a mitad de 2010</t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</si>
  <si>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09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</si>
  <si>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09</t>
    </r>
  </si>
  <si>
    <r>
      <t>0.0425 + 2.875(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09</t>
    </r>
    <r>
      <rPr>
        <b/>
        <sz val="11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</si>
  <si>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09,</t>
    </r>
    <r>
      <rPr>
        <b/>
        <vertAlign val="superscript"/>
        <sz val="11"/>
        <color theme="1"/>
        <rFont val="Calibri"/>
        <family val="2"/>
      </rPr>
      <t>α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</si>
  <si>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09 </t>
    </r>
    <r>
      <rPr>
        <b/>
        <sz val="11"/>
        <color theme="1"/>
        <rFont val="Calibri"/>
        <family val="2"/>
        <scheme val="minor"/>
      </rPr>
      <t xml:space="preserve">(1 - 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09</t>
    </r>
    <r>
      <rPr>
        <b/>
        <sz val="11"/>
        <color theme="1"/>
        <rFont val="Calibri"/>
        <family val="2"/>
        <scheme val="minor"/>
      </rPr>
      <t>)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</si>
  <si>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09</t>
    </r>
    <r>
      <rPr>
        <b/>
        <sz val="11"/>
        <color theme="1"/>
        <rFont val="Calibri"/>
        <family val="2"/>
        <scheme val="minor"/>
      </rPr>
      <t xml:space="preserve"> - [D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09,</t>
    </r>
    <r>
      <rPr>
        <b/>
        <vertAlign val="superscript"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>]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</si>
  <si>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>0 10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</si>
  <si>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09</t>
    </r>
    <r>
      <rPr>
        <b/>
        <sz val="11"/>
        <color theme="1"/>
        <rFont val="Calibri"/>
        <family val="2"/>
        <scheme val="minor"/>
      </rPr>
      <t xml:space="preserve"> / N</t>
    </r>
    <r>
      <rPr>
        <b/>
        <vertAlign val="superscript"/>
        <sz val="11"/>
        <color theme="1"/>
        <rFont val="Calibri"/>
        <family val="2"/>
        <scheme val="minor"/>
      </rPr>
      <t>09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</si>
  <si>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10</t>
    </r>
  </si>
  <si>
    <t>Población de mujeres menores de un año a mitad de 2010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</si>
  <si>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- [D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10,</t>
    </r>
    <r>
      <rPr>
        <b/>
        <vertAlign val="superscript"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>]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</si>
  <si>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/ N</t>
    </r>
    <r>
      <rPr>
        <b/>
        <vertAlign val="superscript"/>
        <sz val="11"/>
        <color theme="1"/>
        <rFont val="Calibri"/>
        <family val="2"/>
        <scheme val="minor"/>
      </rPr>
      <t>10</t>
    </r>
  </si>
  <si>
    <r>
      <t>0.0425 + 2.875(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</si>
  <si>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10,</t>
    </r>
    <r>
      <rPr>
        <b/>
        <vertAlign val="superscript"/>
        <sz val="11"/>
        <color theme="1"/>
        <rFont val="Calibri"/>
        <family val="2"/>
      </rPr>
      <t>α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</si>
  <si>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10 </t>
    </r>
    <r>
      <rPr>
        <b/>
        <sz val="11"/>
        <color theme="1"/>
        <rFont val="Calibri"/>
        <family val="2"/>
        <scheme val="minor"/>
      </rPr>
      <t xml:space="preserve">(1 - 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)</t>
    </r>
  </si>
  <si>
    <t>d) Calcular la población de uno a cuatro años cumplidos a mitad de 2005 para hombres y mujeres. Utilizar el método de Coale y Demeny.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</si>
  <si>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05</t>
    </r>
    <r>
      <rPr>
        <b/>
        <sz val="11"/>
        <color theme="1"/>
        <rFont val="Calibri"/>
        <family val="2"/>
        <scheme val="minor"/>
      </rPr>
      <t>/ N</t>
    </r>
    <r>
      <rPr>
        <b/>
        <vertAlign val="superscript"/>
        <sz val="11"/>
        <color theme="1"/>
        <rFont val="Calibri"/>
        <family val="2"/>
        <scheme val="minor"/>
      </rPr>
      <t>05</t>
    </r>
  </si>
  <si>
    <r>
      <t>0.0425 + 2.875(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05</t>
    </r>
    <r>
      <rPr>
        <b/>
        <sz val="11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</si>
  <si>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04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</si>
  <si>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05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</si>
  <si>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04, H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</si>
  <si>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04, 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</si>
  <si>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05, 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</si>
  <si>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05, H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</si>
  <si>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09, H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</si>
  <si>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10, H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</si>
  <si>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09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</si>
  <si>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10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</si>
  <si>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09, 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</si>
  <si>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10, 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</si>
  <si>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01, H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</si>
  <si>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02, H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</si>
  <si>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03, H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</si>
  <si>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</si>
  <si>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02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</si>
  <si>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03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</si>
  <si>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00, H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</si>
  <si>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</si>
  <si>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01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</si>
  <si>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</si>
  <si>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</si>
  <si>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04</t>
    </r>
    <r>
      <rPr>
        <sz val="11"/>
        <color theme="1"/>
        <rFont val="Calibri"/>
        <family val="2"/>
        <scheme val="minor"/>
      </rPr>
      <t/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</si>
  <si>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00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</si>
  <si>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00</t>
    </r>
    <r>
      <rPr>
        <b/>
        <sz val="11"/>
        <color theme="1"/>
        <rFont val="Calibri"/>
        <family val="2"/>
        <scheme val="minor"/>
      </rPr>
      <t xml:space="preserve"> / N</t>
    </r>
    <r>
      <rPr>
        <b/>
        <vertAlign val="superscript"/>
        <sz val="11"/>
        <color theme="1"/>
        <rFont val="Calibri"/>
        <family val="2"/>
        <scheme val="minor"/>
      </rPr>
      <t>00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</si>
  <si>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00</t>
    </r>
  </si>
  <si>
    <r>
      <t>0.0425 + 2.875(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00</t>
    </r>
    <r>
      <rPr>
        <b/>
        <sz val="11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</si>
  <si>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00,</t>
    </r>
    <r>
      <rPr>
        <b/>
        <vertAlign val="superscript"/>
        <sz val="11"/>
        <color theme="1"/>
        <rFont val="Calibri"/>
        <family val="2"/>
      </rPr>
      <t>α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</si>
  <si>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00 </t>
    </r>
    <r>
      <rPr>
        <b/>
        <sz val="11"/>
        <color theme="1"/>
        <rFont val="Calibri"/>
        <family val="2"/>
        <scheme val="minor"/>
      </rPr>
      <t xml:space="preserve">(1 - 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00</t>
    </r>
    <r>
      <rPr>
        <b/>
        <sz val="11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</si>
  <si>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04,</t>
    </r>
    <r>
      <rPr>
        <b/>
        <vertAlign val="superscript"/>
        <sz val="11"/>
        <color theme="1"/>
        <rFont val="Calibri"/>
        <family val="2"/>
      </rPr>
      <t>δ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</si>
  <si>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01-04</t>
    </r>
  </si>
  <si>
    <r>
      <t>(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vertAlign val="superscript"/>
        <sz val="11"/>
        <color theme="1"/>
        <rFont val="Calibri"/>
        <family val="2"/>
        <scheme val="minor"/>
      </rPr>
      <t>01-04</t>
    </r>
    <r>
      <rPr>
        <b/>
        <sz val="11"/>
        <color theme="1"/>
        <rFont val="Calibri"/>
        <family val="2"/>
        <scheme val="minor"/>
      </rPr>
      <t>) /4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</si>
  <si>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1-4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01-04,</t>
    </r>
    <r>
      <rPr>
        <b/>
        <vertAlign val="superscript"/>
        <sz val="11"/>
        <color theme="1"/>
        <rFont val="Calibri"/>
        <family val="2"/>
      </rPr>
      <t>α</t>
    </r>
  </si>
  <si>
    <r>
      <t xml:space="preserve">1) Calculamos </t>
    </r>
    <r>
      <rPr>
        <b/>
        <sz val="11"/>
        <color rgb="FFFF0000"/>
        <rFont val="Calibri"/>
        <family val="2"/>
        <scheme val="minor"/>
      </rPr>
      <t>las defunciones de menores de un año en el 2000</t>
    </r>
  </si>
  <si>
    <t>Defunciones totales de hombres menores de un año</t>
  </si>
  <si>
    <t>Defunciones totales de hombres entre 1 a casi  5 años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</si>
  <si>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00-03</t>
    </r>
    <r>
      <rPr>
        <b/>
        <sz val="11"/>
        <color theme="1"/>
        <rFont val="Calibri"/>
        <family val="2"/>
        <scheme val="minor"/>
      </rPr>
      <t xml:space="preserve"> - [D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 xml:space="preserve">00-04 </t>
    </r>
    <r>
      <rPr>
        <b/>
        <sz val="11"/>
        <color theme="1"/>
        <rFont val="Calibri"/>
        <family val="2"/>
        <scheme val="minor"/>
      </rPr>
      <t>+ D</t>
    </r>
    <r>
      <rPr>
        <b/>
        <vertAlign val="subscript"/>
        <sz val="11"/>
        <color theme="1"/>
        <rFont val="Calibri"/>
        <family val="2"/>
        <scheme val="minor"/>
      </rPr>
      <t>1-4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01-04</t>
    </r>
    <r>
      <rPr>
        <b/>
        <sz val="11"/>
        <color theme="1"/>
        <rFont val="Calibri"/>
        <family val="2"/>
        <scheme val="minor"/>
      </rPr>
      <t>]</t>
    </r>
  </si>
  <si>
    <t>Datos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</si>
  <si>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05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</si>
  <si>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05</t>
    </r>
    <r>
      <rPr>
        <sz val="11"/>
        <color theme="1"/>
        <rFont val="Calibri"/>
        <family val="2"/>
        <scheme val="minor"/>
      </rPr>
      <t/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</si>
  <si>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01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</si>
  <si>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01</t>
    </r>
  </si>
  <si>
    <r>
      <t>0.0425 + 2.875(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</si>
  <si>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 xml:space="preserve"> / N</t>
    </r>
    <r>
      <rPr>
        <b/>
        <vertAlign val="superscript"/>
        <sz val="11"/>
        <color theme="1"/>
        <rFont val="Calibri"/>
        <family val="2"/>
        <scheme val="minor"/>
      </rPr>
      <t>01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</si>
  <si>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01,</t>
    </r>
    <r>
      <rPr>
        <b/>
        <vertAlign val="superscript"/>
        <sz val="11"/>
        <color theme="1"/>
        <rFont val="Calibri"/>
        <family val="2"/>
      </rPr>
      <t>α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</si>
  <si>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01 </t>
    </r>
    <r>
      <rPr>
        <b/>
        <sz val="11"/>
        <color theme="1"/>
        <rFont val="Calibri"/>
        <family val="2"/>
        <scheme val="minor"/>
      </rPr>
      <t xml:space="preserve">(1 - 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</si>
  <si>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05,</t>
    </r>
    <r>
      <rPr>
        <b/>
        <vertAlign val="superscript"/>
        <sz val="11"/>
        <color theme="1"/>
        <rFont val="Calibri"/>
        <family val="2"/>
      </rPr>
      <t>δ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</si>
  <si>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05</t>
    </r>
    <r>
      <rPr>
        <b/>
        <sz val="11"/>
        <color theme="1"/>
        <rFont val="Calibri"/>
        <family val="2"/>
        <scheme val="minor"/>
      </rPr>
      <t xml:space="preserve"> / N</t>
    </r>
    <r>
      <rPr>
        <b/>
        <vertAlign val="superscript"/>
        <sz val="11"/>
        <color theme="1"/>
        <rFont val="Calibri"/>
        <family val="2"/>
        <scheme val="minor"/>
      </rPr>
      <t>05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</si>
  <si>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04 </t>
    </r>
    <r>
      <rPr>
        <b/>
        <sz val="11"/>
        <color theme="1"/>
        <rFont val="Calibri"/>
        <family val="2"/>
        <scheme val="minor"/>
      </rPr>
      <t xml:space="preserve">( 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04</t>
    </r>
    <r>
      <rPr>
        <b/>
        <sz val="11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</si>
  <si>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05 </t>
    </r>
    <r>
      <rPr>
        <b/>
        <sz val="11"/>
        <color theme="1"/>
        <rFont val="Calibri"/>
        <family val="2"/>
        <scheme val="minor"/>
      </rPr>
      <t>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05</t>
    </r>
    <r>
      <rPr>
        <b/>
        <sz val="11"/>
        <color theme="1"/>
        <rFont val="Calibri"/>
        <family val="2"/>
        <scheme val="minor"/>
      </rPr>
      <t>)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</si>
  <si>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02-05</t>
    </r>
  </si>
  <si>
    <r>
      <t>(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vertAlign val="superscript"/>
        <sz val="11"/>
        <color theme="1"/>
        <rFont val="Calibri"/>
        <family val="2"/>
        <scheme val="minor"/>
      </rPr>
      <t>02-05</t>
    </r>
    <r>
      <rPr>
        <b/>
        <sz val="11"/>
        <color theme="1"/>
        <rFont val="Calibri"/>
        <family val="2"/>
        <scheme val="minor"/>
      </rPr>
      <t>) /4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</si>
  <si>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1-4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02-05,</t>
    </r>
    <r>
      <rPr>
        <b/>
        <vertAlign val="superscript"/>
        <sz val="11"/>
        <color theme="1"/>
        <rFont val="Calibri"/>
        <family val="2"/>
      </rPr>
      <t>α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</si>
  <si>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01-04</t>
    </r>
    <r>
      <rPr>
        <b/>
        <sz val="11"/>
        <color theme="1"/>
        <rFont val="Calibri"/>
        <family val="2"/>
        <scheme val="minor"/>
      </rPr>
      <t xml:space="preserve"> - [D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 xml:space="preserve">01-05 </t>
    </r>
    <r>
      <rPr>
        <b/>
        <sz val="11"/>
        <color theme="1"/>
        <rFont val="Calibri"/>
        <family val="2"/>
        <scheme val="minor"/>
      </rPr>
      <t>+ D</t>
    </r>
    <r>
      <rPr>
        <b/>
        <vertAlign val="subscript"/>
        <sz val="11"/>
        <color theme="1"/>
        <rFont val="Calibri"/>
        <family val="2"/>
        <scheme val="minor"/>
      </rPr>
      <t>1-4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02-05</t>
    </r>
    <r>
      <rPr>
        <b/>
        <sz val="11"/>
        <color theme="1"/>
        <rFont val="Calibri"/>
        <family val="2"/>
        <scheme val="minor"/>
      </rPr>
      <t>]</t>
    </r>
  </si>
  <si>
    <r>
      <t>2) Calculamos</t>
    </r>
    <r>
      <rPr>
        <sz val="11"/>
        <color rgb="FFFFC00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las defunciones de menores de un año en el 2001</t>
    </r>
  </si>
  <si>
    <r>
      <t xml:space="preserve">Calculamos </t>
    </r>
    <r>
      <rPr>
        <b/>
        <sz val="11"/>
        <color rgb="FFFF0000"/>
        <rFont val="Calibri"/>
        <family val="2"/>
        <scheme val="minor"/>
      </rPr>
      <t>las defunciones de menores de un año en el 2004.</t>
    </r>
  </si>
  <si>
    <r>
      <t xml:space="preserve">Calculamos </t>
    </r>
    <r>
      <rPr>
        <b/>
        <sz val="11"/>
        <color rgb="FFFFC000"/>
        <rFont val="Calibri"/>
        <family val="2"/>
        <scheme val="minor"/>
      </rPr>
      <t>las defunciones de menores de un año en el 2005.</t>
    </r>
  </si>
  <si>
    <r>
      <t xml:space="preserve">Calculamos </t>
    </r>
    <r>
      <rPr>
        <b/>
        <sz val="11"/>
        <color rgb="FFFF0000"/>
        <rFont val="Calibri"/>
        <family val="2"/>
        <scheme val="minor"/>
      </rPr>
      <t>las defunciones de 1 a casi 5 años del 2001-2004</t>
    </r>
  </si>
  <si>
    <r>
      <t xml:space="preserve">Calculamos </t>
    </r>
    <r>
      <rPr>
        <b/>
        <sz val="11"/>
        <color rgb="FFFFC000"/>
        <rFont val="Calibri"/>
        <family val="2"/>
        <scheme val="minor"/>
      </rPr>
      <t>las defunciones de 1 a casi 5 años del 200</t>
    </r>
    <r>
      <rPr>
        <sz val="11"/>
        <color rgb="FFFFC000"/>
        <rFont val="Calibri"/>
        <family val="2"/>
        <scheme val="minor"/>
      </rPr>
      <t>2</t>
    </r>
    <r>
      <rPr>
        <b/>
        <sz val="11"/>
        <color rgb="FFFFC000"/>
        <rFont val="Calibri"/>
        <family val="2"/>
        <scheme val="minor"/>
      </rPr>
      <t>-2005</t>
    </r>
  </si>
  <si>
    <t>Obtenemos la defuciones totales para inicios del 2005</t>
  </si>
  <si>
    <t>Obtenemos la defuciones totales para finales del 2005</t>
  </si>
  <si>
    <r>
      <t xml:space="preserve">Población total de hombres </t>
    </r>
    <r>
      <rPr>
        <b/>
        <sz val="11"/>
        <color rgb="FFFF0000"/>
        <rFont val="Calibri"/>
        <family val="2"/>
        <scheme val="minor"/>
      </rPr>
      <t>a principios de 2005 es:</t>
    </r>
  </si>
  <si>
    <r>
      <t>Población total de hombres</t>
    </r>
    <r>
      <rPr>
        <sz val="11"/>
        <color rgb="FFFFC00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a finales de 2005 es:</t>
    </r>
  </si>
  <si>
    <r>
      <t>3) Calculamos la</t>
    </r>
    <r>
      <rPr>
        <b/>
        <sz val="11"/>
        <color rgb="FF0070C0"/>
        <rFont val="Calibri"/>
        <family val="2"/>
        <scheme val="minor"/>
      </rPr>
      <t xml:space="preserve"> población de 1 a 4 años cumplidos a mitad de 2005.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</si>
  <si>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00, 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</si>
  <si>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01, 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</si>
  <si>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02, 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</si>
  <si>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03, M</t>
    </r>
  </si>
  <si>
    <t>e) Calcular la población de uno a cuatro años cumplidos a mitad de 2010 para hombres y mujeres. Utilizar el método de Coale y Demeny.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</si>
  <si>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06, H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</si>
  <si>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07, H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</si>
  <si>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08, H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</si>
  <si>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06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</si>
  <si>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07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</si>
  <si>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08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</si>
  <si>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09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</si>
  <si>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</si>
  <si>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06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</si>
  <si>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07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</si>
  <si>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08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</si>
  <si>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09</t>
    </r>
    <r>
      <rPr>
        <sz val="11"/>
        <color theme="1"/>
        <rFont val="Calibri"/>
        <family val="2"/>
        <scheme val="minor"/>
      </rPr>
      <t/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</si>
  <si>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1-4 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</si>
  <si>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06, 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</si>
  <si>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07, 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</si>
  <si>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08, M</t>
    </r>
  </si>
  <si>
    <r>
      <t>3) Calculamos la</t>
    </r>
    <r>
      <rPr>
        <b/>
        <sz val="11"/>
        <color rgb="FF0070C0"/>
        <rFont val="Calibri"/>
        <family val="2"/>
        <scheme val="minor"/>
      </rPr>
      <t xml:space="preserve"> población de 1 a 4 años cumplidos a mitad de 2010.</t>
    </r>
  </si>
  <si>
    <r>
      <t xml:space="preserve">1) Calculamos </t>
    </r>
    <r>
      <rPr>
        <b/>
        <sz val="11"/>
        <color rgb="FFFF0000"/>
        <rFont val="Calibri"/>
        <family val="2"/>
        <scheme val="minor"/>
      </rPr>
      <t>las defunciones de menores de un año en el 2005</t>
    </r>
  </si>
  <si>
    <r>
      <t xml:space="preserve">Calculamos </t>
    </r>
    <r>
      <rPr>
        <b/>
        <sz val="11"/>
        <color rgb="FFFF0000"/>
        <rFont val="Calibri"/>
        <family val="2"/>
        <scheme val="minor"/>
      </rPr>
      <t>las defunciones de menores de un año en el 2009.</t>
    </r>
  </si>
  <si>
    <r>
      <t xml:space="preserve">Calculamos </t>
    </r>
    <r>
      <rPr>
        <b/>
        <sz val="11"/>
        <color rgb="FFFFC000"/>
        <rFont val="Calibri"/>
        <family val="2"/>
        <scheme val="minor"/>
      </rPr>
      <t>las defunciones de menores de un año en el 2010.</t>
    </r>
  </si>
  <si>
    <r>
      <t>2) Calculamos</t>
    </r>
    <r>
      <rPr>
        <sz val="11"/>
        <color rgb="FFFFC00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las defunciones de menores de un año en el 2006</t>
    </r>
  </si>
  <si>
    <r>
      <t xml:space="preserve">Calculamos </t>
    </r>
    <r>
      <rPr>
        <b/>
        <sz val="11"/>
        <color rgb="FFFF0000"/>
        <rFont val="Calibri"/>
        <family val="2"/>
        <scheme val="minor"/>
      </rPr>
      <t>las defunciones de 1 a casi 5 años del 2006-2009</t>
    </r>
  </si>
  <si>
    <r>
      <t xml:space="preserve">Calculamos </t>
    </r>
    <r>
      <rPr>
        <b/>
        <sz val="11"/>
        <color rgb="FFFFC000"/>
        <rFont val="Calibri"/>
        <family val="2"/>
        <scheme val="minor"/>
      </rPr>
      <t>las defunciones de 1 a casi 5 años del 2007-2010</t>
    </r>
  </si>
  <si>
    <t>Obtenemos la defuciones totales para inicios del 2010</t>
  </si>
  <si>
    <t>Obtenemos la defuciones totales para finales del 2010</t>
  </si>
  <si>
    <r>
      <t xml:space="preserve">Población total de hombres </t>
    </r>
    <r>
      <rPr>
        <b/>
        <sz val="11"/>
        <color rgb="FFFF0000"/>
        <rFont val="Calibri"/>
        <family val="2"/>
        <scheme val="minor"/>
      </rPr>
      <t>a principios de 2010 es:</t>
    </r>
  </si>
  <si>
    <r>
      <t>Población total de hombres</t>
    </r>
    <r>
      <rPr>
        <sz val="11"/>
        <color rgb="FFFFC00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a finales de 2010 es: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</si>
  <si>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09,</t>
    </r>
    <r>
      <rPr>
        <b/>
        <vertAlign val="superscript"/>
        <sz val="11"/>
        <color theme="1"/>
        <rFont val="Calibri"/>
        <family val="2"/>
      </rPr>
      <t>δ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</si>
  <si>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09 </t>
    </r>
    <r>
      <rPr>
        <b/>
        <sz val="11"/>
        <color theme="1"/>
        <rFont val="Calibri"/>
        <family val="2"/>
        <scheme val="minor"/>
      </rPr>
      <t xml:space="preserve">( 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09</t>
    </r>
    <r>
      <rPr>
        <b/>
        <sz val="11"/>
        <color theme="1"/>
        <rFont val="Calibri"/>
        <family val="2"/>
        <scheme val="minor"/>
      </rPr>
      <t>)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</si>
  <si>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06-09</t>
    </r>
  </si>
  <si>
    <r>
      <t>(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vertAlign val="superscript"/>
        <sz val="11"/>
        <color theme="1"/>
        <rFont val="Calibri"/>
        <family val="2"/>
        <scheme val="minor"/>
      </rPr>
      <t>06-09</t>
    </r>
    <r>
      <rPr>
        <b/>
        <sz val="11"/>
        <color theme="1"/>
        <rFont val="Calibri"/>
        <family val="2"/>
        <scheme val="minor"/>
      </rPr>
      <t>) /4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</si>
  <si>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1-4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06-09,</t>
    </r>
    <r>
      <rPr>
        <b/>
        <vertAlign val="superscript"/>
        <sz val="11"/>
        <color theme="1"/>
        <rFont val="Calibri"/>
        <family val="2"/>
      </rPr>
      <t>α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</si>
  <si>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05-08</t>
    </r>
    <r>
      <rPr>
        <b/>
        <sz val="11"/>
        <color theme="1"/>
        <rFont val="Calibri"/>
        <family val="2"/>
        <scheme val="minor"/>
      </rPr>
      <t xml:space="preserve"> - [D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 xml:space="preserve">05-09 </t>
    </r>
    <r>
      <rPr>
        <b/>
        <sz val="11"/>
        <color theme="1"/>
        <rFont val="Calibri"/>
        <family val="2"/>
        <scheme val="minor"/>
      </rPr>
      <t>+ D</t>
    </r>
    <r>
      <rPr>
        <b/>
        <vertAlign val="subscript"/>
        <sz val="11"/>
        <color theme="1"/>
        <rFont val="Calibri"/>
        <family val="2"/>
        <scheme val="minor"/>
      </rPr>
      <t>1-4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06-09</t>
    </r>
    <r>
      <rPr>
        <b/>
        <sz val="11"/>
        <color theme="1"/>
        <rFont val="Calibri"/>
        <family val="2"/>
        <scheme val="minor"/>
      </rPr>
      <t>]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</si>
  <si>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06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</si>
  <si>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06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</si>
  <si>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06,</t>
    </r>
    <r>
      <rPr>
        <b/>
        <vertAlign val="superscript"/>
        <sz val="11"/>
        <color theme="1"/>
        <rFont val="Calibri"/>
        <family val="2"/>
      </rPr>
      <t>α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</si>
  <si>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06</t>
    </r>
    <r>
      <rPr>
        <b/>
        <sz val="11"/>
        <color theme="1"/>
        <rFont val="Calibri"/>
        <family val="2"/>
        <scheme val="minor"/>
      </rPr>
      <t xml:space="preserve"> / N</t>
    </r>
    <r>
      <rPr>
        <b/>
        <vertAlign val="superscript"/>
        <sz val="11"/>
        <color theme="1"/>
        <rFont val="Calibri"/>
        <family val="2"/>
        <scheme val="minor"/>
      </rPr>
      <t>06</t>
    </r>
  </si>
  <si>
    <r>
      <t>0.0425 + 2.875(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06</t>
    </r>
    <r>
      <rPr>
        <b/>
        <sz val="11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</si>
  <si>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06 </t>
    </r>
    <r>
      <rPr>
        <b/>
        <sz val="11"/>
        <color theme="1"/>
        <rFont val="Calibri"/>
        <family val="2"/>
        <scheme val="minor"/>
      </rPr>
      <t xml:space="preserve">(1 - 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06</t>
    </r>
    <r>
      <rPr>
        <b/>
        <sz val="11"/>
        <color theme="1"/>
        <rFont val="Calibri"/>
        <family val="2"/>
        <scheme val="minor"/>
      </rPr>
      <t>)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</si>
  <si>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10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</si>
  <si>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10,</t>
    </r>
    <r>
      <rPr>
        <b/>
        <vertAlign val="superscript"/>
        <sz val="11"/>
        <color theme="1"/>
        <rFont val="Calibri"/>
        <family val="2"/>
      </rPr>
      <t>δ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</si>
  <si>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&lt;1 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/ N</t>
    </r>
    <r>
      <rPr>
        <b/>
        <vertAlign val="superscript"/>
        <sz val="11"/>
        <color theme="1"/>
        <rFont val="Calibri"/>
        <family val="2"/>
        <scheme val="minor"/>
      </rPr>
      <t>10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</si>
  <si>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vertAlign val="superscript"/>
        <sz val="11"/>
        <color theme="1"/>
        <rFont val="Calibri"/>
        <family val="2"/>
        <scheme val="minor"/>
      </rPr>
      <t xml:space="preserve">10 </t>
    </r>
    <r>
      <rPr>
        <b/>
        <sz val="11"/>
        <color theme="1"/>
        <rFont val="Calibri"/>
        <family val="2"/>
        <scheme val="minor"/>
      </rPr>
      <t>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)</t>
    </r>
  </si>
  <si>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07-10</t>
    </r>
  </si>
  <si>
    <r>
      <t>(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vertAlign val="superscript"/>
        <sz val="11"/>
        <color theme="1"/>
        <rFont val="Calibri"/>
        <family val="2"/>
        <scheme val="minor"/>
      </rPr>
      <t>07-10</t>
    </r>
    <r>
      <rPr>
        <b/>
        <sz val="11"/>
        <color theme="1"/>
        <rFont val="Calibri"/>
        <family val="2"/>
        <scheme val="minor"/>
      </rPr>
      <t>) /4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</si>
  <si>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1-4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07-10,</t>
    </r>
    <r>
      <rPr>
        <b/>
        <vertAlign val="superscript"/>
        <sz val="11"/>
        <color theme="1"/>
        <rFont val="Calibri"/>
        <family val="2"/>
      </rPr>
      <t>α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</si>
  <si>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06-09</t>
    </r>
    <r>
      <rPr>
        <b/>
        <sz val="11"/>
        <color theme="1"/>
        <rFont val="Calibri"/>
        <family val="2"/>
        <scheme val="minor"/>
      </rPr>
      <t xml:space="preserve"> - [D</t>
    </r>
    <r>
      <rPr>
        <b/>
        <vertAlign val="subscript"/>
        <sz val="11"/>
        <color theme="1"/>
        <rFont val="Calibri"/>
        <family val="2"/>
        <scheme val="minor"/>
      </rPr>
      <t>&lt;1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 xml:space="preserve">06-10 </t>
    </r>
    <r>
      <rPr>
        <b/>
        <sz val="11"/>
        <color theme="1"/>
        <rFont val="Calibri"/>
        <family val="2"/>
        <scheme val="minor"/>
      </rPr>
      <t>+ D</t>
    </r>
    <r>
      <rPr>
        <b/>
        <vertAlign val="subscript"/>
        <sz val="11"/>
        <color theme="1"/>
        <rFont val="Calibri"/>
        <family val="2"/>
        <scheme val="minor"/>
      </rPr>
      <t>1-4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07-10</t>
    </r>
    <r>
      <rPr>
        <b/>
        <sz val="11"/>
        <color theme="1"/>
        <rFont val="Calibri"/>
        <family val="2"/>
        <scheme val="minor"/>
      </rPr>
      <t>]</t>
    </r>
  </si>
  <si>
    <t>Población de hombres de uno a cuatro años cumplidos a mitad de 2005</t>
  </si>
  <si>
    <t>Población de hombres de uno a cuatro años cumplidos a mitad de 2010</t>
  </si>
  <si>
    <t>Población de mujeres de uno a cuatro años cumplidos a mitad de 2010</t>
  </si>
  <si>
    <t>Población de mujeres de uno a cuatro años cumplidos a mitad de 2005</t>
  </si>
  <si>
    <t>Grupos de edad</t>
  </si>
  <si>
    <t>&lt;1</t>
  </si>
  <si>
    <t>1-4</t>
  </si>
  <si>
    <t>Hombres 2005</t>
  </si>
  <si>
    <t>G2</t>
  </si>
  <si>
    <t>G3</t>
  </si>
  <si>
    <t>G1</t>
  </si>
  <si>
    <t>Coeficientes de Karup King</t>
  </si>
  <si>
    <t xml:space="preserve"> 1-4 años</t>
  </si>
  <si>
    <t>&lt;1 años</t>
  </si>
  <si>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x</t>
    </r>
  </si>
  <si>
    <r>
      <t>l</t>
    </r>
    <r>
      <rPr>
        <vertAlign val="subscript"/>
        <sz val="11"/>
        <color theme="1"/>
        <rFont val="Calibri"/>
        <family val="2"/>
        <scheme val="minor"/>
      </rPr>
      <t>x</t>
    </r>
  </si>
  <si>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d</t>
    </r>
    <r>
      <rPr>
        <vertAlign val="subscript"/>
        <sz val="11"/>
        <color theme="1"/>
        <rFont val="Calibri"/>
        <family val="2"/>
        <scheme val="minor"/>
      </rPr>
      <t>x</t>
    </r>
  </si>
  <si>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x</t>
    </r>
  </si>
  <si>
    <r>
      <t>T</t>
    </r>
    <r>
      <rPr>
        <vertAlign val="subscript"/>
        <sz val="11"/>
        <color theme="1"/>
        <rFont val="Calibri"/>
        <family val="2"/>
        <scheme val="minor"/>
      </rPr>
      <t>x</t>
    </r>
  </si>
  <si>
    <t>Hombres 2010</t>
  </si>
  <si>
    <t>HOMBRES 2010</t>
  </si>
  <si>
    <t>HOMBRES 2005</t>
  </si>
  <si>
    <t>MUJERES 2005</t>
  </si>
  <si>
    <t>MUJERES 2010</t>
  </si>
  <si>
    <t>Mujeres 2005</t>
  </si>
  <si>
    <t>Mujeres 2010</t>
  </si>
  <si>
    <t>Defunciones totales de mujeres menores de un año</t>
  </si>
  <si>
    <t>Defunciones totales de mujeres entre 1 a casi  5 años</t>
  </si>
  <si>
    <t>1-4 años</t>
  </si>
  <si>
    <t>85 años y más</t>
  </si>
  <si>
    <t>Grupo de edad</t>
  </si>
  <si>
    <t>Tasas específicas de mortalidad</t>
  </si>
  <si>
    <t xml:space="preserve">Tasas específicas de mortalidad </t>
  </si>
  <si>
    <t>De 5 a 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</si>
  <si>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</si>
  <si>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</si>
  <si>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</si>
  <si>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</si>
  <si>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</si>
  <si>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</si>
  <si>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</si>
  <si>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</si>
  <si>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</si>
  <si>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</si>
  <si>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</si>
  <si>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</si>
  <si>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</si>
  <si>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</si>
  <si>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</si>
  <si>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y más años</t>
  </si>
  <si>
    <t>TBM</t>
  </si>
  <si>
    <t>∑ M. esperadas 2005</t>
  </si>
  <si>
    <t>∑ Población Tipo</t>
  </si>
  <si>
    <t>TOTAL</t>
  </si>
  <si>
    <t>Población Tipo</t>
  </si>
  <si>
    <t>Seleccione el Sexo</t>
  </si>
  <si>
    <t>∑ M. esperadas 2010</t>
  </si>
  <si>
    <t>2005 Hombres</t>
  </si>
  <si>
    <t>2005 Mujeres</t>
  </si>
  <si>
    <t>2010 Hombres</t>
  </si>
  <si>
    <t>2010 Mujeres</t>
  </si>
  <si>
    <t>Muertes esperadas de Hombres en 2005</t>
  </si>
  <si>
    <t>Muertes esperadas de Hombres en 2010</t>
  </si>
  <si>
    <t>Muertes esperadas de Mujeres en 2005</t>
  </si>
  <si>
    <t>Muertes esperadas de Mujeres en 2010</t>
  </si>
  <si>
    <r>
      <t xml:space="preserve">TTM </t>
    </r>
    <r>
      <rPr>
        <vertAlign val="superscript"/>
        <sz val="11"/>
        <color theme="0"/>
        <rFont val="Calibri"/>
        <family val="2"/>
      </rPr>
      <t>2005</t>
    </r>
    <r>
      <rPr>
        <sz val="11"/>
        <color theme="0"/>
        <rFont val="Calibri"/>
        <family val="2"/>
      </rPr>
      <t xml:space="preserve"> Hombres</t>
    </r>
  </si>
  <si>
    <r>
      <t xml:space="preserve">TTM </t>
    </r>
    <r>
      <rPr>
        <vertAlign val="superscript"/>
        <sz val="11"/>
        <color theme="0"/>
        <rFont val="Calibri"/>
        <family val="2"/>
      </rPr>
      <t xml:space="preserve">2010 </t>
    </r>
    <r>
      <rPr>
        <sz val="11"/>
        <color theme="0"/>
        <rFont val="Calibri"/>
        <family val="2"/>
      </rPr>
      <t>Hombres</t>
    </r>
  </si>
  <si>
    <r>
      <t xml:space="preserve">TTM </t>
    </r>
    <r>
      <rPr>
        <vertAlign val="superscript"/>
        <sz val="11"/>
        <color theme="0"/>
        <rFont val="Calibri"/>
        <family val="2"/>
      </rPr>
      <t>2005</t>
    </r>
    <r>
      <rPr>
        <sz val="11"/>
        <color theme="0"/>
        <rFont val="Calibri"/>
        <family val="2"/>
      </rPr>
      <t xml:space="preserve"> Mujeres</t>
    </r>
  </si>
  <si>
    <r>
      <t xml:space="preserve">TTM </t>
    </r>
    <r>
      <rPr>
        <vertAlign val="superscript"/>
        <sz val="11"/>
        <color theme="0"/>
        <rFont val="Calibri"/>
        <family val="2"/>
      </rPr>
      <t>2010</t>
    </r>
    <r>
      <rPr>
        <sz val="11"/>
        <color theme="0"/>
        <rFont val="Calibri"/>
        <family val="2"/>
      </rPr>
      <t xml:space="preserve"> Mujeres</t>
    </r>
  </si>
  <si>
    <t>Población Total Aguascalientes 1990</t>
  </si>
  <si>
    <r>
      <t>e</t>
    </r>
    <r>
      <rPr>
        <vertAlign val="subscript"/>
        <sz val="11"/>
        <color theme="1"/>
        <rFont val="Calibri"/>
        <family val="2"/>
        <scheme val="minor"/>
      </rPr>
      <t>x</t>
    </r>
  </si>
  <si>
    <t>TBN</t>
  </si>
  <si>
    <t>TFG</t>
  </si>
  <si>
    <t>TGF</t>
  </si>
  <si>
    <t>TFG (f)</t>
  </si>
  <si>
    <t>20 a 24</t>
  </si>
  <si>
    <t>30 a 34</t>
  </si>
  <si>
    <t>40 a 44</t>
  </si>
  <si>
    <t>45 a 49</t>
  </si>
  <si>
    <t>25 a 29</t>
  </si>
  <si>
    <t>35 a 39</t>
  </si>
  <si>
    <t>15 a 19</t>
  </si>
  <si>
    <t>Tasa Global de Fecundidad</t>
  </si>
  <si>
    <t xml:space="preserve">Nacimientos por grupos de edad </t>
  </si>
  <si>
    <t>Población femenina</t>
  </si>
  <si>
    <t>Tasas específicas de fecundidad</t>
  </si>
  <si>
    <t>nfx</t>
  </si>
  <si>
    <r>
      <t>nfx</t>
    </r>
    <r>
      <rPr>
        <vertAlign val="superscript"/>
        <sz val="11"/>
        <color theme="1"/>
        <rFont val="Calibri"/>
        <family val="2"/>
        <scheme val="minor"/>
      </rPr>
      <t>F</t>
    </r>
  </si>
  <si>
    <r>
      <t>nfx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aprox</t>
    </r>
  </si>
  <si>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15</t>
    </r>
  </si>
  <si>
    <t>Tasas Generales de Fecundidad</t>
  </si>
  <si>
    <r>
      <t>P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</si>
  <si>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N</t>
    </r>
    <r>
      <rPr>
        <vertAlign val="subscript"/>
        <sz val="11"/>
        <color theme="1"/>
        <rFont val="Calibri"/>
        <family val="2"/>
        <scheme val="minor"/>
      </rPr>
      <t>Totales</t>
    </r>
  </si>
  <si>
    <t>Tasas de Fecundidad</t>
  </si>
  <si>
    <t>Medidas resumen de la Fecundidad</t>
  </si>
  <si>
    <t>Suma nfx</t>
  </si>
  <si>
    <t>Tasa Bruta de Reproducción</t>
  </si>
  <si>
    <r>
      <t>Suma nfx</t>
    </r>
    <r>
      <rPr>
        <vertAlign val="superscript"/>
        <sz val="11"/>
        <color theme="1"/>
        <rFont val="Calibri"/>
        <family val="2"/>
        <scheme val="minor"/>
      </rPr>
      <t>F</t>
    </r>
  </si>
  <si>
    <t>TBR</t>
  </si>
  <si>
    <t>TBR aprox</t>
  </si>
  <si>
    <t>TFG (f) aprox</t>
  </si>
  <si>
    <t>50+</t>
  </si>
  <si>
    <t>&lt;15</t>
  </si>
  <si>
    <t>Descendencia Final Neta</t>
  </si>
  <si>
    <t>p(x)</t>
  </si>
  <si>
    <t>DFN</t>
  </si>
  <si>
    <t>Tasa Neta de Reproducción</t>
  </si>
  <si>
    <r>
      <t>nfx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*p(x)</t>
    </r>
  </si>
  <si>
    <t>nfx *p(x)</t>
  </si>
  <si>
    <t>TNR</t>
  </si>
  <si>
    <t>Edad Media de Fecundidad</t>
  </si>
  <si>
    <t>Marca de Clase Xi</t>
  </si>
  <si>
    <t>Xi* nfx</t>
  </si>
  <si>
    <t>Grados de Concentración</t>
  </si>
  <si>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GC</t>
    </r>
    <r>
      <rPr>
        <vertAlign val="subscript"/>
        <sz val="11"/>
        <color theme="1"/>
        <rFont val="Calibri"/>
        <family val="2"/>
        <scheme val="minor"/>
      </rPr>
      <t>15</t>
    </r>
  </si>
  <si>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GC</t>
    </r>
    <r>
      <rPr>
        <vertAlign val="subscript"/>
        <sz val="11"/>
        <color theme="1"/>
        <rFont val="Calibri"/>
        <family val="2"/>
        <scheme val="minor"/>
      </rPr>
      <t>20</t>
    </r>
  </si>
  <si>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GC</t>
    </r>
    <r>
      <rPr>
        <vertAlign val="subscript"/>
        <sz val="11"/>
        <color theme="1"/>
        <rFont val="Calibri"/>
        <family val="2"/>
        <scheme val="minor"/>
      </rPr>
      <t>35</t>
    </r>
  </si>
  <si>
    <t>Ocurrencia/Registro</t>
  </si>
  <si>
    <t>Año de desarrollo</t>
  </si>
  <si>
    <t>Factores</t>
  </si>
  <si>
    <t>Nacimientos totales</t>
  </si>
  <si>
    <t>General</t>
  </si>
  <si>
    <t>Ocuerrencia</t>
  </si>
  <si>
    <t>Ocurrencia</t>
  </si>
  <si>
    <r>
      <t>0.050 + 3(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vertAlign val="superscript"/>
        <sz val="11"/>
        <color theme="1"/>
        <rFont val="Calibri"/>
        <family val="2"/>
        <scheme val="minor"/>
      </rPr>
      <t>05</t>
    </r>
    <r>
      <rPr>
        <b/>
        <sz val="11"/>
        <color theme="1"/>
        <rFont val="Calibri"/>
        <family val="2"/>
        <scheme val="minor"/>
      </rPr>
      <t>)</t>
    </r>
  </si>
  <si>
    <t>De 0 a 4 años</t>
  </si>
  <si>
    <r>
      <t xml:space="preserve">nPx </t>
    </r>
    <r>
      <rPr>
        <vertAlign val="superscript"/>
        <sz val="11"/>
        <color theme="1"/>
        <rFont val="Calibri"/>
        <family val="2"/>
        <scheme val="minor"/>
      </rPr>
      <t>2005</t>
    </r>
  </si>
  <si>
    <r>
      <t xml:space="preserve">nLx </t>
    </r>
    <r>
      <rPr>
        <vertAlign val="superscript"/>
        <sz val="11"/>
        <color theme="1"/>
        <rFont val="Calibri"/>
        <family val="2"/>
        <scheme val="minor"/>
      </rPr>
      <t>2005</t>
    </r>
  </si>
  <si>
    <r>
      <t xml:space="preserve">nLx </t>
    </r>
    <r>
      <rPr>
        <vertAlign val="superscript"/>
        <sz val="11"/>
        <color theme="1"/>
        <rFont val="Calibri"/>
        <family val="2"/>
        <scheme val="minor"/>
      </rPr>
      <t>2010</t>
    </r>
  </si>
  <si>
    <r>
      <t xml:space="preserve">nLx </t>
    </r>
    <r>
      <rPr>
        <vertAlign val="superscript"/>
        <sz val="11"/>
        <color theme="1"/>
        <rFont val="Calibri"/>
        <family val="2"/>
        <scheme val="minor"/>
      </rPr>
      <t>2005-2010</t>
    </r>
  </si>
  <si>
    <r>
      <t xml:space="preserve">Sx </t>
    </r>
    <r>
      <rPr>
        <vertAlign val="superscript"/>
        <sz val="11"/>
        <color theme="1"/>
        <rFont val="Calibri"/>
        <family val="2"/>
        <scheme val="minor"/>
      </rPr>
      <t>2005-2010</t>
    </r>
  </si>
  <si>
    <r>
      <t xml:space="preserve">nPEx </t>
    </r>
    <r>
      <rPr>
        <vertAlign val="superscript"/>
        <sz val="11"/>
        <color theme="1"/>
        <rFont val="Calibri"/>
        <family val="2"/>
        <scheme val="minor"/>
      </rPr>
      <t>2010</t>
    </r>
  </si>
  <si>
    <r>
      <t xml:space="preserve">nPx </t>
    </r>
    <r>
      <rPr>
        <vertAlign val="superscript"/>
        <sz val="11"/>
        <color theme="1"/>
        <rFont val="Calibri"/>
        <family val="2"/>
        <scheme val="minor"/>
      </rPr>
      <t>2010</t>
    </r>
  </si>
  <si>
    <t>Saldo</t>
  </si>
  <si>
    <t>Método Próspectivo Hombres</t>
  </si>
  <si>
    <t>Método Retrospectivo Hombres</t>
  </si>
  <si>
    <t>Método Próspectivo Mujeres</t>
  </si>
  <si>
    <t xml:space="preserve">Lugar residencia 2000 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</si>
  <si>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</si>
  <si>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</si>
  <si>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</si>
  <si>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</si>
  <si>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</si>
  <si>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</si>
  <si>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</si>
  <si>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</si>
  <si>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</si>
  <si>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</si>
  <si>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</si>
  <si>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</si>
  <si>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</si>
  <si>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</si>
  <si>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</si>
  <si>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</si>
  <si>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</si>
  <si>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</si>
  <si>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</si>
  <si>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</si>
  <si>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</si>
  <si>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</si>
  <si>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</si>
  <si>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</si>
  <si>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</si>
  <si>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</si>
  <si>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</si>
  <si>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</si>
  <si>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</si>
  <si>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</si>
  <si>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</si>
  <si>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Extranjero</t>
  </si>
  <si>
    <t>Veracruz</t>
  </si>
  <si>
    <t>Michoacán</t>
  </si>
  <si>
    <t>Coahuila</t>
  </si>
  <si>
    <t>Emigración Interna</t>
  </si>
  <si>
    <t>Inmigración Interna</t>
  </si>
  <si>
    <t>Inmigración Total</t>
  </si>
  <si>
    <t>Tasa Bruta de Inmigración</t>
  </si>
  <si>
    <t>Tasa de Inmigración Interna</t>
  </si>
  <si>
    <t>2000- 2005</t>
  </si>
  <si>
    <t>Tasa de Emigración Interna</t>
  </si>
  <si>
    <t>Método Retrospectivo Mujeres</t>
  </si>
  <si>
    <t>Tasa Bruta de Migración Interna</t>
  </si>
  <si>
    <t>Tasa Neta de Migración Interna</t>
  </si>
  <si>
    <t>Lugar residencia 2005</t>
  </si>
  <si>
    <t>Querétaro</t>
  </si>
  <si>
    <t xml:space="preserve">Veracruz </t>
  </si>
  <si>
    <t>2005- 2010</t>
  </si>
  <si>
    <t>TASAS DE MIGRACIÓN BAJO MÉTODO DIRECTO HOMBRES 2005-2010</t>
  </si>
  <si>
    <r>
      <t>TBN</t>
    </r>
    <r>
      <rPr>
        <vertAlign val="superscript"/>
        <sz val="11"/>
        <color theme="1"/>
        <rFont val="Calibri"/>
        <family val="2"/>
        <scheme val="minor"/>
      </rPr>
      <t xml:space="preserve"> 05-10</t>
    </r>
  </si>
  <si>
    <r>
      <t xml:space="preserve">TBM </t>
    </r>
    <r>
      <rPr>
        <vertAlign val="superscript"/>
        <sz val="11"/>
        <color theme="1"/>
        <rFont val="Calibri"/>
        <family val="2"/>
        <scheme val="minor"/>
      </rPr>
      <t>05-10</t>
    </r>
  </si>
  <si>
    <r>
      <t xml:space="preserve">TBI </t>
    </r>
    <r>
      <rPr>
        <vertAlign val="superscript"/>
        <sz val="11"/>
        <color theme="1"/>
        <rFont val="Calibri"/>
        <family val="2"/>
        <scheme val="minor"/>
      </rPr>
      <t>05-10</t>
    </r>
  </si>
  <si>
    <r>
      <t xml:space="preserve">TBE </t>
    </r>
    <r>
      <rPr>
        <vertAlign val="superscript"/>
        <sz val="11"/>
        <color theme="1"/>
        <rFont val="Calibri"/>
        <family val="2"/>
        <scheme val="minor"/>
      </rPr>
      <t>05-10</t>
    </r>
  </si>
  <si>
    <r>
      <t>r</t>
    </r>
    <r>
      <rPr>
        <vertAlign val="superscript"/>
        <sz val="11"/>
        <color theme="1"/>
        <rFont val="Calibri"/>
        <family val="2"/>
        <scheme val="minor"/>
      </rPr>
      <t xml:space="preserve"> 05-10</t>
    </r>
  </si>
  <si>
    <t>CRECIMIENTO TOTAL DE LA POBLACIÓN HOMBRES 2005-2010</t>
  </si>
  <si>
    <t>TASAS DE MIGRACIÓN BAJO MÉTODO DIRECTO MUJERES 2005-2010</t>
  </si>
  <si>
    <t>Emigración Total</t>
  </si>
  <si>
    <r>
      <t xml:space="preserve">nPEx </t>
    </r>
    <r>
      <rPr>
        <vertAlign val="superscript"/>
        <sz val="11"/>
        <color theme="1"/>
        <rFont val="Calibri"/>
        <family val="2"/>
        <scheme val="minor"/>
      </rPr>
      <t>2005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</si>
</sst>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;[Red]0"/>
    <numFmt numFmtId="165" formatCode="0.000%;#,##0.000%"/>
    <numFmt numFmtId="166" formatCode="0;#,#00"/>
    <numFmt numFmtId="167" formatCode="0;0"/>
    <numFmt numFmtId="168" formatCode="0.0000"/>
    <numFmt numFmtId="169" formatCode="0.000000"/>
    <numFmt numFmtId="170" formatCode="_-* #,##0.0000000_-;\-* #,##0.0000000_-;_-* &quot;-&quot;??_-;_-@_-"/>
    <numFmt numFmtId="171" formatCode="0.000"/>
    <numFmt numFmtId="172" formatCode="#,##0.00000000"/>
    <numFmt numFmtId="173" formatCode="#,##0.0000000"/>
    <numFmt numFmtId="174" formatCode="0.000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vertAlign val="superscript"/>
      <sz val="11"/>
      <color theme="0"/>
      <name val="Calibri"/>
      <family val="2"/>
    </font>
    <font>
      <b/>
      <i/>
      <sz val="11"/>
      <color theme="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1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165" fontId="0" fillId="0" borderId="0" xfId="1" applyNumberFormat="1" applyFont="1" applyAlignment="1">
      <alignment wrapText="1"/>
    </xf>
    <xf numFmtId="16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2" fontId="0" fillId="0" borderId="0" xfId="1" applyNumberFormat="1" applyFont="1"/>
    <xf numFmtId="167" fontId="0" fillId="0" borderId="0" xfId="0" applyNumberFormat="1" applyAlignment="1">
      <alignment wrapText="1"/>
    </xf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3" fillId="0" borderId="1" xfId="0" applyFont="1" applyBorder="1"/>
    <xf numFmtId="3" fontId="3" fillId="0" borderId="1" xfId="0" applyNumberFormat="1" applyFont="1" applyBorder="1"/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0" fillId="5" borderId="1" xfId="0" applyFill="1" applyBorder="1"/>
    <xf numFmtId="0" fontId="3" fillId="3" borderId="1" xfId="0" applyFont="1" applyFill="1" applyBorder="1" applyAlignment="1">
      <alignment horizontal="center"/>
    </xf>
    <xf numFmtId="0" fontId="0" fillId="0" borderId="0" xfId="0" applyNumberFormat="1"/>
    <xf numFmtId="0" fontId="0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Fill="1" applyBorder="1"/>
    <xf numFmtId="0" fontId="0" fillId="3" borderId="1" xfId="0" applyFill="1" applyBorder="1"/>
    <xf numFmtId="0" fontId="0" fillId="0" borderId="8" xfId="0" applyBorder="1"/>
    <xf numFmtId="0" fontId="0" fillId="0" borderId="0" xfId="0" applyFill="1" applyBorder="1"/>
    <xf numFmtId="0" fontId="0" fillId="0" borderId="11" xfId="0" applyFill="1" applyBorder="1"/>
    <xf numFmtId="0" fontId="0" fillId="0" borderId="0" xfId="0" applyBorder="1"/>
    <xf numFmtId="0" fontId="0" fillId="3" borderId="9" xfId="0" applyFill="1" applyBorder="1" applyAlignment="1">
      <alignment horizontal="center"/>
    </xf>
    <xf numFmtId="0" fontId="8" fillId="3" borderId="1" xfId="0" applyFon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0" fontId="0" fillId="4" borderId="1" xfId="0" applyFill="1" applyBorder="1"/>
    <xf numFmtId="14" fontId="0" fillId="0" borderId="3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7" xfId="0" applyBorder="1"/>
    <xf numFmtId="0" fontId="0" fillId="0" borderId="14" xfId="0" applyBorder="1"/>
    <xf numFmtId="14" fontId="0" fillId="0" borderId="13" xfId="0" applyNumberFormat="1" applyBorder="1"/>
    <xf numFmtId="0" fontId="0" fillId="0" borderId="6" xfId="0" applyBorder="1"/>
    <xf numFmtId="14" fontId="0" fillId="0" borderId="11" xfId="0" applyNumberFormat="1" applyBorder="1"/>
    <xf numFmtId="14" fontId="0" fillId="0" borderId="0" xfId="0" applyNumberFormat="1" applyBorder="1"/>
    <xf numFmtId="0" fontId="9" fillId="8" borderId="1" xfId="0" applyFont="1" applyFill="1" applyBorder="1"/>
    <xf numFmtId="169" fontId="0" fillId="0" borderId="1" xfId="0" applyNumberFormat="1" applyBorder="1"/>
    <xf numFmtId="49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9" fillId="10" borderId="1" xfId="0" applyFont="1" applyFill="1" applyBorder="1"/>
    <xf numFmtId="0" fontId="9" fillId="2" borderId="1" xfId="0" applyFont="1" applyFill="1" applyBorder="1"/>
    <xf numFmtId="49" fontId="3" fillId="4" borderId="1" xfId="0" applyNumberFormat="1" applyFont="1" applyFill="1" applyBorder="1"/>
    <xf numFmtId="49" fontId="3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1" xfId="1" applyNumberFormat="1" applyFont="1" applyBorder="1"/>
    <xf numFmtId="0" fontId="0" fillId="0" borderId="0" xfId="0" applyAlignment="1">
      <alignment horizontal="center"/>
    </xf>
    <xf numFmtId="0" fontId="0" fillId="4" borderId="12" xfId="0" applyFill="1" applyBorder="1"/>
    <xf numFmtId="0" fontId="0" fillId="4" borderId="4" xfId="0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3" fillId="0" borderId="1" xfId="0" applyFont="1" applyBorder="1" applyAlignment="1">
      <alignment horizontal="left"/>
    </xf>
    <xf numFmtId="2" fontId="0" fillId="3" borderId="1" xfId="0" applyNumberFormat="1" applyFill="1" applyBorder="1"/>
    <xf numFmtId="2" fontId="0" fillId="0" borderId="1" xfId="0" applyNumberFormat="1" applyBorder="1"/>
    <xf numFmtId="16" fontId="0" fillId="0" borderId="1" xfId="0" applyNumberFormat="1" applyBorder="1"/>
    <xf numFmtId="2" fontId="0" fillId="0" borderId="0" xfId="0" applyNumberFormat="1" applyFill="1" applyBorder="1" applyAlignment="1">
      <alignment horizontal="center"/>
    </xf>
    <xf numFmtId="2" fontId="0" fillId="4" borderId="1" xfId="0" applyNumberFormat="1" applyFill="1" applyBorder="1"/>
    <xf numFmtId="169" fontId="1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/>
    <xf numFmtId="0" fontId="20" fillId="11" borderId="1" xfId="0" applyFont="1" applyFill="1" applyBorder="1"/>
    <xf numFmtId="0" fontId="0" fillId="0" borderId="0" xfId="0" quotePrefix="1"/>
    <xf numFmtId="170" fontId="19" fillId="0" borderId="1" xfId="2" applyNumberFormat="1" applyFont="1" applyBorder="1"/>
    <xf numFmtId="3" fontId="19" fillId="0" borderId="1" xfId="0" applyNumberFormat="1" applyFont="1" applyBorder="1" applyAlignment="1">
      <alignment horizontal="right" vertical="center" wrapText="1"/>
    </xf>
    <xf numFmtId="168" fontId="0" fillId="0" borderId="1" xfId="0" applyNumberFormat="1" applyBorder="1"/>
    <xf numFmtId="168" fontId="0" fillId="0" borderId="0" xfId="0" applyNumberFormat="1"/>
    <xf numFmtId="0" fontId="17" fillId="11" borderId="1" xfId="0" applyFont="1" applyFill="1" applyBorder="1" applyAlignment="1">
      <alignment horizontal="center"/>
    </xf>
    <xf numFmtId="0" fontId="22" fillId="11" borderId="1" xfId="0" applyFont="1" applyFill="1" applyBorder="1"/>
    <xf numFmtId="0" fontId="23" fillId="0" borderId="0" xfId="0" applyFont="1"/>
    <xf numFmtId="2" fontId="18" fillId="11" borderId="1" xfId="0" applyNumberFormat="1" applyFont="1" applyFill="1" applyBorder="1"/>
    <xf numFmtId="171" fontId="0" fillId="0" borderId="1" xfId="0" applyNumberFormat="1" applyBorder="1"/>
    <xf numFmtId="0" fontId="24" fillId="0" borderId="1" xfId="0" applyFont="1" applyBorder="1" applyAlignment="1">
      <alignment horizontal="center"/>
    </xf>
    <xf numFmtId="0" fontId="25" fillId="11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0" fillId="12" borderId="1" xfId="0" applyFill="1" applyBorder="1"/>
    <xf numFmtId="0" fontId="0" fillId="10" borderId="1" xfId="0" applyFill="1" applyBorder="1" applyAlignment="1">
      <alignment horizontal="center"/>
    </xf>
    <xf numFmtId="0" fontId="0" fillId="13" borderId="1" xfId="0" applyFill="1" applyBorder="1"/>
    <xf numFmtId="172" fontId="0" fillId="0" borderId="1" xfId="0" applyNumberFormat="1" applyBorder="1"/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9" fontId="0" fillId="0" borderId="1" xfId="1" applyFont="1" applyBorder="1"/>
    <xf numFmtId="0" fontId="0" fillId="13" borderId="0" xfId="0" applyFill="1"/>
    <xf numFmtId="0" fontId="0" fillId="14" borderId="0" xfId="0" applyFill="1"/>
    <xf numFmtId="0" fontId="3" fillId="15" borderId="0" xfId="0" applyFont="1" applyFill="1"/>
    <xf numFmtId="3" fontId="0" fillId="2" borderId="0" xfId="0" applyNumberFormat="1" applyFill="1"/>
    <xf numFmtId="0" fontId="3" fillId="13" borderId="0" xfId="0" applyFont="1" applyFill="1"/>
    <xf numFmtId="3" fontId="0" fillId="13" borderId="0" xfId="0" applyNumberFormat="1" applyFill="1"/>
    <xf numFmtId="0" fontId="3" fillId="12" borderId="0" xfId="0" applyFont="1" applyFill="1"/>
    <xf numFmtId="3" fontId="0" fillId="12" borderId="0" xfId="0" applyNumberFormat="1" applyFill="1"/>
    <xf numFmtId="3" fontId="3" fillId="12" borderId="0" xfId="0" applyNumberFormat="1" applyFont="1" applyFill="1"/>
    <xf numFmtId="3" fontId="3" fillId="13" borderId="0" xfId="0" applyNumberFormat="1" applyFont="1" applyFill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0" borderId="0" xfId="0" applyFont="1" applyFill="1"/>
    <xf numFmtId="3" fontId="0" fillId="0" borderId="0" xfId="0" applyNumberFormat="1" applyFill="1"/>
    <xf numFmtId="3" fontId="19" fillId="0" borderId="12" xfId="0" applyNumberFormat="1" applyFont="1" applyBorder="1" applyAlignment="1">
      <alignment horizontal="right" vertical="center" wrapText="1"/>
    </xf>
    <xf numFmtId="3" fontId="0" fillId="0" borderId="13" xfId="0" applyNumberFormat="1" applyFont="1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3" fontId="0" fillId="0" borderId="0" xfId="0" applyNumberFormat="1" applyAlignment="1">
      <alignment horizontal="right" vertical="center"/>
    </xf>
    <xf numFmtId="0" fontId="0" fillId="14" borderId="0" xfId="0" applyFill="1" applyAlignment="1">
      <alignment horizontal="right" vertical="center" wrapText="1"/>
    </xf>
    <xf numFmtId="3" fontId="0" fillId="14" borderId="0" xfId="0" applyNumberFormat="1" applyFill="1" applyAlignment="1">
      <alignment horizontal="right" vertical="center" wrapText="1"/>
    </xf>
    <xf numFmtId="0" fontId="0" fillId="14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3" fontId="0" fillId="2" borderId="0" xfId="0" applyNumberFormat="1" applyFill="1" applyAlignment="1">
      <alignment horizontal="right" vertical="center" wrapText="1"/>
    </xf>
    <xf numFmtId="3" fontId="0" fillId="15" borderId="0" xfId="0" applyNumberFormat="1" applyFill="1" applyAlignment="1">
      <alignment horizontal="right" vertical="center"/>
    </xf>
    <xf numFmtId="0" fontId="0" fillId="14" borderId="0" xfId="0" applyFill="1" applyAlignment="1">
      <alignment wrapText="1"/>
    </xf>
    <xf numFmtId="3" fontId="0" fillId="14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3" fontId="0" fillId="2" borderId="0" xfId="0" applyNumberFormat="1" applyFill="1" applyAlignment="1">
      <alignment wrapText="1"/>
    </xf>
    <xf numFmtId="3" fontId="0" fillId="15" borderId="0" xfId="0" applyNumberFormat="1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173" fontId="0" fillId="0" borderId="0" xfId="0" applyNumberFormat="1"/>
    <xf numFmtId="174" fontId="0" fillId="0" borderId="0" xfId="0" applyNumberFormat="1"/>
    <xf numFmtId="0" fontId="0" fillId="10" borderId="1" xfId="0" applyFill="1" applyBorder="1" applyAlignment="1">
      <alignment horizontal="center"/>
    </xf>
    <xf numFmtId="0" fontId="3" fillId="7" borderId="1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/>
    </xf>
    <xf numFmtId="0" fontId="0" fillId="16" borderId="8" xfId="0" applyFill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27">
    <dxf>
      <numFmt numFmtId="165" formatCode="0.000%;#,##0.000%"/>
    </dxf>
    <dxf>
      <numFmt numFmtId="165" formatCode="0.000%;#,##0.000%"/>
    </dxf>
    <dxf>
      <numFmt numFmtId="167" formatCode="0;0"/>
    </dxf>
    <dxf>
      <numFmt numFmtId="165" formatCode="0.000%;#,##0.000%"/>
    </dxf>
    <dxf>
      <numFmt numFmtId="165" formatCode="0.000%;#,##0.000%"/>
    </dxf>
    <dxf>
      <numFmt numFmtId="167" formatCode="0;0"/>
    </dxf>
    <dxf>
      <numFmt numFmtId="165" formatCode="0.000%;#,##0.000%"/>
    </dxf>
    <dxf>
      <numFmt numFmtId="165" formatCode="0.000%;#,##0.000%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7" formatCode="0;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0.000%;#,##0.000%"/>
    </dxf>
    <dxf>
      <numFmt numFmtId="165" formatCode="0.000%;#,##0.000%"/>
    </dxf>
    <dxf>
      <numFmt numFmtId="167" formatCode="0;0"/>
    </dxf>
    <dxf>
      <numFmt numFmtId="166" formatCode="0;#,#00"/>
    </dxf>
    <dxf>
      <numFmt numFmtId="165" formatCode="0.000%;#,##0.000%"/>
    </dxf>
    <dxf>
      <numFmt numFmtId="165" formatCode="0.000%;#,##0.000%"/>
    </dxf>
    <dxf>
      <numFmt numFmtId="167" formatCode="0;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%;#,##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%;#,##0.000%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0;#,#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FFCCCC"/>
      <color rgb="FFCCECFF"/>
      <color rgb="FFF1D4F6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Pirámide Poblacional de Querétaro CENSO 2010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Por Edades Individuales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'CENSO Pirámides'!$E$3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'CENSO Pirámides'!$A$4:$A$104</c:f>
              <c:strCache>
                <c:ptCount val="101"/>
                <c:pt idx="0">
                  <c:v>0 Años</c:v>
                </c:pt>
                <c:pt idx="1">
                  <c:v>1 Año</c:v>
                </c:pt>
                <c:pt idx="2">
                  <c:v>2 Años</c:v>
                </c:pt>
                <c:pt idx="3">
                  <c:v>3 Años</c:v>
                </c:pt>
                <c:pt idx="4">
                  <c:v>4 Años</c:v>
                </c:pt>
                <c:pt idx="5">
                  <c:v>5 Años</c:v>
                </c:pt>
                <c:pt idx="6">
                  <c:v>6 Años</c:v>
                </c:pt>
                <c:pt idx="7">
                  <c:v>7 Años</c:v>
                </c:pt>
                <c:pt idx="8">
                  <c:v>8 Años</c:v>
                </c:pt>
                <c:pt idx="9">
                  <c:v>9 Años</c:v>
                </c:pt>
                <c:pt idx="10">
                  <c:v>10 Años</c:v>
                </c:pt>
                <c:pt idx="11">
                  <c:v>11 Años</c:v>
                </c:pt>
                <c:pt idx="12">
                  <c:v>12 Años</c:v>
                </c:pt>
                <c:pt idx="13">
                  <c:v>13 Años</c:v>
                </c:pt>
                <c:pt idx="14">
                  <c:v>14 Años</c:v>
                </c:pt>
                <c:pt idx="15">
                  <c:v>15 Años</c:v>
                </c:pt>
                <c:pt idx="16">
                  <c:v>16 Años</c:v>
                </c:pt>
                <c:pt idx="17">
                  <c:v>17 Años</c:v>
                </c:pt>
                <c:pt idx="18">
                  <c:v>18 Años</c:v>
                </c:pt>
                <c:pt idx="19">
                  <c:v>19 Años</c:v>
                </c:pt>
                <c:pt idx="20">
                  <c:v>20 Años</c:v>
                </c:pt>
                <c:pt idx="21">
                  <c:v>21 Años</c:v>
                </c:pt>
                <c:pt idx="22">
                  <c:v>22 Años</c:v>
                </c:pt>
                <c:pt idx="23">
                  <c:v>23 Años</c:v>
                </c:pt>
                <c:pt idx="24">
                  <c:v>24 Años</c:v>
                </c:pt>
                <c:pt idx="25">
                  <c:v>25 Años</c:v>
                </c:pt>
                <c:pt idx="26">
                  <c:v>26 Años</c:v>
                </c:pt>
                <c:pt idx="27">
                  <c:v>27 Años</c:v>
                </c:pt>
                <c:pt idx="28">
                  <c:v>28 Años</c:v>
                </c:pt>
                <c:pt idx="29">
                  <c:v>29 Años</c:v>
                </c:pt>
                <c:pt idx="30">
                  <c:v>30 Años</c:v>
                </c:pt>
                <c:pt idx="31">
                  <c:v>31 Años</c:v>
                </c:pt>
                <c:pt idx="32">
                  <c:v>32 Años</c:v>
                </c:pt>
                <c:pt idx="33">
                  <c:v>33 Años</c:v>
                </c:pt>
                <c:pt idx="34">
                  <c:v>34 Años</c:v>
                </c:pt>
                <c:pt idx="35">
                  <c:v>35 Años</c:v>
                </c:pt>
                <c:pt idx="36">
                  <c:v>36 Años</c:v>
                </c:pt>
                <c:pt idx="37">
                  <c:v>37 Años</c:v>
                </c:pt>
                <c:pt idx="38">
                  <c:v>38 Años</c:v>
                </c:pt>
                <c:pt idx="39">
                  <c:v>39 Años</c:v>
                </c:pt>
                <c:pt idx="40">
                  <c:v>40 Años</c:v>
                </c:pt>
                <c:pt idx="41">
                  <c:v>41 Años</c:v>
                </c:pt>
                <c:pt idx="42">
                  <c:v>42 Años</c:v>
                </c:pt>
                <c:pt idx="43">
                  <c:v>43 Años</c:v>
                </c:pt>
                <c:pt idx="44">
                  <c:v>44 Años</c:v>
                </c:pt>
                <c:pt idx="45">
                  <c:v>45 Años</c:v>
                </c:pt>
                <c:pt idx="46">
                  <c:v>46 Años</c:v>
                </c:pt>
                <c:pt idx="47">
                  <c:v>47 Años</c:v>
                </c:pt>
                <c:pt idx="48">
                  <c:v>48 Años</c:v>
                </c:pt>
                <c:pt idx="49">
                  <c:v>49 Años</c:v>
                </c:pt>
                <c:pt idx="50">
                  <c:v>50 Años</c:v>
                </c:pt>
                <c:pt idx="51">
                  <c:v>51 Años</c:v>
                </c:pt>
                <c:pt idx="52">
                  <c:v>52 Años</c:v>
                </c:pt>
                <c:pt idx="53">
                  <c:v>53 Años</c:v>
                </c:pt>
                <c:pt idx="54">
                  <c:v>54 Años</c:v>
                </c:pt>
                <c:pt idx="55">
                  <c:v>55 Años</c:v>
                </c:pt>
                <c:pt idx="56">
                  <c:v>56 Años</c:v>
                </c:pt>
                <c:pt idx="57">
                  <c:v>57 Años</c:v>
                </c:pt>
                <c:pt idx="58">
                  <c:v>58 Años</c:v>
                </c:pt>
                <c:pt idx="59">
                  <c:v>59 Años</c:v>
                </c:pt>
                <c:pt idx="60">
                  <c:v>60 Años</c:v>
                </c:pt>
                <c:pt idx="61">
                  <c:v>61 Años</c:v>
                </c:pt>
                <c:pt idx="62">
                  <c:v>62 Años</c:v>
                </c:pt>
                <c:pt idx="63">
                  <c:v>63 Años</c:v>
                </c:pt>
                <c:pt idx="64">
                  <c:v>64 Años</c:v>
                </c:pt>
                <c:pt idx="65">
                  <c:v>65 Años</c:v>
                </c:pt>
                <c:pt idx="66">
                  <c:v>66 Años</c:v>
                </c:pt>
                <c:pt idx="67">
                  <c:v>67 Años</c:v>
                </c:pt>
                <c:pt idx="68">
                  <c:v>68 Años</c:v>
                </c:pt>
                <c:pt idx="69">
                  <c:v>69 Años</c:v>
                </c:pt>
                <c:pt idx="70">
                  <c:v>70 Años</c:v>
                </c:pt>
                <c:pt idx="71">
                  <c:v>71 Años</c:v>
                </c:pt>
                <c:pt idx="72">
                  <c:v>72 Años</c:v>
                </c:pt>
                <c:pt idx="73">
                  <c:v>73 Años</c:v>
                </c:pt>
                <c:pt idx="74">
                  <c:v>74 Años</c:v>
                </c:pt>
                <c:pt idx="75">
                  <c:v>75 Años</c:v>
                </c:pt>
                <c:pt idx="76">
                  <c:v>76 Años</c:v>
                </c:pt>
                <c:pt idx="77">
                  <c:v>77 Años</c:v>
                </c:pt>
                <c:pt idx="78">
                  <c:v>78 Años</c:v>
                </c:pt>
                <c:pt idx="79">
                  <c:v>79 Años</c:v>
                </c:pt>
                <c:pt idx="80">
                  <c:v>80 Años</c:v>
                </c:pt>
                <c:pt idx="81">
                  <c:v>81 Años</c:v>
                </c:pt>
                <c:pt idx="82">
                  <c:v>82 Años</c:v>
                </c:pt>
                <c:pt idx="83">
                  <c:v>83 Años</c:v>
                </c:pt>
                <c:pt idx="84">
                  <c:v>84 Años</c:v>
                </c:pt>
                <c:pt idx="85">
                  <c:v>85 Años</c:v>
                </c:pt>
                <c:pt idx="86">
                  <c:v>86 Años</c:v>
                </c:pt>
                <c:pt idx="87">
                  <c:v>87 Años</c:v>
                </c:pt>
                <c:pt idx="88">
                  <c:v>88 Años</c:v>
                </c:pt>
                <c:pt idx="89">
                  <c:v>89 Años</c:v>
                </c:pt>
                <c:pt idx="90">
                  <c:v>90 Años</c:v>
                </c:pt>
                <c:pt idx="91">
                  <c:v>91 Años</c:v>
                </c:pt>
                <c:pt idx="92">
                  <c:v>92 Años</c:v>
                </c:pt>
                <c:pt idx="93">
                  <c:v>93 Años</c:v>
                </c:pt>
                <c:pt idx="94">
                  <c:v>94 Años</c:v>
                </c:pt>
                <c:pt idx="95">
                  <c:v>95 Años</c:v>
                </c:pt>
                <c:pt idx="96">
                  <c:v>96 Años</c:v>
                </c:pt>
                <c:pt idx="97">
                  <c:v>97 Años</c:v>
                </c:pt>
                <c:pt idx="98">
                  <c:v>98 Años</c:v>
                </c:pt>
                <c:pt idx="99">
                  <c:v>99 Años</c:v>
                </c:pt>
                <c:pt idx="100">
                  <c:v>100 años y más</c:v>
                </c:pt>
              </c:strCache>
            </c:strRef>
          </c:cat>
          <c:val>
            <c:numRef>
              <c:f>'CENSO Pirámides'!$E$4:$E$104</c:f>
              <c:numCache>
                <c:formatCode>0.000%;#,##0.000%</c:formatCode>
                <c:ptCount val="101"/>
                <c:pt idx="0">
                  <c:v>-9.7361096112608507E-3</c:v>
                </c:pt>
                <c:pt idx="1">
                  <c:v>-9.706357479575713E-3</c:v>
                </c:pt>
                <c:pt idx="2">
                  <c:v>-1.0317378109924209E-2</c:v>
                </c:pt>
                <c:pt idx="3">
                  <c:v>-1.0233080403482983E-2</c:v>
                </c:pt>
                <c:pt idx="4">
                  <c:v>-1.0129498907986574E-2</c:v>
                </c:pt>
                <c:pt idx="5">
                  <c:v>-1.0127295046380267E-2</c:v>
                </c:pt>
                <c:pt idx="6">
                  <c:v>-1.0068892713813143E-2</c:v>
                </c:pt>
                <c:pt idx="7">
                  <c:v>-1.0265587362176004E-2</c:v>
                </c:pt>
                <c:pt idx="8">
                  <c:v>-1.0492585107625581E-2</c:v>
                </c:pt>
                <c:pt idx="9">
                  <c:v>-1.0412144158995391E-2</c:v>
                </c:pt>
                <c:pt idx="10">
                  <c:v>-1.0854569376461436E-2</c:v>
                </c:pt>
                <c:pt idx="11">
                  <c:v>-9.8540162071982535E-3</c:v>
                </c:pt>
                <c:pt idx="12">
                  <c:v>-1.0301951078680063E-2</c:v>
                </c:pt>
                <c:pt idx="13">
                  <c:v>-9.8964405431196546E-3</c:v>
                </c:pt>
                <c:pt idx="14">
                  <c:v>-1.0031427066505932E-2</c:v>
                </c:pt>
                <c:pt idx="15">
                  <c:v>-1.0614899426775596E-2</c:v>
                </c:pt>
                <c:pt idx="16">
                  <c:v>-1.0109664153529815E-2</c:v>
                </c:pt>
                <c:pt idx="17">
                  <c:v>-1.0723439610886195E-2</c:v>
                </c:pt>
                <c:pt idx="18">
                  <c:v>-1.0633081285027626E-2</c:v>
                </c:pt>
                <c:pt idx="19">
                  <c:v>-9.1058051918571723E-3</c:v>
                </c:pt>
                <c:pt idx="20">
                  <c:v>-9.519580208441231E-3</c:v>
                </c:pt>
                <c:pt idx="21">
                  <c:v>-8.3603490035239741E-3</c:v>
                </c:pt>
                <c:pt idx="22">
                  <c:v>-9.3339048681099022E-3</c:v>
                </c:pt>
                <c:pt idx="23">
                  <c:v>-8.7443718884228951E-3</c:v>
                </c:pt>
                <c:pt idx="24">
                  <c:v>-8.5140683505638588E-3</c:v>
                </c:pt>
                <c:pt idx="25">
                  <c:v>-8.5102115927528209E-3</c:v>
                </c:pt>
                <c:pt idx="26">
                  <c:v>-7.8281164256009377E-3</c:v>
                </c:pt>
                <c:pt idx="27">
                  <c:v>-7.9950589422786607E-3</c:v>
                </c:pt>
                <c:pt idx="28">
                  <c:v>-8.2066296564840911E-3</c:v>
                </c:pt>
                <c:pt idx="29">
                  <c:v>-7.3041483287015511E-3</c:v>
                </c:pt>
                <c:pt idx="30">
                  <c:v>-8.9945101807386903E-3</c:v>
                </c:pt>
                <c:pt idx="31">
                  <c:v>-6.1438151929811419E-3</c:v>
                </c:pt>
                <c:pt idx="32">
                  <c:v>-7.8732955885302235E-3</c:v>
                </c:pt>
                <c:pt idx="33">
                  <c:v>-7.2887212974574048E-3</c:v>
                </c:pt>
                <c:pt idx="34">
                  <c:v>-7.2099332450319452E-3</c:v>
                </c:pt>
                <c:pt idx="35">
                  <c:v>-7.7994662247189523E-3</c:v>
                </c:pt>
                <c:pt idx="36">
                  <c:v>-7.3851402427333171E-3</c:v>
                </c:pt>
                <c:pt idx="37">
                  <c:v>-7.132247123409638E-3</c:v>
                </c:pt>
                <c:pt idx="38">
                  <c:v>-7.5570414480252302E-3</c:v>
                </c:pt>
                <c:pt idx="39">
                  <c:v>-6.3399588759424259E-3</c:v>
                </c:pt>
                <c:pt idx="40">
                  <c:v>-7.6683364591437113E-3</c:v>
                </c:pt>
                <c:pt idx="41">
                  <c:v>-4.8192943675908926E-3</c:v>
                </c:pt>
                <c:pt idx="42">
                  <c:v>-6.7686099583690543E-3</c:v>
                </c:pt>
                <c:pt idx="43">
                  <c:v>-5.463923887435565E-3</c:v>
                </c:pt>
                <c:pt idx="44">
                  <c:v>-4.9013882124258126E-3</c:v>
                </c:pt>
                <c:pt idx="45">
                  <c:v>-5.8170927098461925E-3</c:v>
                </c:pt>
                <c:pt idx="46">
                  <c:v>-4.8176414713861629E-3</c:v>
                </c:pt>
                <c:pt idx="47">
                  <c:v>-4.6672279167557394E-3</c:v>
                </c:pt>
                <c:pt idx="48">
                  <c:v>-4.7702584468505716E-3</c:v>
                </c:pt>
                <c:pt idx="49">
                  <c:v>-4.4303127940777832E-3</c:v>
                </c:pt>
                <c:pt idx="50">
                  <c:v>-5.4920231229159738E-3</c:v>
                </c:pt>
                <c:pt idx="51">
                  <c:v>-3.3052414440582789E-3</c:v>
                </c:pt>
                <c:pt idx="52">
                  <c:v>-4.2038660140297831E-3</c:v>
                </c:pt>
                <c:pt idx="53">
                  <c:v>-3.6776940555240892E-3</c:v>
                </c:pt>
                <c:pt idx="54">
                  <c:v>-3.5019360924211404E-3</c:v>
                </c:pt>
                <c:pt idx="55">
                  <c:v>-3.6727353669098995E-3</c:v>
                </c:pt>
                <c:pt idx="56">
                  <c:v>-3.2495939384990379E-3</c:v>
                </c:pt>
                <c:pt idx="57">
                  <c:v>-2.6435319967647313E-3</c:v>
                </c:pt>
                <c:pt idx="58">
                  <c:v>-2.6980775715208186E-3</c:v>
                </c:pt>
                <c:pt idx="59">
                  <c:v>-2.5636420135361181E-3</c:v>
                </c:pt>
                <c:pt idx="60">
                  <c:v>-3.1371969965774027E-3</c:v>
                </c:pt>
                <c:pt idx="61">
                  <c:v>-1.6236950384463658E-3</c:v>
                </c:pt>
                <c:pt idx="62">
                  <c:v>-2.1812720248419282E-3</c:v>
                </c:pt>
                <c:pt idx="63">
                  <c:v>-2.2121260873302199E-3</c:v>
                </c:pt>
                <c:pt idx="64">
                  <c:v>-1.9256240785103659E-3</c:v>
                </c:pt>
                <c:pt idx="65">
                  <c:v>-2.0523461208729935E-3</c:v>
                </c:pt>
                <c:pt idx="66">
                  <c:v>-1.6165324882258694E-3</c:v>
                </c:pt>
                <c:pt idx="67">
                  <c:v>-1.5223174045562635E-3</c:v>
                </c:pt>
                <c:pt idx="68">
                  <c:v>-1.5586811210603218E-3</c:v>
                </c:pt>
                <c:pt idx="69">
                  <c:v>-1.3807192963510664E-3</c:v>
                </c:pt>
                <c:pt idx="70">
                  <c:v>-1.8501418184943658E-3</c:v>
                </c:pt>
                <c:pt idx="71">
                  <c:v>-9.278257362550661E-4</c:v>
                </c:pt>
                <c:pt idx="72">
                  <c:v>-1.3057880017366429E-3</c:v>
                </c:pt>
                <c:pt idx="73">
                  <c:v>-1.1719034091535188E-3</c:v>
                </c:pt>
                <c:pt idx="74">
                  <c:v>-1.0369168857672414E-3</c:v>
                </c:pt>
                <c:pt idx="75">
                  <c:v>-1.0942172875312121E-3</c:v>
                </c:pt>
                <c:pt idx="76">
                  <c:v>-9.2341801304245304E-4</c:v>
                </c:pt>
                <c:pt idx="77">
                  <c:v>-6.7823840934084698E-4</c:v>
                </c:pt>
                <c:pt idx="78">
                  <c:v>-8.6777050748321205E-4</c:v>
                </c:pt>
                <c:pt idx="79">
                  <c:v>-6.0275614932484695E-4</c:v>
                </c:pt>
                <c:pt idx="80">
                  <c:v>-7.9779790148297848E-4</c:v>
                </c:pt>
                <c:pt idx="81">
                  <c:v>-3.7190164606423374E-4</c:v>
                </c:pt>
                <c:pt idx="82">
                  <c:v>-5.0743913485208788E-4</c:v>
                </c:pt>
                <c:pt idx="83">
                  <c:v>-4.4518004447392719E-4</c:v>
                </c:pt>
                <c:pt idx="84">
                  <c:v>-4.3471170184397102E-4</c:v>
                </c:pt>
                <c:pt idx="85">
                  <c:v>-4.2699818622189803E-4</c:v>
                </c:pt>
                <c:pt idx="86">
                  <c:v>-3.5482171861535782E-4</c:v>
                </c:pt>
                <c:pt idx="87">
                  <c:v>-2.8815490502458408E-4</c:v>
                </c:pt>
                <c:pt idx="88">
                  <c:v>-2.5344408472525559E-4</c:v>
                </c:pt>
                <c:pt idx="89">
                  <c:v>-1.9228692515024828E-4</c:v>
                </c:pt>
                <c:pt idx="90">
                  <c:v>-2.0661202559124097E-4</c:v>
                </c:pt>
                <c:pt idx="91">
                  <c:v>-7.4380329212846751E-5</c:v>
                </c:pt>
                <c:pt idx="92">
                  <c:v>-9.6418945275912461E-5</c:v>
                </c:pt>
                <c:pt idx="93">
                  <c:v>-6.8319709795503685E-5</c:v>
                </c:pt>
                <c:pt idx="94">
                  <c:v>-5.785136716554747E-5</c:v>
                </c:pt>
                <c:pt idx="95">
                  <c:v>-4.0771439716671555E-5</c:v>
                </c:pt>
                <c:pt idx="96">
                  <c:v>-5.2341713149781049E-5</c:v>
                </c:pt>
                <c:pt idx="97">
                  <c:v>-3.4159854897751842E-5</c:v>
                </c:pt>
                <c:pt idx="98">
                  <c:v>-2.0936685259912417E-5</c:v>
                </c:pt>
                <c:pt idx="99">
                  <c:v>-1.8732823653605849E-5</c:v>
                </c:pt>
                <c:pt idx="100">
                  <c:v>-3.8567578110364984E-5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2-4E34-8219-E8301EDCBA1F}"/>
            </c:ext>
          </c:extLst>
        </c:ser>
        <c:ser>
          <c:idx val="1"/>
          <c:order val="1"/>
          <c:tx>
            <c:strRef>
              <c:f>'CENSO Pirámides'!$F$3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'CENSO Pirámides'!$A$4:$A$104</c:f>
              <c:strCache>
                <c:ptCount val="101"/>
                <c:pt idx="0">
                  <c:v>0 Años</c:v>
                </c:pt>
                <c:pt idx="1">
                  <c:v>1 Año</c:v>
                </c:pt>
                <c:pt idx="2">
                  <c:v>2 Años</c:v>
                </c:pt>
                <c:pt idx="3">
                  <c:v>3 Años</c:v>
                </c:pt>
                <c:pt idx="4">
                  <c:v>4 Años</c:v>
                </c:pt>
                <c:pt idx="5">
                  <c:v>5 Años</c:v>
                </c:pt>
                <c:pt idx="6">
                  <c:v>6 Años</c:v>
                </c:pt>
                <c:pt idx="7">
                  <c:v>7 Años</c:v>
                </c:pt>
                <c:pt idx="8">
                  <c:v>8 Años</c:v>
                </c:pt>
                <c:pt idx="9">
                  <c:v>9 Años</c:v>
                </c:pt>
                <c:pt idx="10">
                  <c:v>10 Años</c:v>
                </c:pt>
                <c:pt idx="11">
                  <c:v>11 Años</c:v>
                </c:pt>
                <c:pt idx="12">
                  <c:v>12 Años</c:v>
                </c:pt>
                <c:pt idx="13">
                  <c:v>13 Años</c:v>
                </c:pt>
                <c:pt idx="14">
                  <c:v>14 Años</c:v>
                </c:pt>
                <c:pt idx="15">
                  <c:v>15 Años</c:v>
                </c:pt>
                <c:pt idx="16">
                  <c:v>16 Años</c:v>
                </c:pt>
                <c:pt idx="17">
                  <c:v>17 Años</c:v>
                </c:pt>
                <c:pt idx="18">
                  <c:v>18 Años</c:v>
                </c:pt>
                <c:pt idx="19">
                  <c:v>19 Años</c:v>
                </c:pt>
                <c:pt idx="20">
                  <c:v>20 Años</c:v>
                </c:pt>
                <c:pt idx="21">
                  <c:v>21 Años</c:v>
                </c:pt>
                <c:pt idx="22">
                  <c:v>22 Años</c:v>
                </c:pt>
                <c:pt idx="23">
                  <c:v>23 Años</c:v>
                </c:pt>
                <c:pt idx="24">
                  <c:v>24 Años</c:v>
                </c:pt>
                <c:pt idx="25">
                  <c:v>25 Años</c:v>
                </c:pt>
                <c:pt idx="26">
                  <c:v>26 Años</c:v>
                </c:pt>
                <c:pt idx="27">
                  <c:v>27 Años</c:v>
                </c:pt>
                <c:pt idx="28">
                  <c:v>28 Años</c:v>
                </c:pt>
                <c:pt idx="29">
                  <c:v>29 Años</c:v>
                </c:pt>
                <c:pt idx="30">
                  <c:v>30 Años</c:v>
                </c:pt>
                <c:pt idx="31">
                  <c:v>31 Años</c:v>
                </c:pt>
                <c:pt idx="32">
                  <c:v>32 Años</c:v>
                </c:pt>
                <c:pt idx="33">
                  <c:v>33 Años</c:v>
                </c:pt>
                <c:pt idx="34">
                  <c:v>34 Años</c:v>
                </c:pt>
                <c:pt idx="35">
                  <c:v>35 Años</c:v>
                </c:pt>
                <c:pt idx="36">
                  <c:v>36 Años</c:v>
                </c:pt>
                <c:pt idx="37">
                  <c:v>37 Años</c:v>
                </c:pt>
                <c:pt idx="38">
                  <c:v>38 Años</c:v>
                </c:pt>
                <c:pt idx="39">
                  <c:v>39 Años</c:v>
                </c:pt>
                <c:pt idx="40">
                  <c:v>40 Años</c:v>
                </c:pt>
                <c:pt idx="41">
                  <c:v>41 Años</c:v>
                </c:pt>
                <c:pt idx="42">
                  <c:v>42 Años</c:v>
                </c:pt>
                <c:pt idx="43">
                  <c:v>43 Años</c:v>
                </c:pt>
                <c:pt idx="44">
                  <c:v>44 Años</c:v>
                </c:pt>
                <c:pt idx="45">
                  <c:v>45 Años</c:v>
                </c:pt>
                <c:pt idx="46">
                  <c:v>46 Años</c:v>
                </c:pt>
                <c:pt idx="47">
                  <c:v>47 Años</c:v>
                </c:pt>
                <c:pt idx="48">
                  <c:v>48 Años</c:v>
                </c:pt>
                <c:pt idx="49">
                  <c:v>49 Años</c:v>
                </c:pt>
                <c:pt idx="50">
                  <c:v>50 Años</c:v>
                </c:pt>
                <c:pt idx="51">
                  <c:v>51 Años</c:v>
                </c:pt>
                <c:pt idx="52">
                  <c:v>52 Años</c:v>
                </c:pt>
                <c:pt idx="53">
                  <c:v>53 Años</c:v>
                </c:pt>
                <c:pt idx="54">
                  <c:v>54 Años</c:v>
                </c:pt>
                <c:pt idx="55">
                  <c:v>55 Años</c:v>
                </c:pt>
                <c:pt idx="56">
                  <c:v>56 Años</c:v>
                </c:pt>
                <c:pt idx="57">
                  <c:v>57 Años</c:v>
                </c:pt>
                <c:pt idx="58">
                  <c:v>58 Años</c:v>
                </c:pt>
                <c:pt idx="59">
                  <c:v>59 Años</c:v>
                </c:pt>
                <c:pt idx="60">
                  <c:v>60 Años</c:v>
                </c:pt>
                <c:pt idx="61">
                  <c:v>61 Años</c:v>
                </c:pt>
                <c:pt idx="62">
                  <c:v>62 Años</c:v>
                </c:pt>
                <c:pt idx="63">
                  <c:v>63 Años</c:v>
                </c:pt>
                <c:pt idx="64">
                  <c:v>64 Años</c:v>
                </c:pt>
                <c:pt idx="65">
                  <c:v>65 Años</c:v>
                </c:pt>
                <c:pt idx="66">
                  <c:v>66 Años</c:v>
                </c:pt>
                <c:pt idx="67">
                  <c:v>67 Años</c:v>
                </c:pt>
                <c:pt idx="68">
                  <c:v>68 Años</c:v>
                </c:pt>
                <c:pt idx="69">
                  <c:v>69 Años</c:v>
                </c:pt>
                <c:pt idx="70">
                  <c:v>70 Años</c:v>
                </c:pt>
                <c:pt idx="71">
                  <c:v>71 Años</c:v>
                </c:pt>
                <c:pt idx="72">
                  <c:v>72 Años</c:v>
                </c:pt>
                <c:pt idx="73">
                  <c:v>73 Años</c:v>
                </c:pt>
                <c:pt idx="74">
                  <c:v>74 Años</c:v>
                </c:pt>
                <c:pt idx="75">
                  <c:v>75 Años</c:v>
                </c:pt>
                <c:pt idx="76">
                  <c:v>76 Años</c:v>
                </c:pt>
                <c:pt idx="77">
                  <c:v>77 Años</c:v>
                </c:pt>
                <c:pt idx="78">
                  <c:v>78 Años</c:v>
                </c:pt>
                <c:pt idx="79">
                  <c:v>79 Años</c:v>
                </c:pt>
                <c:pt idx="80">
                  <c:v>80 Años</c:v>
                </c:pt>
                <c:pt idx="81">
                  <c:v>81 Años</c:v>
                </c:pt>
                <c:pt idx="82">
                  <c:v>82 Años</c:v>
                </c:pt>
                <c:pt idx="83">
                  <c:v>83 Años</c:v>
                </c:pt>
                <c:pt idx="84">
                  <c:v>84 Años</c:v>
                </c:pt>
                <c:pt idx="85">
                  <c:v>85 Años</c:v>
                </c:pt>
                <c:pt idx="86">
                  <c:v>86 Años</c:v>
                </c:pt>
                <c:pt idx="87">
                  <c:v>87 Años</c:v>
                </c:pt>
                <c:pt idx="88">
                  <c:v>88 Años</c:v>
                </c:pt>
                <c:pt idx="89">
                  <c:v>89 Años</c:v>
                </c:pt>
                <c:pt idx="90">
                  <c:v>90 Años</c:v>
                </c:pt>
                <c:pt idx="91">
                  <c:v>91 Años</c:v>
                </c:pt>
                <c:pt idx="92">
                  <c:v>92 Años</c:v>
                </c:pt>
                <c:pt idx="93">
                  <c:v>93 Años</c:v>
                </c:pt>
                <c:pt idx="94">
                  <c:v>94 Años</c:v>
                </c:pt>
                <c:pt idx="95">
                  <c:v>95 Años</c:v>
                </c:pt>
                <c:pt idx="96">
                  <c:v>96 Años</c:v>
                </c:pt>
                <c:pt idx="97">
                  <c:v>97 Años</c:v>
                </c:pt>
                <c:pt idx="98">
                  <c:v>98 Años</c:v>
                </c:pt>
                <c:pt idx="99">
                  <c:v>99 Años</c:v>
                </c:pt>
                <c:pt idx="100">
                  <c:v>100 años y más</c:v>
                </c:pt>
              </c:strCache>
            </c:strRef>
          </c:cat>
          <c:val>
            <c:numRef>
              <c:f>'CENSO Pirámides'!$F$4:$F$104</c:f>
              <c:numCache>
                <c:formatCode>0.000%;#,##0.000%</c:formatCode>
                <c:ptCount val="101"/>
                <c:pt idx="0">
                  <c:v>9.2115905489598884E-3</c:v>
                </c:pt>
                <c:pt idx="1">
                  <c:v>9.3845936850549538E-3</c:v>
                </c:pt>
                <c:pt idx="2">
                  <c:v>9.9796363187577269E-3</c:v>
                </c:pt>
                <c:pt idx="3">
                  <c:v>1.008597264126202E-2</c:v>
                </c:pt>
                <c:pt idx="4">
                  <c:v>9.7923080822216683E-3</c:v>
                </c:pt>
                <c:pt idx="5">
                  <c:v>9.718478718410398E-3</c:v>
                </c:pt>
                <c:pt idx="6">
                  <c:v>9.9058069549464566E-3</c:v>
                </c:pt>
                <c:pt idx="7">
                  <c:v>9.9983691424113327E-3</c:v>
                </c:pt>
                <c:pt idx="8">
                  <c:v>1.0061179198191071E-2</c:v>
                </c:pt>
                <c:pt idx="9">
                  <c:v>1.0074402367828909E-2</c:v>
                </c:pt>
                <c:pt idx="10">
                  <c:v>1.0730051195705114E-2</c:v>
                </c:pt>
                <c:pt idx="11">
                  <c:v>9.4909300075592447E-3</c:v>
                </c:pt>
                <c:pt idx="12">
                  <c:v>9.9146224013716838E-3</c:v>
                </c:pt>
                <c:pt idx="13">
                  <c:v>9.5410678591027198E-3</c:v>
                </c:pt>
                <c:pt idx="14">
                  <c:v>9.9956143154034498E-3</c:v>
                </c:pt>
                <c:pt idx="15">
                  <c:v>1.0525092066318603E-2</c:v>
                </c:pt>
                <c:pt idx="16">
                  <c:v>1.0206634064207304E-2</c:v>
                </c:pt>
                <c:pt idx="17">
                  <c:v>1.0636387077437085E-2</c:v>
                </c:pt>
                <c:pt idx="18">
                  <c:v>1.0847406826240939E-2</c:v>
                </c:pt>
                <c:pt idx="19">
                  <c:v>9.7609030543318008E-3</c:v>
                </c:pt>
                <c:pt idx="20">
                  <c:v>1.0462832975940443E-2</c:v>
                </c:pt>
                <c:pt idx="21">
                  <c:v>9.1058051918571723E-3</c:v>
                </c:pt>
                <c:pt idx="22">
                  <c:v>9.7934100130248215E-3</c:v>
                </c:pt>
                <c:pt idx="23">
                  <c:v>9.6226107385360624E-3</c:v>
                </c:pt>
                <c:pt idx="24">
                  <c:v>9.3917562352754495E-3</c:v>
                </c:pt>
                <c:pt idx="25">
                  <c:v>9.4248141593700485E-3</c:v>
                </c:pt>
                <c:pt idx="26">
                  <c:v>8.8683391037776386E-3</c:v>
                </c:pt>
                <c:pt idx="27">
                  <c:v>8.9454742599983685E-3</c:v>
                </c:pt>
                <c:pt idx="28">
                  <c:v>9.0832156103925303E-3</c:v>
                </c:pt>
                <c:pt idx="29">
                  <c:v>8.2969879823426608E-3</c:v>
                </c:pt>
                <c:pt idx="30">
                  <c:v>1.0163658762884326E-2</c:v>
                </c:pt>
                <c:pt idx="31">
                  <c:v>7.1212278153781053E-3</c:v>
                </c:pt>
                <c:pt idx="32">
                  <c:v>8.9548406718251723E-3</c:v>
                </c:pt>
                <c:pt idx="33">
                  <c:v>8.3013957055552735E-3</c:v>
                </c:pt>
                <c:pt idx="34">
                  <c:v>7.9316979210973474E-3</c:v>
                </c:pt>
                <c:pt idx="35">
                  <c:v>8.7994684285805595E-3</c:v>
                </c:pt>
                <c:pt idx="36">
                  <c:v>8.2071806218856676E-3</c:v>
                </c:pt>
                <c:pt idx="37">
                  <c:v>7.6826615595847044E-3</c:v>
                </c:pt>
                <c:pt idx="38">
                  <c:v>8.2859686743111272E-3</c:v>
                </c:pt>
                <c:pt idx="39">
                  <c:v>7.0854150642756242E-3</c:v>
                </c:pt>
                <c:pt idx="40">
                  <c:v>8.7642066428796541E-3</c:v>
                </c:pt>
                <c:pt idx="41">
                  <c:v>5.4000119008526743E-3</c:v>
                </c:pt>
                <c:pt idx="42">
                  <c:v>7.4644792605603541E-3</c:v>
                </c:pt>
                <c:pt idx="43">
                  <c:v>6.1388565043669517E-3</c:v>
                </c:pt>
                <c:pt idx="44">
                  <c:v>5.5724640715461632E-3</c:v>
                </c:pt>
                <c:pt idx="45">
                  <c:v>6.3840361080685576E-3</c:v>
                </c:pt>
                <c:pt idx="46">
                  <c:v>5.4512516831993017E-3</c:v>
                </c:pt>
                <c:pt idx="47">
                  <c:v>5.0264573585837103E-3</c:v>
                </c:pt>
                <c:pt idx="48">
                  <c:v>5.3102045403956811E-3</c:v>
                </c:pt>
                <c:pt idx="49">
                  <c:v>4.8126827827719727E-3</c:v>
                </c:pt>
                <c:pt idx="50">
                  <c:v>5.9432637868072433E-3</c:v>
                </c:pt>
                <c:pt idx="51">
                  <c:v>3.6501457854452571E-3</c:v>
                </c:pt>
                <c:pt idx="52">
                  <c:v>4.5465664938104545E-3</c:v>
                </c:pt>
                <c:pt idx="53">
                  <c:v>4.0986316223286445E-3</c:v>
                </c:pt>
                <c:pt idx="54">
                  <c:v>3.9333420018556513E-3</c:v>
                </c:pt>
                <c:pt idx="55">
                  <c:v>4.0391273589583665E-3</c:v>
                </c:pt>
                <c:pt idx="56">
                  <c:v>3.5102005734447901E-3</c:v>
                </c:pt>
                <c:pt idx="57">
                  <c:v>2.9790699263249065E-3</c:v>
                </c:pt>
                <c:pt idx="58">
                  <c:v>2.9663977220886436E-3</c:v>
                </c:pt>
                <c:pt idx="59">
                  <c:v>2.6903640558987459E-3</c:v>
                </c:pt>
                <c:pt idx="60">
                  <c:v>3.4088229395546877E-3</c:v>
                </c:pt>
                <c:pt idx="61">
                  <c:v>1.9135028396756798E-3</c:v>
                </c:pt>
                <c:pt idx="62">
                  <c:v>2.5118512657879137E-3</c:v>
                </c:pt>
                <c:pt idx="63">
                  <c:v>2.4870578227169648E-3</c:v>
                </c:pt>
                <c:pt idx="64">
                  <c:v>2.2854044857399136E-3</c:v>
                </c:pt>
                <c:pt idx="65">
                  <c:v>2.4198400437246141E-3</c:v>
                </c:pt>
                <c:pt idx="66">
                  <c:v>1.8049626555650812E-3</c:v>
                </c:pt>
                <c:pt idx="67">
                  <c:v>1.6633645473598841E-3</c:v>
                </c:pt>
                <c:pt idx="68">
                  <c:v>1.7867807973130519E-3</c:v>
                </c:pt>
                <c:pt idx="69">
                  <c:v>1.5840255295328474E-3</c:v>
                </c:pt>
                <c:pt idx="70">
                  <c:v>2.1157071420543076E-3</c:v>
                </c:pt>
                <c:pt idx="71">
                  <c:v>1.0490381246019275E-3</c:v>
                </c:pt>
                <c:pt idx="72">
                  <c:v>1.5239703007609935E-3</c:v>
                </c:pt>
                <c:pt idx="73">
                  <c:v>1.3465594414533144E-3</c:v>
                </c:pt>
                <c:pt idx="74">
                  <c:v>1.2815455240672707E-3</c:v>
                </c:pt>
                <c:pt idx="75">
                  <c:v>1.2292038109174895E-3</c:v>
                </c:pt>
                <c:pt idx="76">
                  <c:v>1.062261294239767E-3</c:v>
                </c:pt>
                <c:pt idx="77">
                  <c:v>8.6115892266429241E-4</c:v>
                </c:pt>
                <c:pt idx="78">
                  <c:v>1.0187350275152121E-3</c:v>
                </c:pt>
                <c:pt idx="79">
                  <c:v>7.4986391154581054E-4</c:v>
                </c:pt>
                <c:pt idx="80">
                  <c:v>1.0661180520508034E-3</c:v>
                </c:pt>
                <c:pt idx="81">
                  <c:v>4.7933989937167903E-4</c:v>
                </c:pt>
                <c:pt idx="82">
                  <c:v>6.2865152319894915E-4</c:v>
                </c:pt>
                <c:pt idx="83">
                  <c:v>6.0110325312011706E-4</c:v>
                </c:pt>
                <c:pt idx="84">
                  <c:v>5.961445645059273E-4</c:v>
                </c:pt>
                <c:pt idx="85">
                  <c:v>5.6529050201763534E-4</c:v>
                </c:pt>
                <c:pt idx="86">
                  <c:v>4.5564838710388341E-4</c:v>
                </c:pt>
                <c:pt idx="87">
                  <c:v>3.8016612708788338E-4</c:v>
                </c:pt>
                <c:pt idx="88">
                  <c:v>3.3057924094598556E-4</c:v>
                </c:pt>
                <c:pt idx="89">
                  <c:v>2.7878849319778115E-4</c:v>
                </c:pt>
                <c:pt idx="90">
                  <c:v>2.8815490502458408E-4</c:v>
                </c:pt>
                <c:pt idx="91">
                  <c:v>1.2451818075632124E-4</c:v>
                </c:pt>
                <c:pt idx="92">
                  <c:v>1.4655679681938692E-4</c:v>
                </c:pt>
                <c:pt idx="93">
                  <c:v>1.3112976557524094E-4</c:v>
                </c:pt>
                <c:pt idx="94">
                  <c:v>9.7520876079065739E-5</c:v>
                </c:pt>
                <c:pt idx="95">
                  <c:v>1.0247956469325553E-4</c:v>
                </c:pt>
                <c:pt idx="96">
                  <c:v>7.3829363811270105E-5</c:v>
                </c:pt>
                <c:pt idx="97">
                  <c:v>5.6749436362394184E-5</c:v>
                </c:pt>
                <c:pt idx="98">
                  <c:v>6.3361021181313897E-5</c:v>
                </c:pt>
                <c:pt idx="99">
                  <c:v>4.4628197527708051E-5</c:v>
                </c:pt>
                <c:pt idx="100">
                  <c:v>7.548226001600003E-5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2-4E34-8219-E8301EDC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4349272"/>
        <c:axId val="374349600"/>
      </c:barChart>
      <c:catAx>
        <c:axId val="37434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4349600"/>
        <c:crosses val="autoZero"/>
        <c:auto val="1"/>
        <c:lblAlgn val="ctr"/>
        <c:lblOffset val="100"/>
        <c:noMultiLvlLbl val="0"/>
      </c:catAx>
      <c:valAx>
        <c:axId val="3743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#,##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434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93835304408041E-2"/>
          <c:y val="2.5428216457268862E-2"/>
          <c:w val="0.933857251440614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Querétaro!$I$55</c:f>
              <c:strCache>
                <c:ptCount val="1"/>
                <c:pt idx="0">
                  <c:v>Edad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Querétaro!$H$56:$H$69</c:f>
              <c:numCache>
                <c:formatCode>General</c:formatCode>
                <c:ptCount val="1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cat>
          <c:val>
            <c:numRef>
              <c:f>Querétaro!$I$56:$I$69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1-47A3-B83E-8273C877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43359"/>
        <c:axId val="1110019503"/>
      </c:lineChart>
      <c:catAx>
        <c:axId val="9234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0019503"/>
        <c:crosses val="autoZero"/>
        <c:auto val="1"/>
        <c:lblAlgn val="ctr"/>
        <c:lblOffset val="100"/>
        <c:noMultiLvlLbl val="0"/>
      </c:catAx>
      <c:valAx>
        <c:axId val="11100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34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Edad</a:t>
            </a:r>
            <a:r>
              <a:rPr lang="es-MX" baseline="0"/>
              <a:t> cúspide Querétaro 2005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'Tasas de fecundidad.'!$D$29</c:f>
              <c:strCache>
                <c:ptCount val="1"/>
                <c:pt idx="0">
                  <c:v>nfx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'Tasas de fecundidad.'!$B$30:$B$36</c:f>
              <c:strCache>
                <c:ptCount val="7"/>
                <c:pt idx="0">
                  <c:v>15 a 19</c:v>
                </c:pt>
                <c:pt idx="1">
                  <c:v>20 a 24</c:v>
                </c:pt>
                <c:pt idx="2">
                  <c:v>25 a 29</c:v>
                </c:pt>
                <c:pt idx="3">
                  <c:v>30 a 34</c:v>
                </c:pt>
                <c:pt idx="4">
                  <c:v>35 a 39</c:v>
                </c:pt>
                <c:pt idx="5">
                  <c:v>40 a 44</c:v>
                </c:pt>
                <c:pt idx="6">
                  <c:v>45 a 49</c:v>
                </c:pt>
              </c:strCache>
            </c:strRef>
          </c:cat>
          <c:val>
            <c:numRef>
              <c:f>'Tasas de fecundidad.'!$D$30:$D$36</c:f>
              <c:numCache>
                <c:formatCode>General</c:formatCode>
                <c:ptCount val="7"/>
                <c:pt idx="0">
                  <c:v>68.7605552076636</c:v>
                </c:pt>
                <c:pt idx="1">
                  <c:v>142.88829233339226</c:v>
                </c:pt>
                <c:pt idx="2">
                  <c:v>137.48617842425159</c:v>
                </c:pt>
                <c:pt idx="3">
                  <c:v>102.88917949950384</c:v>
                </c:pt>
                <c:pt idx="4">
                  <c:v>52.91172978828196</c:v>
                </c:pt>
                <c:pt idx="5">
                  <c:v>17.122855089530592</c:v>
                </c:pt>
                <c:pt idx="6">
                  <c:v>2.3858372489817166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B-46CA-8B3A-05A502394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484360"/>
        <c:axId val="421524136"/>
      </c:lineChart>
      <c:catAx>
        <c:axId val="27448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524136"/>
        <c:crosses val="autoZero"/>
        <c:auto val="1"/>
        <c:lblAlgn val="ctr"/>
        <c:lblOffset val="100"/>
        <c:noMultiLvlLbl val="0"/>
      </c:catAx>
      <c:valAx>
        <c:axId val="4215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448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Edad</a:t>
            </a:r>
            <a:r>
              <a:rPr lang="es-MX" baseline="0"/>
              <a:t> cúspide Querétaro 2010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'Tasas de fecundidad.'!$K$29</c:f>
              <c:strCache>
                <c:ptCount val="1"/>
                <c:pt idx="0">
                  <c:v>nfx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'Tasas de fecundidad.'!$I$30:$I$36</c:f>
              <c:strCache>
                <c:ptCount val="7"/>
                <c:pt idx="0">
                  <c:v>15 a 19</c:v>
                </c:pt>
                <c:pt idx="1">
                  <c:v>20 a 24</c:v>
                </c:pt>
                <c:pt idx="2">
                  <c:v>25 a 29</c:v>
                </c:pt>
                <c:pt idx="3">
                  <c:v>30 a 34</c:v>
                </c:pt>
                <c:pt idx="4">
                  <c:v>35 a 39</c:v>
                </c:pt>
                <c:pt idx="5">
                  <c:v>40 a 44</c:v>
                </c:pt>
                <c:pt idx="6">
                  <c:v>45 a 49</c:v>
                </c:pt>
              </c:strCache>
            </c:strRef>
          </c:cat>
          <c:val>
            <c:numRef>
              <c:f>'Tasas de fecundidad.'!$K$30:$K$36</c:f>
              <c:numCache>
                <c:formatCode>General</c:formatCode>
                <c:ptCount val="7"/>
                <c:pt idx="0">
                  <c:v>79.39889883962384</c:v>
                </c:pt>
                <c:pt idx="1">
                  <c:v>143.92018231096023</c:v>
                </c:pt>
                <c:pt idx="2">
                  <c:v>138.16585179098414</c:v>
                </c:pt>
                <c:pt idx="3">
                  <c:v>103.9761864177383</c:v>
                </c:pt>
                <c:pt idx="4">
                  <c:v>53.922913434488152</c:v>
                </c:pt>
                <c:pt idx="5">
                  <c:v>14.413937392962223</c:v>
                </c:pt>
                <c:pt idx="6">
                  <c:v>1.2464460701734226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E-4529-8E04-17217B19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484360"/>
        <c:axId val="421524136"/>
      </c:lineChart>
      <c:catAx>
        <c:axId val="27448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524136"/>
        <c:crosses val="autoZero"/>
        <c:auto val="1"/>
        <c:lblAlgn val="ctr"/>
        <c:lblOffset val="100"/>
        <c:noMultiLvlLbl val="0"/>
      </c:catAx>
      <c:valAx>
        <c:axId val="4215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448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Pirámide Poblacional de Querétaro CENSO 2010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Por Grandes Grupos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'CENSO Pirámides'!$AS$3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'CENSO Pirámides'!$AO$4:$AO$6</c:f>
              <c:strCache>
                <c:ptCount val="3"/>
                <c:pt idx="0">
                  <c:v>0-14 años</c:v>
                </c:pt>
                <c:pt idx="1">
                  <c:v>15-64 años</c:v>
                </c:pt>
                <c:pt idx="2">
                  <c:v>65 y más años</c:v>
                </c:pt>
              </c:strCache>
            </c:strRef>
          </c:cat>
          <c:val>
            <c:numRef>
              <c:f>'CENSO Pirámides'!$AS$4:$AS$6</c:f>
              <c:numCache>
                <c:formatCode>0.000%;#,##0.000%</c:formatCode>
                <c:ptCount val="3"/>
                <c:pt idx="0">
                  <c:v>-0.15242733317318605</c:v>
                </c:pt>
                <c:pt idx="1">
                  <c:v>-0.30943980041829294</c:v>
                </c:pt>
                <c:pt idx="2">
                  <c:v>-2.3371401369479603E-2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D-4CA1-BA0C-11CE46BA6746}"/>
            </c:ext>
          </c:extLst>
        </c:ser>
        <c:ser>
          <c:idx val="1"/>
          <c:order val="1"/>
          <c:tx>
            <c:strRef>
              <c:f>'CENSO Pirámides'!$AT$3</c:f>
              <c:strCache>
                <c:ptCount val="1"/>
                <c:pt idx="0">
                  <c:v>Mujeres 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'CENSO Pirámides'!$AO$4:$AO$6</c:f>
              <c:strCache>
                <c:ptCount val="3"/>
                <c:pt idx="0">
                  <c:v>0-14 años</c:v>
                </c:pt>
                <c:pt idx="1">
                  <c:v>15-64 años</c:v>
                </c:pt>
                <c:pt idx="2">
                  <c:v>65 y más años</c:v>
                </c:pt>
              </c:strCache>
            </c:strRef>
          </c:cat>
          <c:val>
            <c:numRef>
              <c:f>'CENSO Pirámides'!$AT$4:$AT$6</c:f>
              <c:numCache>
                <c:formatCode>0.000%;#,##0.000%</c:formatCode>
                <c:ptCount val="3"/>
                <c:pt idx="0">
                  <c:v>0.14788462343718664</c:v>
                </c:pt>
                <c:pt idx="1">
                  <c:v>0.33879358411809174</c:v>
                </c:pt>
                <c:pt idx="2">
                  <c:v>2.8083257483763051E-2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D-4CA1-BA0C-11CE46BA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305611488"/>
        <c:axId val="305614112"/>
      </c:barChart>
      <c:catAx>
        <c:axId val="30561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5614112"/>
        <c:crosses val="autoZero"/>
        <c:auto val="1"/>
        <c:lblAlgn val="ctr"/>
        <c:lblOffset val="100"/>
        <c:noMultiLvlLbl val="0"/>
      </c:catAx>
      <c:valAx>
        <c:axId val="3056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;#,##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56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Pirámide Poblacional de Querétaro CENSO 2010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Por Grupos Quinquenales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'CENSO Pirámides'!$AB$3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'CENSO Pirámides'!$X$4:$X$21</c:f>
              <c:strCache>
                <c:ptCount val="18"/>
                <c:pt idx="0">
                  <c:v>0-4 años</c:v>
                </c:pt>
                <c:pt idx="1">
                  <c:v>5-9 años</c:v>
                </c:pt>
                <c:pt idx="2">
                  <c:v>10-14 años</c:v>
                </c:pt>
                <c:pt idx="3">
                  <c:v>15-19 años</c:v>
                </c:pt>
                <c:pt idx="4">
                  <c:v>20-24 años</c:v>
                </c:pt>
                <c:pt idx="5">
                  <c:v>25-29 años</c:v>
                </c:pt>
                <c:pt idx="6">
                  <c:v>30-34 años</c:v>
                </c:pt>
                <c:pt idx="7">
                  <c:v>35-39 años</c:v>
                </c:pt>
                <c:pt idx="8">
                  <c:v>40-44 años</c:v>
                </c:pt>
                <c:pt idx="9">
                  <c:v>45-49 años</c:v>
                </c:pt>
                <c:pt idx="10">
                  <c:v>50-54 años</c:v>
                </c:pt>
                <c:pt idx="11">
                  <c:v>55-59 años</c:v>
                </c:pt>
                <c:pt idx="12">
                  <c:v>60-64 años</c:v>
                </c:pt>
                <c:pt idx="13">
                  <c:v>65-69 años</c:v>
                </c:pt>
                <c:pt idx="14">
                  <c:v>70-74 años</c:v>
                </c:pt>
                <c:pt idx="15">
                  <c:v>75-79 años</c:v>
                </c:pt>
                <c:pt idx="16">
                  <c:v>80-84 años</c:v>
                </c:pt>
                <c:pt idx="17">
                  <c:v>85 y más</c:v>
                </c:pt>
              </c:strCache>
            </c:strRef>
          </c:cat>
          <c:val>
            <c:numRef>
              <c:f>'CENSO Pirámides'!$AB$4:$AB$21</c:f>
              <c:numCache>
                <c:formatCode>0.000%;#,##0.000%</c:formatCode>
                <c:ptCount val="18"/>
                <c:pt idx="0">
                  <c:v>-5.0122424512230333E-2</c:v>
                </c:pt>
                <c:pt idx="1">
                  <c:v>-5.1366504388990389E-2</c:v>
                </c:pt>
                <c:pt idx="2">
                  <c:v>-5.0938404271965339E-2</c:v>
                </c:pt>
                <c:pt idx="3">
                  <c:v>-5.1186889668076406E-2</c:v>
                </c:pt>
                <c:pt idx="4">
                  <c:v>-4.4472274319061859E-2</c:v>
                </c:pt>
                <c:pt idx="5">
                  <c:v>-3.9844164945818064E-2</c:v>
                </c:pt>
                <c:pt idx="6">
                  <c:v>-3.7510275504739406E-2</c:v>
                </c:pt>
                <c:pt idx="7">
                  <c:v>-3.6213853914829564E-2</c:v>
                </c:pt>
                <c:pt idx="8">
                  <c:v>-2.9621552884965034E-2</c:v>
                </c:pt>
                <c:pt idx="9">
                  <c:v>-2.450253333891645E-2</c:v>
                </c:pt>
                <c:pt idx="10">
                  <c:v>-2.0180760728949265E-2</c:v>
                </c:pt>
                <c:pt idx="11">
                  <c:v>-1.4827580887230605E-2</c:v>
                </c:pt>
                <c:pt idx="12">
                  <c:v>-1.1079914225706283E-2</c:v>
                </c:pt>
                <c:pt idx="13">
                  <c:v>-8.1305964310665144E-3</c:v>
                </c:pt>
                <c:pt idx="14">
                  <c:v>-6.2925758514068347E-3</c:v>
                </c:pt>
                <c:pt idx="15">
                  <c:v>-4.1664003667225714E-3</c:v>
                </c:pt>
                <c:pt idx="16">
                  <c:v>-2.5570304287171981E-3</c:v>
                </c:pt>
                <c:pt idx="17">
                  <c:v>-2.2247982915664828E-3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E67-97EB-8185861BE2BB}"/>
            </c:ext>
          </c:extLst>
        </c:ser>
        <c:ser>
          <c:idx val="1"/>
          <c:order val="1"/>
          <c:tx>
            <c:strRef>
              <c:f>'CENSO Pirámides'!$AC$3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'CENSO Pirámides'!$X$4:$X$21</c:f>
              <c:strCache>
                <c:ptCount val="18"/>
                <c:pt idx="0">
                  <c:v>0-4 años</c:v>
                </c:pt>
                <c:pt idx="1">
                  <c:v>5-9 años</c:v>
                </c:pt>
                <c:pt idx="2">
                  <c:v>10-14 años</c:v>
                </c:pt>
                <c:pt idx="3">
                  <c:v>15-19 años</c:v>
                </c:pt>
                <c:pt idx="4">
                  <c:v>20-24 años</c:v>
                </c:pt>
                <c:pt idx="5">
                  <c:v>25-29 años</c:v>
                </c:pt>
                <c:pt idx="6">
                  <c:v>30-34 años</c:v>
                </c:pt>
                <c:pt idx="7">
                  <c:v>35-39 años</c:v>
                </c:pt>
                <c:pt idx="8">
                  <c:v>40-44 años</c:v>
                </c:pt>
                <c:pt idx="9">
                  <c:v>45-49 años</c:v>
                </c:pt>
                <c:pt idx="10">
                  <c:v>50-54 años</c:v>
                </c:pt>
                <c:pt idx="11">
                  <c:v>55-59 años</c:v>
                </c:pt>
                <c:pt idx="12">
                  <c:v>60-64 años</c:v>
                </c:pt>
                <c:pt idx="13">
                  <c:v>65-69 años</c:v>
                </c:pt>
                <c:pt idx="14">
                  <c:v>70-74 años</c:v>
                </c:pt>
                <c:pt idx="15">
                  <c:v>75-79 años</c:v>
                </c:pt>
                <c:pt idx="16">
                  <c:v>80-84 años</c:v>
                </c:pt>
                <c:pt idx="17">
                  <c:v>85 y más</c:v>
                </c:pt>
              </c:strCache>
            </c:strRef>
          </c:cat>
          <c:val>
            <c:numRef>
              <c:f>'CENSO Pirámides'!$AC$4:$AC$21</c:f>
              <c:numCache>
                <c:formatCode>0.000%;#,##0.000%</c:formatCode>
                <c:ptCount val="18"/>
                <c:pt idx="0">
                  <c:v>4.8454101276256253E-2</c:v>
                </c:pt>
                <c:pt idx="1">
                  <c:v>4.9758236381788168E-2</c:v>
                </c:pt>
                <c:pt idx="2">
                  <c:v>4.9672285779142213E-2</c:v>
                </c:pt>
                <c:pt idx="3">
                  <c:v>5.1976423088535735E-2</c:v>
                </c:pt>
                <c:pt idx="4">
                  <c:v>4.837641515463395E-2</c:v>
                </c:pt>
                <c:pt idx="5">
                  <c:v>4.4618831115881247E-2</c:v>
                </c:pt>
                <c:pt idx="6">
                  <c:v>4.2472820876740223E-2</c:v>
                </c:pt>
                <c:pt idx="7">
                  <c:v>4.0060694348637682E-2</c:v>
                </c:pt>
                <c:pt idx="8">
                  <c:v>3.3340018380205796E-2</c:v>
                </c:pt>
                <c:pt idx="9">
                  <c:v>2.6984632473019226E-2</c:v>
                </c:pt>
                <c:pt idx="10">
                  <c:v>2.2171949690247252E-2</c:v>
                </c:pt>
                <c:pt idx="11">
                  <c:v>1.6185159636715452E-2</c:v>
                </c:pt>
                <c:pt idx="12">
                  <c:v>1.260663935347516E-2</c:v>
                </c:pt>
                <c:pt idx="13">
                  <c:v>9.2589735734954787E-3</c:v>
                </c:pt>
                <c:pt idx="14">
                  <c:v>7.3168205329378136E-3</c:v>
                </c:pt>
                <c:pt idx="15">
                  <c:v>4.9212229668825717E-3</c:v>
                </c:pt>
                <c:pt idx="16">
                  <c:v>3.371357292247476E-3</c:v>
                </c:pt>
                <c:pt idx="17">
                  <c:v>3.2148831181997095E-3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7-4E67-97EB-8185861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0957840"/>
        <c:axId val="410956528"/>
      </c:barChart>
      <c:catAx>
        <c:axId val="41095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956528"/>
        <c:crosses val="autoZero"/>
        <c:auto val="1"/>
        <c:lblAlgn val="ctr"/>
        <c:lblOffset val="100"/>
        <c:noMultiLvlLbl val="0"/>
      </c:catAx>
      <c:valAx>
        <c:axId val="4109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;#,##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9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Pirámide Poblacional</a:t>
            </a:r>
            <a:r>
              <a:rPr lang="es-MX" baseline="0"/>
              <a:t> de Querétaro CONTEO 2005</a:t>
            </a:r>
          </a:p>
          <a:p>
            <a:pPr>
              <a:defRPr/>
            </a:pPr>
            <a:r>
              <a:rPr lang="es-MX" baseline="0"/>
              <a:t>Por Edades Individuales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'CONTEO Pirámides'!$E$2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'CONTEO Pirámides'!$A$3:$A$103</c:f>
              <c:strCache>
                <c:ptCount val="101"/>
                <c:pt idx="0">
                  <c:v>0 años</c:v>
                </c:pt>
                <c:pt idx="1">
                  <c:v>1 año</c:v>
                </c:pt>
                <c:pt idx="2">
                  <c:v>2 años</c:v>
                </c:pt>
                <c:pt idx="3">
                  <c:v>3 años</c:v>
                </c:pt>
                <c:pt idx="4">
                  <c:v>4 años</c:v>
                </c:pt>
                <c:pt idx="5">
                  <c:v>5 años</c:v>
                </c:pt>
                <c:pt idx="6">
                  <c:v>6 años</c:v>
                </c:pt>
                <c:pt idx="7">
                  <c:v>7 años</c:v>
                </c:pt>
                <c:pt idx="8">
                  <c:v>8 años</c:v>
                </c:pt>
                <c:pt idx="9">
                  <c:v>9 años</c:v>
                </c:pt>
                <c:pt idx="10">
                  <c:v>10 años</c:v>
                </c:pt>
                <c:pt idx="11">
                  <c:v>11 años</c:v>
                </c:pt>
                <c:pt idx="12">
                  <c:v>12 años</c:v>
                </c:pt>
                <c:pt idx="13">
                  <c:v>13 años</c:v>
                </c:pt>
                <c:pt idx="14">
                  <c:v>14 años</c:v>
                </c:pt>
                <c:pt idx="15">
                  <c:v>15 años</c:v>
                </c:pt>
                <c:pt idx="16">
                  <c:v>16 años</c:v>
                </c:pt>
                <c:pt idx="17">
                  <c:v>17 años</c:v>
                </c:pt>
                <c:pt idx="18">
                  <c:v>18 años</c:v>
                </c:pt>
                <c:pt idx="19">
                  <c:v>19 años</c:v>
                </c:pt>
                <c:pt idx="20">
                  <c:v>20 años</c:v>
                </c:pt>
                <c:pt idx="21">
                  <c:v>21 años</c:v>
                </c:pt>
                <c:pt idx="22">
                  <c:v>22 años</c:v>
                </c:pt>
                <c:pt idx="23">
                  <c:v>23 años</c:v>
                </c:pt>
                <c:pt idx="24">
                  <c:v>24 años</c:v>
                </c:pt>
                <c:pt idx="25">
                  <c:v>25 años</c:v>
                </c:pt>
                <c:pt idx="26">
                  <c:v>26 años</c:v>
                </c:pt>
                <c:pt idx="27">
                  <c:v>27 años</c:v>
                </c:pt>
                <c:pt idx="28">
                  <c:v>28 años</c:v>
                </c:pt>
                <c:pt idx="29">
                  <c:v>29 años</c:v>
                </c:pt>
                <c:pt idx="30">
                  <c:v>30 años</c:v>
                </c:pt>
                <c:pt idx="31">
                  <c:v>31 años</c:v>
                </c:pt>
                <c:pt idx="32">
                  <c:v>32 años</c:v>
                </c:pt>
                <c:pt idx="33">
                  <c:v>33 años</c:v>
                </c:pt>
                <c:pt idx="34">
                  <c:v>34 años</c:v>
                </c:pt>
                <c:pt idx="35">
                  <c:v>35 años</c:v>
                </c:pt>
                <c:pt idx="36">
                  <c:v>36 años</c:v>
                </c:pt>
                <c:pt idx="37">
                  <c:v>37 años</c:v>
                </c:pt>
                <c:pt idx="38">
                  <c:v>38 años</c:v>
                </c:pt>
                <c:pt idx="39">
                  <c:v>39 años</c:v>
                </c:pt>
                <c:pt idx="40">
                  <c:v>40 años</c:v>
                </c:pt>
                <c:pt idx="41">
                  <c:v>41 años</c:v>
                </c:pt>
                <c:pt idx="42">
                  <c:v>42 años</c:v>
                </c:pt>
                <c:pt idx="43">
                  <c:v>43 años</c:v>
                </c:pt>
                <c:pt idx="44">
                  <c:v>44 años</c:v>
                </c:pt>
                <c:pt idx="45">
                  <c:v>45 años</c:v>
                </c:pt>
                <c:pt idx="46">
                  <c:v>46 años</c:v>
                </c:pt>
                <c:pt idx="47">
                  <c:v>47 años</c:v>
                </c:pt>
                <c:pt idx="48">
                  <c:v>48 años</c:v>
                </c:pt>
                <c:pt idx="49">
                  <c:v>49 años</c:v>
                </c:pt>
                <c:pt idx="50">
                  <c:v>50 años</c:v>
                </c:pt>
                <c:pt idx="51">
                  <c:v>51 años</c:v>
                </c:pt>
                <c:pt idx="52">
                  <c:v>52 años</c:v>
                </c:pt>
                <c:pt idx="53">
                  <c:v>53 años</c:v>
                </c:pt>
                <c:pt idx="54">
                  <c:v>54 años</c:v>
                </c:pt>
                <c:pt idx="55">
                  <c:v>55 años</c:v>
                </c:pt>
                <c:pt idx="56">
                  <c:v>56 años</c:v>
                </c:pt>
                <c:pt idx="57">
                  <c:v>57 años</c:v>
                </c:pt>
                <c:pt idx="58">
                  <c:v>58 años</c:v>
                </c:pt>
                <c:pt idx="59">
                  <c:v>59 años</c:v>
                </c:pt>
                <c:pt idx="60">
                  <c:v>60 años</c:v>
                </c:pt>
                <c:pt idx="61">
                  <c:v>61 años</c:v>
                </c:pt>
                <c:pt idx="62">
                  <c:v>62 años</c:v>
                </c:pt>
                <c:pt idx="63">
                  <c:v>63 años</c:v>
                </c:pt>
                <c:pt idx="64">
                  <c:v>64 años</c:v>
                </c:pt>
                <c:pt idx="65">
                  <c:v>65 años</c:v>
                </c:pt>
                <c:pt idx="66">
                  <c:v>66 años</c:v>
                </c:pt>
                <c:pt idx="67">
                  <c:v>67 años</c:v>
                </c:pt>
                <c:pt idx="68">
                  <c:v>68 años</c:v>
                </c:pt>
                <c:pt idx="69">
                  <c:v>69 años</c:v>
                </c:pt>
                <c:pt idx="70">
                  <c:v>70 años</c:v>
                </c:pt>
                <c:pt idx="71">
                  <c:v>71 años</c:v>
                </c:pt>
                <c:pt idx="72">
                  <c:v>72 años</c:v>
                </c:pt>
                <c:pt idx="73">
                  <c:v>73 años</c:v>
                </c:pt>
                <c:pt idx="74">
                  <c:v>74 años</c:v>
                </c:pt>
                <c:pt idx="75">
                  <c:v>75 años</c:v>
                </c:pt>
                <c:pt idx="76">
                  <c:v>76 años</c:v>
                </c:pt>
                <c:pt idx="77">
                  <c:v>77 años</c:v>
                </c:pt>
                <c:pt idx="78">
                  <c:v>78 años</c:v>
                </c:pt>
                <c:pt idx="79">
                  <c:v>79 años</c:v>
                </c:pt>
                <c:pt idx="80">
                  <c:v>80 años</c:v>
                </c:pt>
                <c:pt idx="81">
                  <c:v>81 años</c:v>
                </c:pt>
                <c:pt idx="82">
                  <c:v>82 años</c:v>
                </c:pt>
                <c:pt idx="83">
                  <c:v>83 años</c:v>
                </c:pt>
                <c:pt idx="84">
                  <c:v>84 años</c:v>
                </c:pt>
                <c:pt idx="85">
                  <c:v>85 años</c:v>
                </c:pt>
                <c:pt idx="86">
                  <c:v>86 años</c:v>
                </c:pt>
                <c:pt idx="87">
                  <c:v>87 años</c:v>
                </c:pt>
                <c:pt idx="88">
                  <c:v>88 años</c:v>
                </c:pt>
                <c:pt idx="89">
                  <c:v>89 años</c:v>
                </c:pt>
                <c:pt idx="90">
                  <c:v>90 años</c:v>
                </c:pt>
                <c:pt idx="91">
                  <c:v>91 años</c:v>
                </c:pt>
                <c:pt idx="92">
                  <c:v>92 años</c:v>
                </c:pt>
                <c:pt idx="93">
                  <c:v>93 años</c:v>
                </c:pt>
                <c:pt idx="94">
                  <c:v>94 años</c:v>
                </c:pt>
                <c:pt idx="95">
                  <c:v>95 años</c:v>
                </c:pt>
                <c:pt idx="96">
                  <c:v>96 años</c:v>
                </c:pt>
                <c:pt idx="97">
                  <c:v>97 años</c:v>
                </c:pt>
                <c:pt idx="98">
                  <c:v>98 años</c:v>
                </c:pt>
                <c:pt idx="99">
                  <c:v>99 años</c:v>
                </c:pt>
                <c:pt idx="100">
                  <c:v>De 100 y más años</c:v>
                </c:pt>
              </c:strCache>
            </c:strRef>
          </c:cat>
          <c:val>
            <c:numRef>
              <c:f>'CONTEO Pirámides'!$E$3:$E$103</c:f>
              <c:numCache>
                <c:formatCode>0.000%;#,##0.000%</c:formatCode>
                <c:ptCount val="101"/>
                <c:pt idx="0">
                  <c:v>-9.7798535531601772E-3</c:v>
                </c:pt>
                <c:pt idx="1">
                  <c:v>-1.0028243043324661E-2</c:v>
                </c:pt>
                <c:pt idx="2">
                  <c:v>-1.0804299326066547E-2</c:v>
                </c:pt>
                <c:pt idx="3">
                  <c:v>-1.1201336412676616E-2</c:v>
                </c:pt>
                <c:pt idx="4">
                  <c:v>-1.1455517367637681E-2</c:v>
                </c:pt>
                <c:pt idx="5">
                  <c:v>-1.1431708012362847E-2</c:v>
                </c:pt>
                <c:pt idx="6">
                  <c:v>-1.0705200928436156E-2</c:v>
                </c:pt>
                <c:pt idx="7">
                  <c:v>-1.0859639989678323E-2</c:v>
                </c:pt>
                <c:pt idx="8">
                  <c:v>-1.1346766528679655E-2</c:v>
                </c:pt>
                <c:pt idx="9">
                  <c:v>-1.0871222919271485E-2</c:v>
                </c:pt>
                <c:pt idx="10">
                  <c:v>-1.1947791875347086E-2</c:v>
                </c:pt>
                <c:pt idx="11">
                  <c:v>-1.1231580728836539E-2</c:v>
                </c:pt>
                <c:pt idx="12">
                  <c:v>-1.1866711368194949E-2</c:v>
                </c:pt>
                <c:pt idx="13">
                  <c:v>-1.1685888967323912E-2</c:v>
                </c:pt>
                <c:pt idx="14">
                  <c:v>-1.1115107936816407E-2</c:v>
                </c:pt>
                <c:pt idx="15">
                  <c:v>-1.1255390084111373E-2</c:v>
                </c:pt>
                <c:pt idx="16">
                  <c:v>-1.0048834918156949E-2</c:v>
                </c:pt>
                <c:pt idx="17">
                  <c:v>-1.0400827278571388E-2</c:v>
                </c:pt>
                <c:pt idx="18">
                  <c:v>-1.044522850867851E-2</c:v>
                </c:pt>
                <c:pt idx="19">
                  <c:v>-8.7161545188547563E-3</c:v>
                </c:pt>
                <c:pt idx="20">
                  <c:v>-9.3757380095765095E-3</c:v>
                </c:pt>
                <c:pt idx="21">
                  <c:v>-8.0726584303457312E-3</c:v>
                </c:pt>
                <c:pt idx="22">
                  <c:v>-9.0771558245083209E-3</c:v>
                </c:pt>
                <c:pt idx="23">
                  <c:v>-8.9542480716030964E-3</c:v>
                </c:pt>
                <c:pt idx="24">
                  <c:v>-8.2862991317307275E-3</c:v>
                </c:pt>
                <c:pt idx="25">
                  <c:v>-8.6028992072771683E-3</c:v>
                </c:pt>
                <c:pt idx="26">
                  <c:v>-7.4111444513584521E-3</c:v>
                </c:pt>
                <c:pt idx="27">
                  <c:v>-7.5765229461052718E-3</c:v>
                </c:pt>
                <c:pt idx="28">
                  <c:v>-8.147947472701287E-3</c:v>
                </c:pt>
                <c:pt idx="29">
                  <c:v>-6.8847646509580694E-3</c:v>
                </c:pt>
                <c:pt idx="30">
                  <c:v>-9.2219424444228513E-3</c:v>
                </c:pt>
                <c:pt idx="31">
                  <c:v>-6.4343173890017511E-3</c:v>
                </c:pt>
                <c:pt idx="32">
                  <c:v>-8.1099812034792548E-3</c:v>
                </c:pt>
                <c:pt idx="33">
                  <c:v>-7.3204115028786794E-3</c:v>
                </c:pt>
                <c:pt idx="34">
                  <c:v>-6.9542622285170439E-3</c:v>
                </c:pt>
                <c:pt idx="35">
                  <c:v>-7.7277445269048929E-3</c:v>
                </c:pt>
                <c:pt idx="36">
                  <c:v>-6.6170702781383145E-3</c:v>
                </c:pt>
                <c:pt idx="37">
                  <c:v>-6.196223836253411E-3</c:v>
                </c:pt>
                <c:pt idx="38">
                  <c:v>-6.8963475805512318E-3</c:v>
                </c:pt>
                <c:pt idx="39">
                  <c:v>-5.6608350906139013E-3</c:v>
                </c:pt>
                <c:pt idx="40">
                  <c:v>-7.3969875374112542E-3</c:v>
                </c:pt>
                <c:pt idx="41">
                  <c:v>-4.5115510765367812E-3</c:v>
                </c:pt>
                <c:pt idx="42">
                  <c:v>-6.4761446347548378E-3</c:v>
                </c:pt>
                <c:pt idx="43">
                  <c:v>-5.1807870085861683E-3</c:v>
                </c:pt>
                <c:pt idx="44">
                  <c:v>-4.5855531267153197E-3</c:v>
                </c:pt>
                <c:pt idx="45">
                  <c:v>-6.1099953603932023E-3</c:v>
                </c:pt>
                <c:pt idx="46">
                  <c:v>-4.2219778367077196E-3</c:v>
                </c:pt>
                <c:pt idx="47">
                  <c:v>-4.106792036864604E-3</c:v>
                </c:pt>
                <c:pt idx="48">
                  <c:v>-4.5565958027324127E-3</c:v>
                </c:pt>
                <c:pt idx="49">
                  <c:v>-3.6158045213322172E-3</c:v>
                </c:pt>
                <c:pt idx="50">
                  <c:v>-4.9961036311840781E-3</c:v>
                </c:pt>
                <c:pt idx="51">
                  <c:v>-2.672439255577985E-3</c:v>
                </c:pt>
                <c:pt idx="52">
                  <c:v>-3.6511968062002136E-3</c:v>
                </c:pt>
                <c:pt idx="53">
                  <c:v>-3.2618816726522528E-3</c:v>
                </c:pt>
                <c:pt idx="54">
                  <c:v>-3.1344694471274657E-3</c:v>
                </c:pt>
                <c:pt idx="55">
                  <c:v>-3.31657884017552E-3</c:v>
                </c:pt>
                <c:pt idx="56">
                  <c:v>-2.668578279046931E-3</c:v>
                </c:pt>
                <c:pt idx="57">
                  <c:v>-2.2104090640285043E-3</c:v>
                </c:pt>
                <c:pt idx="58">
                  <c:v>-2.4838949016448403E-3</c:v>
                </c:pt>
                <c:pt idx="59">
                  <c:v>-1.933062249881114E-3</c:v>
                </c:pt>
                <c:pt idx="60">
                  <c:v>-3.1582788024022996E-3</c:v>
                </c:pt>
                <c:pt idx="61">
                  <c:v>-1.4247003399589836E-3</c:v>
                </c:pt>
                <c:pt idx="62">
                  <c:v>-1.9459321716512946E-3</c:v>
                </c:pt>
                <c:pt idx="63">
                  <c:v>-1.9420711951202406E-3</c:v>
                </c:pt>
                <c:pt idx="64">
                  <c:v>-1.7001166658408466E-3</c:v>
                </c:pt>
                <c:pt idx="65">
                  <c:v>-2.3152989264554756E-3</c:v>
                </c:pt>
                <c:pt idx="66">
                  <c:v>-1.3288194227711386E-3</c:v>
                </c:pt>
                <c:pt idx="67">
                  <c:v>-1.3725771567897524E-3</c:v>
                </c:pt>
                <c:pt idx="68">
                  <c:v>-1.4452922147912724E-3</c:v>
                </c:pt>
                <c:pt idx="69">
                  <c:v>-9.7296608582564728E-4</c:v>
                </c:pt>
                <c:pt idx="70">
                  <c:v>-1.7387264311513881E-3</c:v>
                </c:pt>
                <c:pt idx="71">
                  <c:v>-7.1041968171396469E-4</c:v>
                </c:pt>
                <c:pt idx="72">
                  <c:v>-1.1158222174746512E-3</c:v>
                </c:pt>
                <c:pt idx="73">
                  <c:v>-9.9934942545451739E-4</c:v>
                </c:pt>
                <c:pt idx="74">
                  <c:v>-9.3628680878063278E-4</c:v>
                </c:pt>
                <c:pt idx="75">
                  <c:v>-1.2232860642556584E-3</c:v>
                </c:pt>
                <c:pt idx="76">
                  <c:v>-7.7026481794530415E-4</c:v>
                </c:pt>
                <c:pt idx="77">
                  <c:v>-6.0488632319848448E-4</c:v>
                </c:pt>
                <c:pt idx="78">
                  <c:v>-8.15953040229445E-4</c:v>
                </c:pt>
                <c:pt idx="79">
                  <c:v>-4.832655624702785E-4</c:v>
                </c:pt>
                <c:pt idx="80">
                  <c:v>-8.0823108716733668E-4</c:v>
                </c:pt>
                <c:pt idx="81">
                  <c:v>-3.519923604144372E-4</c:v>
                </c:pt>
                <c:pt idx="82">
                  <c:v>-4.5109075804482723E-4</c:v>
                </c:pt>
                <c:pt idx="83">
                  <c:v>-4.1955944970788493E-4</c:v>
                </c:pt>
                <c:pt idx="84">
                  <c:v>-3.7515821960076216E-4</c:v>
                </c:pt>
                <c:pt idx="85">
                  <c:v>-4.7747409767369729E-4</c:v>
                </c:pt>
                <c:pt idx="86">
                  <c:v>-2.3487607230579448E-4</c:v>
                </c:pt>
                <c:pt idx="87">
                  <c:v>-1.9433581872972585E-4</c:v>
                </c:pt>
                <c:pt idx="88">
                  <c:v>-1.7696142433998215E-4</c:v>
                </c:pt>
                <c:pt idx="89">
                  <c:v>-1.0746384678100734E-4</c:v>
                </c:pt>
                <c:pt idx="90">
                  <c:v>-1.4736060426856696E-4</c:v>
                </c:pt>
                <c:pt idx="91">
                  <c:v>-5.9201640142830391E-5</c:v>
                </c:pt>
                <c:pt idx="92">
                  <c:v>-7.4002050178537988E-5</c:v>
                </c:pt>
                <c:pt idx="93">
                  <c:v>-7.65760345325741E-5</c:v>
                </c:pt>
                <c:pt idx="94">
                  <c:v>-5.5340663611776237E-5</c:v>
                </c:pt>
                <c:pt idx="95">
                  <c:v>-8.3654491506173376E-5</c:v>
                </c:pt>
                <c:pt idx="96">
                  <c:v>-3.9896757487559615E-5</c:v>
                </c:pt>
                <c:pt idx="97">
                  <c:v>-3.21748044254513E-5</c:v>
                </c:pt>
                <c:pt idx="98">
                  <c:v>-3.0244316159924223E-5</c:v>
                </c:pt>
                <c:pt idx="99">
                  <c:v>-1.6730898301234675E-5</c:v>
                </c:pt>
                <c:pt idx="100">
                  <c:v>-4.1827245753086688E-5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3-4585-872F-193A542A9019}"/>
            </c:ext>
          </c:extLst>
        </c:ser>
        <c:ser>
          <c:idx val="1"/>
          <c:order val="1"/>
          <c:tx>
            <c:strRef>
              <c:f>'CONTEO Pirámides'!$F$2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'CONTEO Pirámides'!$A$3:$A$103</c:f>
              <c:strCache>
                <c:ptCount val="101"/>
                <c:pt idx="0">
                  <c:v>0 años</c:v>
                </c:pt>
                <c:pt idx="1">
                  <c:v>1 año</c:v>
                </c:pt>
                <c:pt idx="2">
                  <c:v>2 años</c:v>
                </c:pt>
                <c:pt idx="3">
                  <c:v>3 años</c:v>
                </c:pt>
                <c:pt idx="4">
                  <c:v>4 años</c:v>
                </c:pt>
                <c:pt idx="5">
                  <c:v>5 años</c:v>
                </c:pt>
                <c:pt idx="6">
                  <c:v>6 años</c:v>
                </c:pt>
                <c:pt idx="7">
                  <c:v>7 años</c:v>
                </c:pt>
                <c:pt idx="8">
                  <c:v>8 años</c:v>
                </c:pt>
                <c:pt idx="9">
                  <c:v>9 años</c:v>
                </c:pt>
                <c:pt idx="10">
                  <c:v>10 años</c:v>
                </c:pt>
                <c:pt idx="11">
                  <c:v>11 años</c:v>
                </c:pt>
                <c:pt idx="12">
                  <c:v>12 años</c:v>
                </c:pt>
                <c:pt idx="13">
                  <c:v>13 años</c:v>
                </c:pt>
                <c:pt idx="14">
                  <c:v>14 años</c:v>
                </c:pt>
                <c:pt idx="15">
                  <c:v>15 años</c:v>
                </c:pt>
                <c:pt idx="16">
                  <c:v>16 años</c:v>
                </c:pt>
                <c:pt idx="17">
                  <c:v>17 años</c:v>
                </c:pt>
                <c:pt idx="18">
                  <c:v>18 años</c:v>
                </c:pt>
                <c:pt idx="19">
                  <c:v>19 años</c:v>
                </c:pt>
                <c:pt idx="20">
                  <c:v>20 años</c:v>
                </c:pt>
                <c:pt idx="21">
                  <c:v>21 años</c:v>
                </c:pt>
                <c:pt idx="22">
                  <c:v>22 años</c:v>
                </c:pt>
                <c:pt idx="23">
                  <c:v>23 años</c:v>
                </c:pt>
                <c:pt idx="24">
                  <c:v>24 años</c:v>
                </c:pt>
                <c:pt idx="25">
                  <c:v>25 años</c:v>
                </c:pt>
                <c:pt idx="26">
                  <c:v>26 años</c:v>
                </c:pt>
                <c:pt idx="27">
                  <c:v>27 años</c:v>
                </c:pt>
                <c:pt idx="28">
                  <c:v>28 años</c:v>
                </c:pt>
                <c:pt idx="29">
                  <c:v>29 años</c:v>
                </c:pt>
                <c:pt idx="30">
                  <c:v>30 años</c:v>
                </c:pt>
                <c:pt idx="31">
                  <c:v>31 años</c:v>
                </c:pt>
                <c:pt idx="32">
                  <c:v>32 años</c:v>
                </c:pt>
                <c:pt idx="33">
                  <c:v>33 años</c:v>
                </c:pt>
                <c:pt idx="34">
                  <c:v>34 años</c:v>
                </c:pt>
                <c:pt idx="35">
                  <c:v>35 años</c:v>
                </c:pt>
                <c:pt idx="36">
                  <c:v>36 años</c:v>
                </c:pt>
                <c:pt idx="37">
                  <c:v>37 años</c:v>
                </c:pt>
                <c:pt idx="38">
                  <c:v>38 años</c:v>
                </c:pt>
                <c:pt idx="39">
                  <c:v>39 años</c:v>
                </c:pt>
                <c:pt idx="40">
                  <c:v>40 años</c:v>
                </c:pt>
                <c:pt idx="41">
                  <c:v>41 años</c:v>
                </c:pt>
                <c:pt idx="42">
                  <c:v>42 años</c:v>
                </c:pt>
                <c:pt idx="43">
                  <c:v>43 años</c:v>
                </c:pt>
                <c:pt idx="44">
                  <c:v>44 años</c:v>
                </c:pt>
                <c:pt idx="45">
                  <c:v>45 años</c:v>
                </c:pt>
                <c:pt idx="46">
                  <c:v>46 años</c:v>
                </c:pt>
                <c:pt idx="47">
                  <c:v>47 años</c:v>
                </c:pt>
                <c:pt idx="48">
                  <c:v>48 años</c:v>
                </c:pt>
                <c:pt idx="49">
                  <c:v>49 años</c:v>
                </c:pt>
                <c:pt idx="50">
                  <c:v>50 años</c:v>
                </c:pt>
                <c:pt idx="51">
                  <c:v>51 años</c:v>
                </c:pt>
                <c:pt idx="52">
                  <c:v>52 años</c:v>
                </c:pt>
                <c:pt idx="53">
                  <c:v>53 años</c:v>
                </c:pt>
                <c:pt idx="54">
                  <c:v>54 años</c:v>
                </c:pt>
                <c:pt idx="55">
                  <c:v>55 años</c:v>
                </c:pt>
                <c:pt idx="56">
                  <c:v>56 años</c:v>
                </c:pt>
                <c:pt idx="57">
                  <c:v>57 años</c:v>
                </c:pt>
                <c:pt idx="58">
                  <c:v>58 años</c:v>
                </c:pt>
                <c:pt idx="59">
                  <c:v>59 años</c:v>
                </c:pt>
                <c:pt idx="60">
                  <c:v>60 años</c:v>
                </c:pt>
                <c:pt idx="61">
                  <c:v>61 años</c:v>
                </c:pt>
                <c:pt idx="62">
                  <c:v>62 años</c:v>
                </c:pt>
                <c:pt idx="63">
                  <c:v>63 años</c:v>
                </c:pt>
                <c:pt idx="64">
                  <c:v>64 años</c:v>
                </c:pt>
                <c:pt idx="65">
                  <c:v>65 años</c:v>
                </c:pt>
                <c:pt idx="66">
                  <c:v>66 años</c:v>
                </c:pt>
                <c:pt idx="67">
                  <c:v>67 años</c:v>
                </c:pt>
                <c:pt idx="68">
                  <c:v>68 años</c:v>
                </c:pt>
                <c:pt idx="69">
                  <c:v>69 años</c:v>
                </c:pt>
                <c:pt idx="70">
                  <c:v>70 años</c:v>
                </c:pt>
                <c:pt idx="71">
                  <c:v>71 años</c:v>
                </c:pt>
                <c:pt idx="72">
                  <c:v>72 años</c:v>
                </c:pt>
                <c:pt idx="73">
                  <c:v>73 años</c:v>
                </c:pt>
                <c:pt idx="74">
                  <c:v>74 años</c:v>
                </c:pt>
                <c:pt idx="75">
                  <c:v>75 años</c:v>
                </c:pt>
                <c:pt idx="76">
                  <c:v>76 años</c:v>
                </c:pt>
                <c:pt idx="77">
                  <c:v>77 años</c:v>
                </c:pt>
                <c:pt idx="78">
                  <c:v>78 años</c:v>
                </c:pt>
                <c:pt idx="79">
                  <c:v>79 años</c:v>
                </c:pt>
                <c:pt idx="80">
                  <c:v>80 años</c:v>
                </c:pt>
                <c:pt idx="81">
                  <c:v>81 años</c:v>
                </c:pt>
                <c:pt idx="82">
                  <c:v>82 años</c:v>
                </c:pt>
                <c:pt idx="83">
                  <c:v>83 años</c:v>
                </c:pt>
                <c:pt idx="84">
                  <c:v>84 años</c:v>
                </c:pt>
                <c:pt idx="85">
                  <c:v>85 años</c:v>
                </c:pt>
                <c:pt idx="86">
                  <c:v>86 años</c:v>
                </c:pt>
                <c:pt idx="87">
                  <c:v>87 años</c:v>
                </c:pt>
                <c:pt idx="88">
                  <c:v>88 años</c:v>
                </c:pt>
                <c:pt idx="89">
                  <c:v>89 años</c:v>
                </c:pt>
                <c:pt idx="90">
                  <c:v>90 años</c:v>
                </c:pt>
                <c:pt idx="91">
                  <c:v>91 años</c:v>
                </c:pt>
                <c:pt idx="92">
                  <c:v>92 años</c:v>
                </c:pt>
                <c:pt idx="93">
                  <c:v>93 años</c:v>
                </c:pt>
                <c:pt idx="94">
                  <c:v>94 años</c:v>
                </c:pt>
                <c:pt idx="95">
                  <c:v>95 años</c:v>
                </c:pt>
                <c:pt idx="96">
                  <c:v>96 años</c:v>
                </c:pt>
                <c:pt idx="97">
                  <c:v>97 años</c:v>
                </c:pt>
                <c:pt idx="98">
                  <c:v>98 años</c:v>
                </c:pt>
                <c:pt idx="99">
                  <c:v>99 años</c:v>
                </c:pt>
                <c:pt idx="100">
                  <c:v>De 100 y más años</c:v>
                </c:pt>
              </c:strCache>
            </c:strRef>
          </c:cat>
          <c:val>
            <c:numRef>
              <c:f>'CONTEO Pirámides'!$F$3:$F$103</c:f>
              <c:numCache>
                <c:formatCode>0.000%;#,##0.000%</c:formatCode>
                <c:ptCount val="101"/>
                <c:pt idx="0">
                  <c:v>9.4085563100904691E-3</c:v>
                </c:pt>
                <c:pt idx="1">
                  <c:v>9.6563023041664441E-3</c:v>
                </c:pt>
                <c:pt idx="2">
                  <c:v>1.0587441144239004E-2</c:v>
                </c:pt>
                <c:pt idx="3">
                  <c:v>1.079464688473891E-2</c:v>
                </c:pt>
                <c:pt idx="4">
                  <c:v>1.1071350202797793E-2</c:v>
                </c:pt>
                <c:pt idx="5">
                  <c:v>1.1073280691063319E-2</c:v>
                </c:pt>
                <c:pt idx="6">
                  <c:v>1.045230696565211E-2</c:v>
                </c:pt>
                <c:pt idx="7">
                  <c:v>1.0433645579085347E-2</c:v>
                </c:pt>
                <c:pt idx="8">
                  <c:v>1.0718070850206337E-2</c:v>
                </c:pt>
                <c:pt idx="9">
                  <c:v>1.079464688473891E-2</c:v>
                </c:pt>
                <c:pt idx="10">
                  <c:v>1.1560407230064651E-2</c:v>
                </c:pt>
                <c:pt idx="11">
                  <c:v>1.1026305476602161E-2</c:v>
                </c:pt>
                <c:pt idx="12">
                  <c:v>1.17991442789015E-2</c:v>
                </c:pt>
                <c:pt idx="13">
                  <c:v>1.1331966118643948E-2</c:v>
                </c:pt>
                <c:pt idx="14">
                  <c:v>1.1356418970007292E-2</c:v>
                </c:pt>
                <c:pt idx="15">
                  <c:v>1.1454230375460664E-2</c:v>
                </c:pt>
                <c:pt idx="16">
                  <c:v>1.0528883000184683E-2</c:v>
                </c:pt>
                <c:pt idx="17">
                  <c:v>1.071614036194081E-2</c:v>
                </c:pt>
                <c:pt idx="18">
                  <c:v>1.1042392878814885E-2</c:v>
                </c:pt>
                <c:pt idx="19">
                  <c:v>9.986415797571575E-3</c:v>
                </c:pt>
                <c:pt idx="20">
                  <c:v>1.0960025379485731E-2</c:v>
                </c:pt>
                <c:pt idx="21">
                  <c:v>9.1241310389694793E-3</c:v>
                </c:pt>
                <c:pt idx="22">
                  <c:v>1.049863868402476E-2</c:v>
                </c:pt>
                <c:pt idx="23">
                  <c:v>1.0248962201683257E-2</c:v>
                </c:pt>
                <c:pt idx="24">
                  <c:v>9.8113848614971196E-3</c:v>
                </c:pt>
                <c:pt idx="25">
                  <c:v>1.0136993882282687E-2</c:v>
                </c:pt>
                <c:pt idx="26">
                  <c:v>8.895046431460267E-3</c:v>
                </c:pt>
                <c:pt idx="27">
                  <c:v>8.817183404750675E-3</c:v>
                </c:pt>
                <c:pt idx="28">
                  <c:v>9.4555315245516275E-3</c:v>
                </c:pt>
                <c:pt idx="29">
                  <c:v>8.0482055789823873E-3</c:v>
                </c:pt>
                <c:pt idx="30">
                  <c:v>1.0534030968892756E-2</c:v>
                </c:pt>
                <c:pt idx="31">
                  <c:v>7.2682883197094485E-3</c:v>
                </c:pt>
                <c:pt idx="32">
                  <c:v>9.5121591803404223E-3</c:v>
                </c:pt>
                <c:pt idx="33">
                  <c:v>8.2534808312167678E-3</c:v>
                </c:pt>
                <c:pt idx="34">
                  <c:v>7.7534843704452541E-3</c:v>
                </c:pt>
                <c:pt idx="35">
                  <c:v>8.5977512385690957E-3</c:v>
                </c:pt>
                <c:pt idx="36">
                  <c:v>7.6865607772403158E-3</c:v>
                </c:pt>
                <c:pt idx="37">
                  <c:v>6.9812890642344232E-3</c:v>
                </c:pt>
                <c:pt idx="38">
                  <c:v>7.8255559323582649E-3</c:v>
                </c:pt>
                <c:pt idx="39">
                  <c:v>6.3950641276027008E-3</c:v>
                </c:pt>
                <c:pt idx="40">
                  <c:v>8.360301181909266E-3</c:v>
                </c:pt>
                <c:pt idx="41">
                  <c:v>4.9175971083859765E-3</c:v>
                </c:pt>
                <c:pt idx="42">
                  <c:v>6.9800020720574051E-3</c:v>
                </c:pt>
                <c:pt idx="43">
                  <c:v>5.6865749341542624E-3</c:v>
                </c:pt>
                <c:pt idx="44">
                  <c:v>4.8332991207912946E-3</c:v>
                </c:pt>
                <c:pt idx="45">
                  <c:v>6.5668775832346104E-3</c:v>
                </c:pt>
                <c:pt idx="46">
                  <c:v>4.6511897277432398E-3</c:v>
                </c:pt>
                <c:pt idx="47">
                  <c:v>4.3982957649591923E-3</c:v>
                </c:pt>
                <c:pt idx="48">
                  <c:v>4.9813032211483699E-3</c:v>
                </c:pt>
                <c:pt idx="49">
                  <c:v>3.9195346751084775E-3</c:v>
                </c:pt>
                <c:pt idx="50">
                  <c:v>5.3371565580938619E-3</c:v>
                </c:pt>
                <c:pt idx="51">
                  <c:v>2.9311246831586132E-3</c:v>
                </c:pt>
                <c:pt idx="52">
                  <c:v>3.9529964717109466E-3</c:v>
                </c:pt>
                <c:pt idx="53">
                  <c:v>3.4999752254005925E-3</c:v>
                </c:pt>
                <c:pt idx="54">
                  <c:v>3.3249442893261375E-3</c:v>
                </c:pt>
                <c:pt idx="55">
                  <c:v>3.6003606152080004E-3</c:v>
                </c:pt>
                <c:pt idx="56">
                  <c:v>2.8159388833154976E-3</c:v>
                </c:pt>
                <c:pt idx="57">
                  <c:v>2.3519782035004901E-3</c:v>
                </c:pt>
                <c:pt idx="58">
                  <c:v>2.672439255577985E-3</c:v>
                </c:pt>
                <c:pt idx="59">
                  <c:v>2.0862143189462625E-3</c:v>
                </c:pt>
                <c:pt idx="60">
                  <c:v>3.5990736230309822E-3</c:v>
                </c:pt>
                <c:pt idx="61">
                  <c:v>1.6434890100520524E-3</c:v>
                </c:pt>
                <c:pt idx="62">
                  <c:v>2.1151716429291686E-3</c:v>
                </c:pt>
                <c:pt idx="63">
                  <c:v>2.2316444349493023E-3</c:v>
                </c:pt>
                <c:pt idx="64">
                  <c:v>1.9201923281109336E-3</c:v>
                </c:pt>
                <c:pt idx="65">
                  <c:v>2.5662624009739955E-3</c:v>
                </c:pt>
                <c:pt idx="66">
                  <c:v>1.4884064527213772E-3</c:v>
                </c:pt>
                <c:pt idx="67">
                  <c:v>1.4800410035707599E-3</c:v>
                </c:pt>
                <c:pt idx="68">
                  <c:v>1.7232825250271717E-3</c:v>
                </c:pt>
                <c:pt idx="69">
                  <c:v>1.085577901314727E-3</c:v>
                </c:pt>
                <c:pt idx="70">
                  <c:v>1.9607325816870021E-3</c:v>
                </c:pt>
                <c:pt idx="71">
                  <c:v>7.5932538444065069E-4</c:v>
                </c:pt>
                <c:pt idx="72">
                  <c:v>1.3210974697090304E-3</c:v>
                </c:pt>
                <c:pt idx="73">
                  <c:v>1.1525014945196655E-3</c:v>
                </c:pt>
                <c:pt idx="74">
                  <c:v>1.0765689560756006E-3</c:v>
                </c:pt>
                <c:pt idx="75">
                  <c:v>1.4536576639418897E-3</c:v>
                </c:pt>
                <c:pt idx="76">
                  <c:v>9.1183395741728979E-4</c:v>
                </c:pt>
                <c:pt idx="77">
                  <c:v>6.9240179123571197E-4</c:v>
                </c:pt>
                <c:pt idx="78">
                  <c:v>9.2470387918747036E-4</c:v>
                </c:pt>
                <c:pt idx="79">
                  <c:v>5.9201640142830391E-4</c:v>
                </c:pt>
                <c:pt idx="80">
                  <c:v>1.0488986242697125E-3</c:v>
                </c:pt>
                <c:pt idx="81">
                  <c:v>3.7708870786628922E-4</c:v>
                </c:pt>
                <c:pt idx="82">
                  <c:v>5.2573630431187427E-4</c:v>
                </c:pt>
                <c:pt idx="83">
                  <c:v>5.2509280822336519E-4</c:v>
                </c:pt>
                <c:pt idx="84">
                  <c:v>5.0128345294853127E-4</c:v>
                </c:pt>
                <c:pt idx="85">
                  <c:v>6.4542657677455308E-4</c:v>
                </c:pt>
                <c:pt idx="86">
                  <c:v>3.063041381302964E-4</c:v>
                </c:pt>
                <c:pt idx="87">
                  <c:v>2.9729519289116999E-4</c:v>
                </c:pt>
                <c:pt idx="88">
                  <c:v>2.451720097219389E-4</c:v>
                </c:pt>
                <c:pt idx="89">
                  <c:v>1.9433581872972585E-4</c:v>
                </c:pt>
                <c:pt idx="90">
                  <c:v>2.3873704883684864E-4</c:v>
                </c:pt>
                <c:pt idx="91">
                  <c:v>1.0424636633846221E-4</c:v>
                </c:pt>
                <c:pt idx="92">
                  <c:v>1.2226425681671494E-4</c:v>
                </c:pt>
                <c:pt idx="93">
                  <c:v>1.1068132722355247E-4</c:v>
                </c:pt>
                <c:pt idx="94">
                  <c:v>1.0553335851548026E-4</c:v>
                </c:pt>
                <c:pt idx="95">
                  <c:v>1.2741222552478714E-4</c:v>
                </c:pt>
                <c:pt idx="96">
                  <c:v>7.0784569735992859E-5</c:v>
                </c:pt>
                <c:pt idx="97">
                  <c:v>5.2123183169231107E-5</c:v>
                </c:pt>
                <c:pt idx="98">
                  <c:v>5.7914647965812342E-5</c:v>
                </c:pt>
                <c:pt idx="99">
                  <c:v>2.9600820071415195E-5</c:v>
                </c:pt>
                <c:pt idx="100">
                  <c:v>7.65760345325741E-5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3-4585-872F-193A542A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0478216"/>
        <c:axId val="550479528"/>
      </c:barChart>
      <c:catAx>
        <c:axId val="55047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479528"/>
        <c:crosses val="autoZero"/>
        <c:auto val="1"/>
        <c:lblAlgn val="ctr"/>
        <c:lblOffset val="100"/>
        <c:noMultiLvlLbl val="0"/>
      </c:catAx>
      <c:valAx>
        <c:axId val="55047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#,##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47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Pirámide Poblacional</a:t>
            </a:r>
            <a:r>
              <a:rPr lang="es-MX" baseline="0"/>
              <a:t> de Querétaro CONTEO 2005</a:t>
            </a:r>
          </a:p>
          <a:p>
            <a:pPr>
              <a:defRPr/>
            </a:pPr>
            <a:r>
              <a:rPr lang="es-MX" baseline="0"/>
              <a:t>Por Grandes Grupos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'CONTEO Pirámides'!$AS$2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'CONTEO Pirámides'!$AO$3:$AO$5</c:f>
              <c:strCache>
                <c:ptCount val="3"/>
                <c:pt idx="0">
                  <c:v>0-14 años</c:v>
                </c:pt>
                <c:pt idx="1">
                  <c:v>15-64 años</c:v>
                </c:pt>
                <c:pt idx="2">
                  <c:v>65 y más años</c:v>
                </c:pt>
              </c:strCache>
            </c:strRef>
          </c:cat>
          <c:val>
            <c:numRef>
              <c:f>'CONTEO Pirámides'!$AS$3:$AS$5</c:f>
              <c:numCache>
                <c:formatCode>0.000%;#,##0.000%</c:formatCode>
                <c:ptCount val="3"/>
                <c:pt idx="0">
                  <c:v>-0.16633086895781304</c:v>
                </c:pt>
                <c:pt idx="1">
                  <c:v>-0.29565685184982604</c:v>
                </c:pt>
                <c:pt idx="2">
                  <c:v>-2.1087366820440781E-2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0-4482-8826-A61227648DF6}"/>
            </c:ext>
          </c:extLst>
        </c:ser>
        <c:ser>
          <c:idx val="1"/>
          <c:order val="1"/>
          <c:tx>
            <c:strRef>
              <c:f>'CONTEO Pirámides'!$AT$2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'CONTEO Pirámides'!$AO$3:$AO$5</c:f>
              <c:strCache>
                <c:ptCount val="3"/>
                <c:pt idx="0">
                  <c:v>0-14 años</c:v>
                </c:pt>
                <c:pt idx="1">
                  <c:v>15-64 años</c:v>
                </c:pt>
                <c:pt idx="2">
                  <c:v>65 y más años</c:v>
                </c:pt>
              </c:strCache>
            </c:strRef>
          </c:cat>
          <c:val>
            <c:numRef>
              <c:f>'CONTEO Pirámides'!$AT$3:$AT$5</c:f>
              <c:numCache>
                <c:formatCode>0.000%;#,##0.000%</c:formatCode>
                <c:ptCount val="3"/>
                <c:pt idx="0">
                  <c:v>0.1620644898909982</c:v>
                </c:pt>
                <c:pt idx="1">
                  <c:v>0.329909505145073</c:v>
                </c:pt>
                <c:pt idx="2">
                  <c:v>2.4950917335848973E-2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0-4482-8826-A6122764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12730792"/>
        <c:axId val="412724560"/>
      </c:barChart>
      <c:catAx>
        <c:axId val="412730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2724560"/>
        <c:crosses val="autoZero"/>
        <c:auto val="1"/>
        <c:lblAlgn val="ctr"/>
        <c:lblOffset val="100"/>
        <c:noMultiLvlLbl val="0"/>
      </c:catAx>
      <c:valAx>
        <c:axId val="4127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;#,##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273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Pirámide</a:t>
            </a:r>
            <a:r>
              <a:rPr lang="es-MX" baseline="0"/>
              <a:t> Poblacional de Querétaro CONTEO 2005 </a:t>
            </a:r>
          </a:p>
          <a:p>
            <a:pPr>
              <a:defRPr/>
            </a:pPr>
            <a:r>
              <a:rPr lang="es-MX" baseline="0"/>
              <a:t>Por Grupos Quinquenales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'CONTEO Pirámides'!$AB$2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'CONTEO Pirámides'!$X$3:$X$20</c:f>
              <c:strCache>
                <c:ptCount val="18"/>
                <c:pt idx="0">
                  <c:v>0-4 años</c:v>
                </c:pt>
                <c:pt idx="1">
                  <c:v>5-9 años</c:v>
                </c:pt>
                <c:pt idx="2">
                  <c:v>10-14 años</c:v>
                </c:pt>
                <c:pt idx="3">
                  <c:v>15-19 años</c:v>
                </c:pt>
                <c:pt idx="4">
                  <c:v>20-24 años</c:v>
                </c:pt>
                <c:pt idx="5">
                  <c:v>25-29 años</c:v>
                </c:pt>
                <c:pt idx="6">
                  <c:v>30-34 años</c:v>
                </c:pt>
                <c:pt idx="7">
                  <c:v>35-39 años</c:v>
                </c:pt>
                <c:pt idx="8">
                  <c:v>40-44 años</c:v>
                </c:pt>
                <c:pt idx="9">
                  <c:v>45-49 años</c:v>
                </c:pt>
                <c:pt idx="10">
                  <c:v>50-54 años</c:v>
                </c:pt>
                <c:pt idx="11">
                  <c:v>55-59 años</c:v>
                </c:pt>
                <c:pt idx="12">
                  <c:v>60-64 años</c:v>
                </c:pt>
                <c:pt idx="13">
                  <c:v>65-69 años</c:v>
                </c:pt>
                <c:pt idx="14">
                  <c:v>70-74 años</c:v>
                </c:pt>
                <c:pt idx="15">
                  <c:v>75-79 años</c:v>
                </c:pt>
                <c:pt idx="16">
                  <c:v>80-84 años</c:v>
                </c:pt>
                <c:pt idx="17">
                  <c:v>85 y más años</c:v>
                </c:pt>
              </c:strCache>
            </c:strRef>
          </c:cat>
          <c:val>
            <c:numRef>
              <c:f>'CONTEO Pirámides'!$AB$3:$AB$20</c:f>
              <c:numCache>
                <c:formatCode>0.000%;#,##0.000%</c:formatCode>
                <c:ptCount val="18"/>
                <c:pt idx="0">
                  <c:v>-5.326924970286568E-2</c:v>
                </c:pt>
                <c:pt idx="1">
                  <c:v>-5.521453837842847E-2</c:v>
                </c:pt>
                <c:pt idx="2">
                  <c:v>-5.7847080876518894E-2</c:v>
                </c:pt>
                <c:pt idx="3">
                  <c:v>-5.0866435308372981E-2</c:v>
                </c:pt>
                <c:pt idx="4">
                  <c:v>-4.3766099467764386E-2</c:v>
                </c:pt>
                <c:pt idx="5">
                  <c:v>-3.8623278728400247E-2</c:v>
                </c:pt>
                <c:pt idx="6">
                  <c:v>-3.8040914768299579E-2</c:v>
                </c:pt>
                <c:pt idx="7">
                  <c:v>-3.3098221312461755E-2</c:v>
                </c:pt>
                <c:pt idx="8">
                  <c:v>-2.815102338400436E-2</c:v>
                </c:pt>
                <c:pt idx="9">
                  <c:v>-2.2611165558030156E-2</c:v>
                </c:pt>
                <c:pt idx="10">
                  <c:v>-1.7716090812741996E-2</c:v>
                </c:pt>
                <c:pt idx="11">
                  <c:v>-1.261252333477691E-2</c:v>
                </c:pt>
                <c:pt idx="12">
                  <c:v>-1.0171099174973665E-2</c:v>
                </c:pt>
                <c:pt idx="13">
                  <c:v>-7.4349538066332864E-3</c:v>
                </c:pt>
                <c:pt idx="14">
                  <c:v>-5.5006045645751541E-3</c:v>
                </c:pt>
                <c:pt idx="15">
                  <c:v>-3.8976558080991703E-3</c:v>
                </c:pt>
                <c:pt idx="16">
                  <c:v>-2.4060318749352483E-3</c:v>
                </c:pt>
                <c:pt idx="17">
                  <c:v>-1.8481207661979226E-3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4-45DA-BC13-4A7402B804DD}"/>
            </c:ext>
          </c:extLst>
        </c:ser>
        <c:ser>
          <c:idx val="1"/>
          <c:order val="1"/>
          <c:tx>
            <c:strRef>
              <c:f>'CONTEO Pirámides'!$AC$2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'CONTEO Pirámides'!$X$3:$X$20</c:f>
              <c:strCache>
                <c:ptCount val="18"/>
                <c:pt idx="0">
                  <c:v>0-4 años</c:v>
                </c:pt>
                <c:pt idx="1">
                  <c:v>5-9 años</c:v>
                </c:pt>
                <c:pt idx="2">
                  <c:v>10-14 años</c:v>
                </c:pt>
                <c:pt idx="3">
                  <c:v>15-19 años</c:v>
                </c:pt>
                <c:pt idx="4">
                  <c:v>20-24 años</c:v>
                </c:pt>
                <c:pt idx="5">
                  <c:v>25-29 años</c:v>
                </c:pt>
                <c:pt idx="6">
                  <c:v>30-34 años</c:v>
                </c:pt>
                <c:pt idx="7">
                  <c:v>35-39 años</c:v>
                </c:pt>
                <c:pt idx="8">
                  <c:v>40-44 años</c:v>
                </c:pt>
                <c:pt idx="9">
                  <c:v>45-49 años</c:v>
                </c:pt>
                <c:pt idx="10">
                  <c:v>50-54 años</c:v>
                </c:pt>
                <c:pt idx="11">
                  <c:v>55-59 años</c:v>
                </c:pt>
                <c:pt idx="12">
                  <c:v>60-64 años</c:v>
                </c:pt>
                <c:pt idx="13">
                  <c:v>65-69 años</c:v>
                </c:pt>
                <c:pt idx="14">
                  <c:v>70-74 años</c:v>
                </c:pt>
                <c:pt idx="15">
                  <c:v>75-79 años</c:v>
                </c:pt>
                <c:pt idx="16">
                  <c:v>80-84 años</c:v>
                </c:pt>
                <c:pt idx="17">
                  <c:v>85 y más años</c:v>
                </c:pt>
              </c:strCache>
            </c:strRef>
          </c:cat>
          <c:val>
            <c:numRef>
              <c:f>'CONTEO Pirámides'!$AC$3:$AC$20</c:f>
              <c:numCache>
                <c:formatCode>0.000%;#,##0.000%</c:formatCode>
                <c:ptCount val="18"/>
                <c:pt idx="0">
                  <c:v>5.1518296846032624E-2</c:v>
                </c:pt>
                <c:pt idx="1">
                  <c:v>5.3471950970746022E-2</c:v>
                </c:pt>
                <c:pt idx="2">
                  <c:v>5.7074242074219551E-2</c:v>
                </c:pt>
                <c:pt idx="3">
                  <c:v>5.372806241397262E-2</c:v>
                </c:pt>
                <c:pt idx="4">
                  <c:v>5.0643142165660349E-2</c:v>
                </c:pt>
                <c:pt idx="5">
                  <c:v>4.5352960822027645E-2</c:v>
                </c:pt>
                <c:pt idx="6">
                  <c:v>4.3321443670604649E-2</c:v>
                </c:pt>
                <c:pt idx="7">
                  <c:v>3.74862211400048E-2</c:v>
                </c:pt>
                <c:pt idx="8">
                  <c:v>3.0777774417298204E-2</c:v>
                </c:pt>
                <c:pt idx="9">
                  <c:v>2.4517200972193891E-2</c:v>
                </c:pt>
                <c:pt idx="10">
                  <c:v>1.9046197227690152E-2</c:v>
                </c:pt>
                <c:pt idx="11">
                  <c:v>1.3526931276548235E-2</c:v>
                </c:pt>
                <c:pt idx="12">
                  <c:v>1.1509571039072439E-2</c:v>
                </c:pt>
                <c:pt idx="13">
                  <c:v>8.343570283608031E-3</c:v>
                </c:pt>
                <c:pt idx="14">
                  <c:v>6.2702258864319495E-3</c:v>
                </c:pt>
                <c:pt idx="15">
                  <c:v>4.5746136932106659E-3</c:v>
                </c:pt>
                <c:pt idx="16">
                  <c:v>2.9780998976197725E-3</c:v>
                </c:pt>
                <c:pt idx="17">
                  <c:v>2.7844075749785557E-3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4-45DA-BC13-4A7402B8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3395464"/>
        <c:axId val="523404648"/>
      </c:barChart>
      <c:catAx>
        <c:axId val="523395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3404648"/>
        <c:crosses val="autoZero"/>
        <c:auto val="1"/>
        <c:lblAlgn val="ctr"/>
        <c:lblOffset val="100"/>
        <c:noMultiLvlLbl val="0"/>
      </c:catAx>
      <c:valAx>
        <c:axId val="52340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;#,##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339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93835304408041E-2"/>
          <c:y val="2.5428216457268862E-2"/>
          <c:w val="0.933857251440614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Querétaro!$I$55</c:f>
              <c:strCache>
                <c:ptCount val="1"/>
                <c:pt idx="0">
                  <c:v>Edad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Querétaro!$H$56:$H$69</c:f>
              <c:numCache>
                <c:formatCode>General</c:formatCode>
                <c:ptCount val="1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cat>
          <c:val>
            <c:numRef>
              <c:f>Querétaro!$I$56:$I$69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B-4D33-86F7-AC973553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43359"/>
        <c:axId val="1110019503"/>
      </c:lineChart>
      <c:catAx>
        <c:axId val="9234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0019503"/>
        <c:crosses val="autoZero"/>
        <c:auto val="1"/>
        <c:lblAlgn val="ctr"/>
        <c:lblOffset val="100"/>
        <c:noMultiLvlLbl val="0"/>
      </c:catAx>
      <c:valAx>
        <c:axId val="11100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34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93835304408041E-2"/>
          <c:y val="2.5428216457268862E-2"/>
          <c:w val="0.933857251440614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Querétaro!$I$55</c:f>
              <c:strCache>
                <c:ptCount val="1"/>
                <c:pt idx="0">
                  <c:v>Edad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Querétaro!$H$56:$H$69</c:f>
              <c:numCache>
                <c:formatCode>General</c:formatCode>
                <c:ptCount val="1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cat>
          <c:val>
            <c:numRef>
              <c:f>Querétaro!$I$56:$I$69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5-4793-B95F-AD9A2EDE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43359"/>
        <c:axId val="1110019503"/>
      </c:lineChart>
      <c:catAx>
        <c:axId val="9234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0019503"/>
        <c:crosses val="autoZero"/>
        <c:auto val="1"/>
        <c:lblAlgn val="ctr"/>
        <c:lblOffset val="100"/>
        <c:noMultiLvlLbl val="0"/>
      </c:catAx>
      <c:valAx>
        <c:axId val="11100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34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93835304408041E-2"/>
          <c:y val="2.5428216457268862E-2"/>
          <c:w val="0.933857251440614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Querétaro!$I$55</c:f>
              <c:strCache>
                <c:ptCount val="1"/>
                <c:pt idx="0">
                  <c:v>Edad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Querétaro!$H$56:$H$69</c:f>
              <c:numCache>
                <c:formatCode>General</c:formatCode>
                <c:ptCount val="1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cat>
          <c:val>
            <c:numRef>
              <c:f>Querétaro!$I$56:$I$69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5-4EC8-A627-F4462439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43359"/>
        <c:axId val="1110019503"/>
      </c:lineChart>
      <c:catAx>
        <c:axId val="9234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0019503"/>
        <c:crosses val="autoZero"/>
        <c:auto val="1"/>
        <c:lblAlgn val="ctr"/>
        <c:lblOffset val="100"/>
        <c:noMultiLvlLbl val="0"/>
      </c:catAx>
      <c:valAx>
        <c:axId val="11100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34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30480</xdr:rowOff>
    </xdr:from>
    <xdr:to>
      <xdr:col>12</xdr:col>
      <xdr:colOff>38100</xdr:colOff>
      <xdr:row>24</xdr:row>
      <xdr:rowOff>15240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13C33F4-3787-4F70-B67D-6E2AD0E7085D}"/>
            </a:ext>
          </a:extLst>
        </xdr:cNvPr>
        <xdr:cNvSpPr txBox="1"/>
      </xdr:nvSpPr>
      <xdr:spPr>
        <a:xfrm>
          <a:off x="2352675" y="982980"/>
          <a:ext cx="6896100" cy="3604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3200">
              <a:latin typeface="Times New Roman" panose="02020603050405020304" pitchFamily="18" charset="0"/>
              <a:cs typeface="Times New Roman" panose="02020603050405020304" pitchFamily="18" charset="0"/>
            </a:rPr>
            <a:t>Querétaro de</a:t>
          </a:r>
          <a:r>
            <a:rPr lang="es-MX" sz="3200" baseline="0">
              <a:latin typeface="Times New Roman" panose="02020603050405020304" pitchFamily="18" charset="0"/>
              <a:cs typeface="Times New Roman" panose="02020603050405020304" pitchFamily="18" charset="0"/>
            </a:rPr>
            <a:t> Arteaga</a:t>
          </a:r>
        </a:p>
        <a:p>
          <a:pPr algn="l"/>
          <a:endParaRPr lang="es-MX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MX" sz="2000">
              <a:latin typeface="Times New Roman" panose="02020603050405020304" pitchFamily="18" charset="0"/>
              <a:cs typeface="Times New Roman" panose="02020603050405020304" pitchFamily="18" charset="0"/>
            </a:rPr>
            <a:t>Proyecto de Análisis</a:t>
          </a:r>
          <a:r>
            <a:rPr lang="es-MX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Demográfico</a:t>
          </a:r>
        </a:p>
        <a:p>
          <a:pPr algn="ctr"/>
          <a:r>
            <a:rPr lang="es-MX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CENSO 2010 y CONTEO 2005</a:t>
          </a:r>
          <a:endParaRPr lang="es-MX" sz="20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s-MX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s-MX" sz="1400" b="1">
              <a:latin typeface="Times New Roman" panose="02020603050405020304" pitchFamily="18" charset="0"/>
              <a:cs typeface="Times New Roman" panose="02020603050405020304" pitchFamily="18" charset="0"/>
            </a:rPr>
            <a:t>Integrantes: </a:t>
          </a:r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Sánchez</a:t>
          </a:r>
          <a:r>
            <a:rPr lang="es-MX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Navarro Juan Carlos</a:t>
          </a:r>
        </a:p>
        <a:p>
          <a:pPr algn="l"/>
          <a:r>
            <a:rPr lang="es-MX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	 Zamudio Lorenzo Sofia Alejandra</a:t>
          </a:r>
        </a:p>
        <a:p>
          <a:pPr algn="l"/>
          <a:endParaRPr lang="es-MX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0.53833</cdr:x>
      <cdr:y>0.72477</cdr:y>
    </cdr:from>
    <cdr:to>
      <cdr:x>0.53833</cdr:x>
      <cdr:y>0.87183</cdr:y>
    </cdr:to>
    <cdr:cxnSp macro="">
      <cdr:nvCxnSpPr>
        <cdr:cNvPr id="6" name="Conector recto 5">
          <a:extLst xmlns:a="http://schemas.openxmlformats.org/drawingml/2006/main">
            <a:ext uri="{FF2B5EF4-FFF2-40B4-BE49-F238E27FC236}">
              <a16:creationId xmlns:a16="http://schemas.microsoft.com/office/drawing/2014/main" id="{B705FA63-7D0A-4342-8F35-8394850DEF4E}"/>
            </a:ext>
          </a:extLst>
        </cdr:cNvPr>
        <cdr:cNvCxnSpPr/>
      </cdr:nvCxnSpPr>
      <cdr:spPr>
        <a:xfrm xmlns:a="http://schemas.openxmlformats.org/drawingml/2006/main">
          <a:off x="3594436" y="2347162"/>
          <a:ext cx="0" cy="47625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0.50539</cdr:x>
      <cdr:y>0.72497</cdr:y>
    </cdr:from>
    <cdr:to>
      <cdr:x>0.50539</cdr:x>
      <cdr:y>0.87203</cdr:y>
    </cdr:to>
    <cdr:cxnSp macro="">
      <cdr:nvCxnSpPr>
        <cdr:cNvPr id="22" name="Conector recto 21">
          <a:extLst xmlns:a="http://schemas.openxmlformats.org/drawingml/2006/main">
            <a:ext uri="{FF2B5EF4-FFF2-40B4-BE49-F238E27FC236}">
              <a16:creationId xmlns:a16="http://schemas.microsoft.com/office/drawing/2014/main" id="{F2C25511-8EB4-4DAD-A51D-847E8FDFF655}"/>
            </a:ext>
          </a:extLst>
        </cdr:cNvPr>
        <cdr:cNvCxnSpPr/>
      </cdr:nvCxnSpPr>
      <cdr:spPr>
        <a:xfrm xmlns:a="http://schemas.openxmlformats.org/drawingml/2006/main">
          <a:off x="3374525" y="2347830"/>
          <a:ext cx="0" cy="47625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0.57071</cdr:x>
      <cdr:y>0.72343</cdr:y>
    </cdr:from>
    <cdr:to>
      <cdr:x>0.57071</cdr:x>
      <cdr:y>0.87049</cdr:y>
    </cdr:to>
    <cdr:cxnSp macro="">
      <cdr:nvCxnSpPr>
        <cdr:cNvPr id="23" name="Conector recto 22">
          <a:extLst xmlns:a="http://schemas.openxmlformats.org/drawingml/2006/main">
            <a:ext uri="{FF2B5EF4-FFF2-40B4-BE49-F238E27FC236}">
              <a16:creationId xmlns:a16="http://schemas.microsoft.com/office/drawing/2014/main" id="{F2C25511-8EB4-4DAD-A51D-847E8FDFF655}"/>
            </a:ext>
          </a:extLst>
        </cdr:cNvPr>
        <cdr:cNvCxnSpPr/>
      </cdr:nvCxnSpPr>
      <cdr:spPr>
        <a:xfrm xmlns:a="http://schemas.openxmlformats.org/drawingml/2006/main">
          <a:off x="3810671" y="2342817"/>
          <a:ext cx="0" cy="47625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0.43772</cdr:x>
      <cdr:y>0.72477</cdr:y>
    </cdr:from>
    <cdr:to>
      <cdr:x>0.50454</cdr:x>
      <cdr:y>0.86563</cdr:y>
    </cdr:to>
    <cdr:cxnSp macro="">
      <cdr:nvCxnSpPr>
        <cdr:cNvPr id="28" name="Conector recto 27">
          <a:extLst xmlns:a="http://schemas.openxmlformats.org/drawingml/2006/main">
            <a:ext uri="{FF2B5EF4-FFF2-40B4-BE49-F238E27FC236}">
              <a16:creationId xmlns:a16="http://schemas.microsoft.com/office/drawing/2014/main" id="{A66F665C-C4B9-4571-9F90-D39B195DF255}"/>
            </a:ext>
          </a:extLst>
        </cdr:cNvPr>
        <cdr:cNvCxnSpPr/>
      </cdr:nvCxnSpPr>
      <cdr:spPr>
        <a:xfrm xmlns:a="http://schemas.openxmlformats.org/drawingml/2006/main" flipH="1">
          <a:off x="2922672" y="2347162"/>
          <a:ext cx="446172" cy="456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0.50379</cdr:x>
      <cdr:y>0.72786</cdr:y>
    </cdr:from>
    <cdr:to>
      <cdr:x>0.57061</cdr:x>
      <cdr:y>0.86873</cdr:y>
    </cdr:to>
    <cdr:cxnSp macro="">
      <cdr:nvCxnSpPr>
        <cdr:cNvPr id="31" name="Conector recto 30">
          <a:extLst xmlns:a="http://schemas.openxmlformats.org/drawingml/2006/main">
            <a:ext uri="{FF2B5EF4-FFF2-40B4-BE49-F238E27FC236}">
              <a16:creationId xmlns:a16="http://schemas.microsoft.com/office/drawing/2014/main" id="{A344912A-E4EB-4D1F-AFC9-71AC8FAB54DC}"/>
            </a:ext>
          </a:extLst>
        </cdr:cNvPr>
        <cdr:cNvCxnSpPr/>
      </cdr:nvCxnSpPr>
      <cdr:spPr>
        <a:xfrm xmlns:a="http://schemas.openxmlformats.org/drawingml/2006/main" flipH="1">
          <a:off x="3363830" y="2357188"/>
          <a:ext cx="446172" cy="456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0.5373</cdr:x>
      <cdr:y>0.1644</cdr:y>
    </cdr:from>
    <cdr:to>
      <cdr:x>0.5373</cdr:x>
      <cdr:y>0.7276</cdr:y>
    </cdr:to>
    <cdr:cxnSp macro="">
      <cdr:nvCxnSpPr>
        <cdr:cNvPr id="6" name="Conector recto 5">
          <a:extLst xmlns:a="http://schemas.openxmlformats.org/drawingml/2006/main">
            <a:ext uri="{FF2B5EF4-FFF2-40B4-BE49-F238E27FC236}">
              <a16:creationId xmlns:a16="http://schemas.microsoft.com/office/drawing/2014/main" id="{B705FA63-7D0A-4342-8F35-8394850DEF4E}"/>
            </a:ext>
          </a:extLst>
        </cdr:cNvPr>
        <cdr:cNvCxnSpPr/>
      </cdr:nvCxnSpPr>
      <cdr:spPr>
        <a:xfrm xmlns:a="http://schemas.openxmlformats.org/drawingml/2006/main">
          <a:off x="3061337" y="651050"/>
          <a:ext cx="0" cy="2230362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0.50436</cdr:x>
      <cdr:y>0.1644</cdr:y>
    </cdr:from>
    <cdr:to>
      <cdr:x>0.50436</cdr:x>
      <cdr:y>0.7278</cdr:y>
    </cdr:to>
    <cdr:cxnSp macro="">
      <cdr:nvCxnSpPr>
        <cdr:cNvPr id="22" name="Conector recto 21">
          <a:extLst xmlns:a="http://schemas.openxmlformats.org/drawingml/2006/main">
            <a:ext uri="{FF2B5EF4-FFF2-40B4-BE49-F238E27FC236}">
              <a16:creationId xmlns:a16="http://schemas.microsoft.com/office/drawing/2014/main" id="{F2C25511-8EB4-4DAD-A51D-847E8FDFF655}"/>
            </a:ext>
          </a:extLst>
        </cdr:cNvPr>
        <cdr:cNvCxnSpPr/>
      </cdr:nvCxnSpPr>
      <cdr:spPr>
        <a:xfrm xmlns:a="http://schemas.openxmlformats.org/drawingml/2006/main">
          <a:off x="2873657" y="651050"/>
          <a:ext cx="0" cy="223115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0.56968</cdr:x>
      <cdr:y>0.16629</cdr:y>
    </cdr:from>
    <cdr:to>
      <cdr:x>0.56968</cdr:x>
      <cdr:y>0.72626</cdr:y>
    </cdr:to>
    <cdr:cxnSp macro="">
      <cdr:nvCxnSpPr>
        <cdr:cNvPr id="23" name="Conector recto 22">
          <a:extLst xmlns:a="http://schemas.openxmlformats.org/drawingml/2006/main">
            <a:ext uri="{FF2B5EF4-FFF2-40B4-BE49-F238E27FC236}">
              <a16:creationId xmlns:a16="http://schemas.microsoft.com/office/drawing/2014/main" id="{F2C25511-8EB4-4DAD-A51D-847E8FDFF655}"/>
            </a:ext>
          </a:extLst>
        </cdr:cNvPr>
        <cdr:cNvCxnSpPr/>
      </cdr:nvCxnSpPr>
      <cdr:spPr>
        <a:xfrm xmlns:a="http://schemas.openxmlformats.org/drawingml/2006/main">
          <a:off x="3245826" y="658535"/>
          <a:ext cx="0" cy="221757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0.16949</cdr:x>
      <cdr:y>0.16358</cdr:y>
    </cdr:from>
    <cdr:to>
      <cdr:x>0.50314</cdr:x>
      <cdr:y>0.86384</cdr:y>
    </cdr:to>
    <cdr:cxnSp macro="">
      <cdr:nvCxnSpPr>
        <cdr:cNvPr id="30" name="Conector recto 29">
          <a:extLst xmlns:a="http://schemas.openxmlformats.org/drawingml/2006/main">
            <a:ext uri="{FF2B5EF4-FFF2-40B4-BE49-F238E27FC236}">
              <a16:creationId xmlns:a16="http://schemas.microsoft.com/office/drawing/2014/main" id="{BAAE4C4D-8F9D-45E1-B8B4-0CB91FC0E93C}"/>
            </a:ext>
          </a:extLst>
        </cdr:cNvPr>
        <cdr:cNvCxnSpPr/>
      </cdr:nvCxnSpPr>
      <cdr:spPr>
        <a:xfrm xmlns:a="http://schemas.openxmlformats.org/drawingml/2006/main" flipH="1">
          <a:off x="965691" y="647803"/>
          <a:ext cx="1901015" cy="27731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0.43968</cdr:x>
      <cdr:y>0.72459</cdr:y>
    </cdr:from>
    <cdr:to>
      <cdr:x>0.50486</cdr:x>
      <cdr:y>0.86367</cdr:y>
    </cdr:to>
    <cdr:cxnSp macro="">
      <cdr:nvCxnSpPr>
        <cdr:cNvPr id="35" name="Conector recto 34">
          <a:extLst xmlns:a="http://schemas.openxmlformats.org/drawingml/2006/main">
            <a:ext uri="{FF2B5EF4-FFF2-40B4-BE49-F238E27FC236}">
              <a16:creationId xmlns:a16="http://schemas.microsoft.com/office/drawing/2014/main" id="{80D3907F-BAA5-4B2F-B288-DA5742746985}"/>
            </a:ext>
          </a:extLst>
        </cdr:cNvPr>
        <cdr:cNvCxnSpPr/>
      </cdr:nvCxnSpPr>
      <cdr:spPr>
        <a:xfrm xmlns:a="http://schemas.openxmlformats.org/drawingml/2006/main" flipH="1">
          <a:off x="2505134" y="2869492"/>
          <a:ext cx="371372" cy="5507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0.23745</cdr:x>
      <cdr:y>0.16251</cdr:y>
    </cdr:from>
    <cdr:to>
      <cdr:x>0.57247</cdr:x>
      <cdr:y>0.86657</cdr:y>
    </cdr:to>
    <cdr:cxnSp macro="">
      <cdr:nvCxnSpPr>
        <cdr:cNvPr id="36" name="Conector recto 35">
          <a:extLst xmlns:a="http://schemas.openxmlformats.org/drawingml/2006/main">
            <a:ext uri="{FF2B5EF4-FFF2-40B4-BE49-F238E27FC236}">
              <a16:creationId xmlns:a16="http://schemas.microsoft.com/office/drawing/2014/main" id="{8546FCF1-2771-415E-9917-27C41A898A84}"/>
            </a:ext>
          </a:extLst>
        </cdr:cNvPr>
        <cdr:cNvCxnSpPr/>
      </cdr:nvCxnSpPr>
      <cdr:spPr>
        <a:xfrm xmlns:a="http://schemas.openxmlformats.org/drawingml/2006/main" flipH="1">
          <a:off x="1352902" y="643565"/>
          <a:ext cx="1908821" cy="278819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0.50376</cdr:x>
      <cdr:y>0.72287</cdr:y>
    </cdr:from>
    <cdr:to>
      <cdr:x>0.56893</cdr:x>
      <cdr:y>0.86195</cdr:y>
    </cdr:to>
    <cdr:cxnSp macro="">
      <cdr:nvCxnSpPr>
        <cdr:cNvPr id="37" name="Conector recto 36">
          <a:extLst xmlns:a="http://schemas.openxmlformats.org/drawingml/2006/main">
            <a:ext uri="{FF2B5EF4-FFF2-40B4-BE49-F238E27FC236}">
              <a16:creationId xmlns:a16="http://schemas.microsoft.com/office/drawing/2014/main" id="{2E433F41-24D6-4C72-A1C5-86D4992DC136}"/>
            </a:ext>
          </a:extLst>
        </cdr:cNvPr>
        <cdr:cNvCxnSpPr/>
      </cdr:nvCxnSpPr>
      <cdr:spPr>
        <a:xfrm xmlns:a="http://schemas.openxmlformats.org/drawingml/2006/main" flipH="1">
          <a:off x="2870239" y="2862680"/>
          <a:ext cx="371314" cy="5507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0.87362</cdr:x>
      <cdr:y>0.16723</cdr:y>
    </cdr:from>
    <cdr:to>
      <cdr:x>0.87362</cdr:x>
      <cdr:y>0.73043</cdr:y>
    </cdr:to>
    <cdr:cxnSp macro="">
      <cdr:nvCxnSpPr>
        <cdr:cNvPr id="6" name="Conector recto 5">
          <a:extLst xmlns:a="http://schemas.openxmlformats.org/drawingml/2006/main">
            <a:ext uri="{FF2B5EF4-FFF2-40B4-BE49-F238E27FC236}">
              <a16:creationId xmlns:a16="http://schemas.microsoft.com/office/drawing/2014/main" id="{B705FA63-7D0A-4342-8F35-8394850DEF4E}"/>
            </a:ext>
          </a:extLst>
        </cdr:cNvPr>
        <cdr:cNvCxnSpPr/>
      </cdr:nvCxnSpPr>
      <cdr:spPr>
        <a:xfrm xmlns:a="http://schemas.openxmlformats.org/drawingml/2006/main">
          <a:off x="4977543" y="662256"/>
          <a:ext cx="0" cy="2230362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0.84068</cdr:x>
      <cdr:y>0.16723</cdr:y>
    </cdr:from>
    <cdr:to>
      <cdr:x>0.84068</cdr:x>
      <cdr:y>0.73063</cdr:y>
    </cdr:to>
    <cdr:cxnSp macro="">
      <cdr:nvCxnSpPr>
        <cdr:cNvPr id="22" name="Conector recto 21">
          <a:extLst xmlns:a="http://schemas.openxmlformats.org/drawingml/2006/main">
            <a:ext uri="{FF2B5EF4-FFF2-40B4-BE49-F238E27FC236}">
              <a16:creationId xmlns:a16="http://schemas.microsoft.com/office/drawing/2014/main" id="{F2C25511-8EB4-4DAD-A51D-847E8FDFF655}"/>
            </a:ext>
          </a:extLst>
        </cdr:cNvPr>
        <cdr:cNvCxnSpPr/>
      </cdr:nvCxnSpPr>
      <cdr:spPr>
        <a:xfrm xmlns:a="http://schemas.openxmlformats.org/drawingml/2006/main">
          <a:off x="4789863" y="662256"/>
          <a:ext cx="0" cy="223115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0.906</cdr:x>
      <cdr:y>0.16912</cdr:y>
    </cdr:from>
    <cdr:to>
      <cdr:x>0.906</cdr:x>
      <cdr:y>0.72909</cdr:y>
    </cdr:to>
    <cdr:cxnSp macro="">
      <cdr:nvCxnSpPr>
        <cdr:cNvPr id="23" name="Conector recto 22">
          <a:extLst xmlns:a="http://schemas.openxmlformats.org/drawingml/2006/main">
            <a:ext uri="{FF2B5EF4-FFF2-40B4-BE49-F238E27FC236}">
              <a16:creationId xmlns:a16="http://schemas.microsoft.com/office/drawing/2014/main" id="{F2C25511-8EB4-4DAD-A51D-847E8FDFF655}"/>
            </a:ext>
          </a:extLst>
        </cdr:cNvPr>
        <cdr:cNvCxnSpPr/>
      </cdr:nvCxnSpPr>
      <cdr:spPr>
        <a:xfrm xmlns:a="http://schemas.openxmlformats.org/drawingml/2006/main">
          <a:off x="5162032" y="669741"/>
          <a:ext cx="0" cy="221757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0.50581</cdr:x>
      <cdr:y>0.16641</cdr:y>
    </cdr:from>
    <cdr:to>
      <cdr:x>0.83946</cdr:x>
      <cdr:y>0.86667</cdr:y>
    </cdr:to>
    <cdr:cxnSp macro="">
      <cdr:nvCxnSpPr>
        <cdr:cNvPr id="30" name="Conector recto 29">
          <a:extLst xmlns:a="http://schemas.openxmlformats.org/drawingml/2006/main">
            <a:ext uri="{FF2B5EF4-FFF2-40B4-BE49-F238E27FC236}">
              <a16:creationId xmlns:a16="http://schemas.microsoft.com/office/drawing/2014/main" id="{BAAE4C4D-8F9D-45E1-B8B4-0CB91FC0E93C}"/>
            </a:ext>
          </a:extLst>
        </cdr:cNvPr>
        <cdr:cNvCxnSpPr/>
      </cdr:nvCxnSpPr>
      <cdr:spPr>
        <a:xfrm xmlns:a="http://schemas.openxmlformats.org/drawingml/2006/main" flipH="1">
          <a:off x="2881897" y="659009"/>
          <a:ext cx="1901015" cy="27731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0.776</cdr:x>
      <cdr:y>0.72742</cdr:y>
    </cdr:from>
    <cdr:to>
      <cdr:x>0.84118</cdr:x>
      <cdr:y>0.8665</cdr:y>
    </cdr:to>
    <cdr:cxnSp macro="">
      <cdr:nvCxnSpPr>
        <cdr:cNvPr id="35" name="Conector recto 34">
          <a:extLst xmlns:a="http://schemas.openxmlformats.org/drawingml/2006/main">
            <a:ext uri="{FF2B5EF4-FFF2-40B4-BE49-F238E27FC236}">
              <a16:creationId xmlns:a16="http://schemas.microsoft.com/office/drawing/2014/main" id="{80D3907F-BAA5-4B2F-B288-DA5742746985}"/>
            </a:ext>
          </a:extLst>
        </cdr:cNvPr>
        <cdr:cNvCxnSpPr/>
      </cdr:nvCxnSpPr>
      <cdr:spPr>
        <a:xfrm xmlns:a="http://schemas.openxmlformats.org/drawingml/2006/main" flipH="1">
          <a:off x="4421340" y="2880698"/>
          <a:ext cx="371372" cy="5507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0.57377</cdr:x>
      <cdr:y>0.16534</cdr:y>
    </cdr:from>
    <cdr:to>
      <cdr:x>0.90879</cdr:x>
      <cdr:y>0.8694</cdr:y>
    </cdr:to>
    <cdr:cxnSp macro="">
      <cdr:nvCxnSpPr>
        <cdr:cNvPr id="36" name="Conector recto 35">
          <a:extLst xmlns:a="http://schemas.openxmlformats.org/drawingml/2006/main">
            <a:ext uri="{FF2B5EF4-FFF2-40B4-BE49-F238E27FC236}">
              <a16:creationId xmlns:a16="http://schemas.microsoft.com/office/drawing/2014/main" id="{8546FCF1-2771-415E-9917-27C41A898A84}"/>
            </a:ext>
          </a:extLst>
        </cdr:cNvPr>
        <cdr:cNvCxnSpPr/>
      </cdr:nvCxnSpPr>
      <cdr:spPr>
        <a:xfrm xmlns:a="http://schemas.openxmlformats.org/drawingml/2006/main" flipH="1">
          <a:off x="3269108" y="654771"/>
          <a:ext cx="1908821" cy="278819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0.84008</cdr:x>
      <cdr:y>0.7257</cdr:y>
    </cdr:from>
    <cdr:to>
      <cdr:x>0.90525</cdr:x>
      <cdr:y>0.86478</cdr:y>
    </cdr:to>
    <cdr:cxnSp macro="">
      <cdr:nvCxnSpPr>
        <cdr:cNvPr id="37" name="Conector recto 36">
          <a:extLst xmlns:a="http://schemas.openxmlformats.org/drawingml/2006/main">
            <a:ext uri="{FF2B5EF4-FFF2-40B4-BE49-F238E27FC236}">
              <a16:creationId xmlns:a16="http://schemas.microsoft.com/office/drawing/2014/main" id="{2E433F41-24D6-4C72-A1C5-86D4992DC136}"/>
            </a:ext>
          </a:extLst>
        </cdr:cNvPr>
        <cdr:cNvCxnSpPr/>
      </cdr:nvCxnSpPr>
      <cdr:spPr>
        <a:xfrm xmlns:a="http://schemas.openxmlformats.org/drawingml/2006/main" flipH="1">
          <a:off x="4786445" y="2873886"/>
          <a:ext cx="371314" cy="5507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129540</xdr:colOff>
      <xdr:row>3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E2181E0-787B-4A40-87ED-9ABB12453EB3}"/>
                </a:ext>
              </a:extLst>
            </xdr:cNvPr>
            <xdr:cNvSpPr txBox="1"/>
          </xdr:nvSpPr>
          <xdr:spPr>
            <a:xfrm>
              <a:off x="186690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E2181E0-787B-4A40-87ED-9ABB12453EB3}"/>
                </a:ext>
              </a:extLst>
            </xdr:cNvPr>
            <xdr:cNvSpPr txBox="1"/>
          </xdr:nvSpPr>
          <xdr:spPr>
            <a:xfrm>
              <a:off x="186690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3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2ACC40E-3A7B-40D3-8335-67D31EDFD866}"/>
                </a:ext>
              </a:extLst>
            </xdr:cNvPr>
            <xdr:cNvSpPr txBox="1"/>
          </xdr:nvSpPr>
          <xdr:spPr>
            <a:xfrm>
              <a:off x="268224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2ACC40E-3A7B-40D3-8335-67D31EDFD866}"/>
                </a:ext>
              </a:extLst>
            </xdr:cNvPr>
            <xdr:cNvSpPr txBox="1"/>
          </xdr:nvSpPr>
          <xdr:spPr>
            <a:xfrm>
              <a:off x="268224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(𝑛</a:t>
              </a:r>
              <a:r>
                <a:rPr lang="es-MX" sz="1100" b="0" i="0">
                  <a:latin typeface="Cambria Math" panose="02040503050406030204" pitchFamily="18" charset="0"/>
                </a:rPr>
                <a:t>𝐷_</a:t>
              </a:r>
              <a:r>
                <a:rPr lang="es-MX" sz="1100" i="0">
                  <a:latin typeface="Cambria Math" panose="02040503050406030204" pitchFamily="18" charset="0"/>
                </a:rPr>
                <a:t>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137160</xdr:colOff>
      <xdr:row>13</xdr:row>
      <xdr:rowOff>3810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180D73B-5073-417D-99CA-C3AB7F964060}"/>
            </a:ext>
          </a:extLst>
        </xdr:cNvPr>
        <xdr:cNvSpPr txBox="1"/>
      </xdr:nvSpPr>
      <xdr:spPr>
        <a:xfrm>
          <a:off x="6629400" y="21983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4</xdr:col>
      <xdr:colOff>274320</xdr:colOff>
      <xdr:row>3</xdr:row>
      <xdr:rowOff>7620</xdr:rowOff>
    </xdr:from>
    <xdr:ext cx="350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A974D4D-1579-4482-B241-4C6E2AD8D533}"/>
                </a:ext>
              </a:extLst>
            </xdr:cNvPr>
            <xdr:cNvSpPr txBox="1"/>
          </xdr:nvSpPr>
          <xdr:spPr>
            <a:xfrm>
              <a:off x="3596640" y="373380"/>
              <a:ext cx="350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 baseline="-25000">
                        <a:latin typeface="Cambria Math" panose="02040503050406030204" pitchFamily="18" charset="0"/>
                      </a:rPr>
                      <m:t>𝑛</m:t>
                    </m:r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A974D4D-1579-4482-B241-4C6E2AD8D533}"/>
                </a:ext>
              </a:extLst>
            </xdr:cNvPr>
            <xdr:cNvSpPr txBox="1"/>
          </xdr:nvSpPr>
          <xdr:spPr>
            <a:xfrm>
              <a:off x="3596640" y="373380"/>
              <a:ext cx="350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 baseline="-25000">
                  <a:latin typeface="Cambria Math" panose="02040503050406030204" pitchFamily="18" charset="0"/>
                </a:rPr>
                <a:t>𝑛</a:t>
              </a:r>
              <a:r>
                <a:rPr lang="es-MX" sz="1100" i="0">
                  <a:latin typeface="Cambria Math" panose="02040503050406030204" pitchFamily="18" charset="0"/>
                </a:rPr>
                <a:t>𝑚_𝑥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251460</xdr:colOff>
      <xdr:row>3</xdr:row>
      <xdr:rowOff>19050</xdr:rowOff>
    </xdr:from>
    <xdr:ext cx="2759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E90A3A4-18B9-4F5C-BD8B-393D5318F596}"/>
                </a:ext>
              </a:extLst>
            </xdr:cNvPr>
            <xdr:cNvSpPr txBox="1"/>
          </xdr:nvSpPr>
          <xdr:spPr>
            <a:xfrm>
              <a:off x="4366260" y="384810"/>
              <a:ext cx="275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 baseline="-25000">
                        <a:latin typeface="Cambria Math" panose="02040503050406030204" pitchFamily="18" charset="0"/>
                      </a:rPr>
                      <m:t>𝑛</m:t>
                    </m:r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</m:acc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E90A3A4-18B9-4F5C-BD8B-393D5318F596}"/>
                </a:ext>
              </a:extLst>
            </xdr:cNvPr>
            <xdr:cNvSpPr txBox="1"/>
          </xdr:nvSpPr>
          <xdr:spPr>
            <a:xfrm>
              <a:off x="4366260" y="384810"/>
              <a:ext cx="275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 baseline="-25000">
                  <a:latin typeface="Cambria Math" panose="02040503050406030204" pitchFamily="18" charset="0"/>
                </a:rPr>
                <a:t>𝑛</a:t>
              </a:r>
              <a:r>
                <a:rPr lang="es-MX" sz="1100" i="0">
                  <a:latin typeface="Cambria Math" panose="02040503050406030204" pitchFamily="18" charset="0"/>
                </a:rPr>
                <a:t>𝑚 ̂_𝑥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129540</xdr:colOff>
      <xdr:row>42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02FBD43-5D8C-4CA9-BF7C-F0357B59FA72}"/>
                </a:ext>
              </a:extLst>
            </xdr:cNvPr>
            <xdr:cNvSpPr txBox="1"/>
          </xdr:nvSpPr>
          <xdr:spPr>
            <a:xfrm>
              <a:off x="186690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02FBD43-5D8C-4CA9-BF7C-F0357B59FA72}"/>
                </a:ext>
              </a:extLst>
            </xdr:cNvPr>
            <xdr:cNvSpPr txBox="1"/>
          </xdr:nvSpPr>
          <xdr:spPr>
            <a:xfrm>
              <a:off x="186690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42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4F3E2C8-56B6-492C-8AA8-213DAD939B11}"/>
                </a:ext>
              </a:extLst>
            </xdr:cNvPr>
            <xdr:cNvSpPr txBox="1"/>
          </xdr:nvSpPr>
          <xdr:spPr>
            <a:xfrm>
              <a:off x="268224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4F3E2C8-56B6-492C-8AA8-213DAD939B11}"/>
                </a:ext>
              </a:extLst>
            </xdr:cNvPr>
            <xdr:cNvSpPr txBox="1"/>
          </xdr:nvSpPr>
          <xdr:spPr>
            <a:xfrm>
              <a:off x="268224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(𝑛</a:t>
              </a:r>
              <a:r>
                <a:rPr lang="es-MX" sz="1100" b="0" i="0">
                  <a:latin typeface="Cambria Math" panose="02040503050406030204" pitchFamily="18" charset="0"/>
                </a:rPr>
                <a:t>𝐷_</a:t>
              </a:r>
              <a:r>
                <a:rPr lang="es-MX" sz="1100" i="0">
                  <a:latin typeface="Cambria Math" panose="02040503050406030204" pitchFamily="18" charset="0"/>
                </a:rPr>
                <a:t>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137160</xdr:colOff>
      <xdr:row>52</xdr:row>
      <xdr:rowOff>3810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C5FFF6D-74E5-42C7-ABD2-F799CD40BD68}"/>
            </a:ext>
          </a:extLst>
        </xdr:cNvPr>
        <xdr:cNvSpPr txBox="1"/>
      </xdr:nvSpPr>
      <xdr:spPr>
        <a:xfrm>
          <a:off x="6629400" y="22136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4</xdr:col>
      <xdr:colOff>274320</xdr:colOff>
      <xdr:row>42</xdr:row>
      <xdr:rowOff>7620</xdr:rowOff>
    </xdr:from>
    <xdr:ext cx="350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D090F90-4DDB-45CF-985C-6F0458159B1C}"/>
                </a:ext>
              </a:extLst>
            </xdr:cNvPr>
            <xdr:cNvSpPr txBox="1"/>
          </xdr:nvSpPr>
          <xdr:spPr>
            <a:xfrm>
              <a:off x="3596640" y="373380"/>
              <a:ext cx="350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 baseline="-25000">
                        <a:latin typeface="Cambria Math" panose="02040503050406030204" pitchFamily="18" charset="0"/>
                      </a:rPr>
                      <m:t>𝑛</m:t>
                    </m:r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D090F90-4DDB-45CF-985C-6F0458159B1C}"/>
                </a:ext>
              </a:extLst>
            </xdr:cNvPr>
            <xdr:cNvSpPr txBox="1"/>
          </xdr:nvSpPr>
          <xdr:spPr>
            <a:xfrm>
              <a:off x="3596640" y="373380"/>
              <a:ext cx="350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 baseline="-25000">
                  <a:latin typeface="Cambria Math" panose="02040503050406030204" pitchFamily="18" charset="0"/>
                </a:rPr>
                <a:t>𝑛</a:t>
              </a:r>
              <a:r>
                <a:rPr lang="es-MX" sz="1100" i="0">
                  <a:latin typeface="Cambria Math" panose="02040503050406030204" pitchFamily="18" charset="0"/>
                </a:rPr>
                <a:t>𝑚_𝑥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251460</xdr:colOff>
      <xdr:row>42</xdr:row>
      <xdr:rowOff>19050</xdr:rowOff>
    </xdr:from>
    <xdr:ext cx="2759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4D18150-D614-470E-A34C-E8FE8F3E1E5C}"/>
                </a:ext>
              </a:extLst>
            </xdr:cNvPr>
            <xdr:cNvSpPr txBox="1"/>
          </xdr:nvSpPr>
          <xdr:spPr>
            <a:xfrm>
              <a:off x="4366260" y="384810"/>
              <a:ext cx="275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 baseline="-25000">
                        <a:latin typeface="Cambria Math" panose="02040503050406030204" pitchFamily="18" charset="0"/>
                      </a:rPr>
                      <m:t>𝑛</m:t>
                    </m:r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</m:acc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4D18150-D614-470E-A34C-E8FE8F3E1E5C}"/>
                </a:ext>
              </a:extLst>
            </xdr:cNvPr>
            <xdr:cNvSpPr txBox="1"/>
          </xdr:nvSpPr>
          <xdr:spPr>
            <a:xfrm>
              <a:off x="4366260" y="384810"/>
              <a:ext cx="275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 baseline="-25000">
                  <a:latin typeface="Cambria Math" panose="02040503050406030204" pitchFamily="18" charset="0"/>
                </a:rPr>
                <a:t>𝑛</a:t>
              </a:r>
              <a:r>
                <a:rPr lang="es-MX" sz="1100" i="0">
                  <a:latin typeface="Cambria Math" panose="02040503050406030204" pitchFamily="18" charset="0"/>
                </a:rPr>
                <a:t>𝑚 ̂_𝑥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14</xdr:col>
      <xdr:colOff>129540</xdr:colOff>
      <xdr:row>3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48461FB-9E4A-49CF-A605-8ACA07C0628C}"/>
                </a:ext>
              </a:extLst>
            </xdr:cNvPr>
            <xdr:cNvSpPr txBox="1"/>
          </xdr:nvSpPr>
          <xdr:spPr>
            <a:xfrm>
              <a:off x="186690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48461FB-9E4A-49CF-A605-8ACA07C0628C}"/>
                </a:ext>
              </a:extLst>
            </xdr:cNvPr>
            <xdr:cNvSpPr txBox="1"/>
          </xdr:nvSpPr>
          <xdr:spPr>
            <a:xfrm>
              <a:off x="186690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152400</xdr:colOff>
      <xdr:row>3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C05F658-7950-4F98-B5C3-A56C07E2C3AA}"/>
                </a:ext>
              </a:extLst>
            </xdr:cNvPr>
            <xdr:cNvSpPr txBox="1"/>
          </xdr:nvSpPr>
          <xdr:spPr>
            <a:xfrm>
              <a:off x="268224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C05F658-7950-4F98-B5C3-A56C07E2C3AA}"/>
                </a:ext>
              </a:extLst>
            </xdr:cNvPr>
            <xdr:cNvSpPr txBox="1"/>
          </xdr:nvSpPr>
          <xdr:spPr>
            <a:xfrm>
              <a:off x="268224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(𝑛</a:t>
              </a:r>
              <a:r>
                <a:rPr lang="es-MX" sz="1100" b="0" i="0">
                  <a:latin typeface="Cambria Math" panose="02040503050406030204" pitchFamily="18" charset="0"/>
                </a:rPr>
                <a:t>𝐷_</a:t>
              </a:r>
              <a:r>
                <a:rPr lang="es-MX" sz="1100" i="0">
                  <a:latin typeface="Cambria Math" panose="02040503050406030204" pitchFamily="18" charset="0"/>
                </a:rPr>
                <a:t>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20</xdr:col>
      <xdr:colOff>137160</xdr:colOff>
      <xdr:row>13</xdr:row>
      <xdr:rowOff>3810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DA55546-E987-4EC7-A327-A4712D4452A4}"/>
            </a:ext>
          </a:extLst>
        </xdr:cNvPr>
        <xdr:cNvSpPr txBox="1"/>
      </xdr:nvSpPr>
      <xdr:spPr>
        <a:xfrm>
          <a:off x="6629400" y="22136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16</xdr:col>
      <xdr:colOff>274320</xdr:colOff>
      <xdr:row>3</xdr:row>
      <xdr:rowOff>7620</xdr:rowOff>
    </xdr:from>
    <xdr:ext cx="350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43F651F8-BBEA-4F7A-90F2-E8A94313E93D}"/>
                </a:ext>
              </a:extLst>
            </xdr:cNvPr>
            <xdr:cNvSpPr txBox="1"/>
          </xdr:nvSpPr>
          <xdr:spPr>
            <a:xfrm>
              <a:off x="3596640" y="373380"/>
              <a:ext cx="350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 baseline="-25000">
                        <a:latin typeface="Cambria Math" panose="02040503050406030204" pitchFamily="18" charset="0"/>
                      </a:rPr>
                      <m:t>𝑛</m:t>
                    </m:r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43F651F8-BBEA-4F7A-90F2-E8A94313E93D}"/>
                </a:ext>
              </a:extLst>
            </xdr:cNvPr>
            <xdr:cNvSpPr txBox="1"/>
          </xdr:nvSpPr>
          <xdr:spPr>
            <a:xfrm>
              <a:off x="3596640" y="373380"/>
              <a:ext cx="350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 baseline="-25000">
                  <a:latin typeface="Cambria Math" panose="02040503050406030204" pitchFamily="18" charset="0"/>
                </a:rPr>
                <a:t>𝑛</a:t>
              </a:r>
              <a:r>
                <a:rPr lang="es-MX" sz="1100" i="0">
                  <a:latin typeface="Cambria Math" panose="02040503050406030204" pitchFamily="18" charset="0"/>
                </a:rPr>
                <a:t>𝑚_𝑥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17</xdr:col>
      <xdr:colOff>251460</xdr:colOff>
      <xdr:row>3</xdr:row>
      <xdr:rowOff>19050</xdr:rowOff>
    </xdr:from>
    <xdr:ext cx="2759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80853E0-30AC-4BE2-9351-10740B2FF1EB}"/>
                </a:ext>
              </a:extLst>
            </xdr:cNvPr>
            <xdr:cNvSpPr txBox="1"/>
          </xdr:nvSpPr>
          <xdr:spPr>
            <a:xfrm>
              <a:off x="4366260" y="384810"/>
              <a:ext cx="275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 baseline="-25000">
                        <a:latin typeface="Cambria Math" panose="02040503050406030204" pitchFamily="18" charset="0"/>
                      </a:rPr>
                      <m:t>𝑛</m:t>
                    </m:r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</m:acc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80853E0-30AC-4BE2-9351-10740B2FF1EB}"/>
                </a:ext>
              </a:extLst>
            </xdr:cNvPr>
            <xdr:cNvSpPr txBox="1"/>
          </xdr:nvSpPr>
          <xdr:spPr>
            <a:xfrm>
              <a:off x="4366260" y="384810"/>
              <a:ext cx="275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 baseline="-25000">
                  <a:latin typeface="Cambria Math" panose="02040503050406030204" pitchFamily="18" charset="0"/>
                </a:rPr>
                <a:t>𝑛</a:t>
              </a:r>
              <a:r>
                <a:rPr lang="es-MX" sz="1100" i="0">
                  <a:latin typeface="Cambria Math" panose="02040503050406030204" pitchFamily="18" charset="0"/>
                </a:rPr>
                <a:t>𝑚 ̂_𝑥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14</xdr:col>
      <xdr:colOff>129540</xdr:colOff>
      <xdr:row>42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075A264-7FB6-4D84-BAA3-75DA87114C30}"/>
                </a:ext>
              </a:extLst>
            </xdr:cNvPr>
            <xdr:cNvSpPr txBox="1"/>
          </xdr:nvSpPr>
          <xdr:spPr>
            <a:xfrm>
              <a:off x="1067562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075A264-7FB6-4D84-BAA3-75DA87114C30}"/>
                </a:ext>
              </a:extLst>
            </xdr:cNvPr>
            <xdr:cNvSpPr txBox="1"/>
          </xdr:nvSpPr>
          <xdr:spPr>
            <a:xfrm>
              <a:off x="1067562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152400</xdr:colOff>
      <xdr:row>42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E72CFB42-7F8E-4BF2-936E-AEEEE0D1217D}"/>
                </a:ext>
              </a:extLst>
            </xdr:cNvPr>
            <xdr:cNvSpPr txBox="1"/>
          </xdr:nvSpPr>
          <xdr:spPr>
            <a:xfrm>
              <a:off x="1149096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E72CFB42-7F8E-4BF2-936E-AEEEE0D1217D}"/>
                </a:ext>
              </a:extLst>
            </xdr:cNvPr>
            <xdr:cNvSpPr txBox="1"/>
          </xdr:nvSpPr>
          <xdr:spPr>
            <a:xfrm>
              <a:off x="11490960" y="3657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(𝑛</a:t>
              </a:r>
              <a:r>
                <a:rPr lang="es-MX" sz="1100" b="0" i="0">
                  <a:latin typeface="Cambria Math" panose="02040503050406030204" pitchFamily="18" charset="0"/>
                </a:rPr>
                <a:t>𝐷_</a:t>
              </a:r>
              <a:r>
                <a:rPr lang="es-MX" sz="1100" i="0">
                  <a:latin typeface="Cambria Math" panose="02040503050406030204" pitchFamily="18" charset="0"/>
                </a:rPr>
                <a:t>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20</xdr:col>
      <xdr:colOff>137160</xdr:colOff>
      <xdr:row>52</xdr:row>
      <xdr:rowOff>3810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EE07A125-4557-495B-8D22-2C14AFFEECA5}"/>
            </a:ext>
          </a:extLst>
        </xdr:cNvPr>
        <xdr:cNvSpPr txBox="1"/>
      </xdr:nvSpPr>
      <xdr:spPr>
        <a:xfrm>
          <a:off x="15438120" y="22136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16</xdr:col>
      <xdr:colOff>274320</xdr:colOff>
      <xdr:row>42</xdr:row>
      <xdr:rowOff>7620</xdr:rowOff>
    </xdr:from>
    <xdr:ext cx="350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8F938CE-BDB3-44DE-838E-4E164635280C}"/>
                </a:ext>
              </a:extLst>
            </xdr:cNvPr>
            <xdr:cNvSpPr txBox="1"/>
          </xdr:nvSpPr>
          <xdr:spPr>
            <a:xfrm>
              <a:off x="12405360" y="373380"/>
              <a:ext cx="350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 baseline="-25000">
                        <a:latin typeface="Cambria Math" panose="02040503050406030204" pitchFamily="18" charset="0"/>
                      </a:rPr>
                      <m:t>𝑛</m:t>
                    </m:r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8F938CE-BDB3-44DE-838E-4E164635280C}"/>
                </a:ext>
              </a:extLst>
            </xdr:cNvPr>
            <xdr:cNvSpPr txBox="1"/>
          </xdr:nvSpPr>
          <xdr:spPr>
            <a:xfrm>
              <a:off x="12405360" y="373380"/>
              <a:ext cx="350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 baseline="-25000">
                  <a:latin typeface="Cambria Math" panose="02040503050406030204" pitchFamily="18" charset="0"/>
                </a:rPr>
                <a:t>𝑛</a:t>
              </a:r>
              <a:r>
                <a:rPr lang="es-MX" sz="1100" i="0">
                  <a:latin typeface="Cambria Math" panose="02040503050406030204" pitchFamily="18" charset="0"/>
                </a:rPr>
                <a:t>𝑚_𝑥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17</xdr:col>
      <xdr:colOff>251460</xdr:colOff>
      <xdr:row>42</xdr:row>
      <xdr:rowOff>19050</xdr:rowOff>
    </xdr:from>
    <xdr:ext cx="2759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23936630-D48E-4BCE-957B-6A2BC83DDD7E}"/>
                </a:ext>
              </a:extLst>
            </xdr:cNvPr>
            <xdr:cNvSpPr txBox="1"/>
          </xdr:nvSpPr>
          <xdr:spPr>
            <a:xfrm>
              <a:off x="13174980" y="384810"/>
              <a:ext cx="275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 baseline="-25000">
                        <a:latin typeface="Cambria Math" panose="02040503050406030204" pitchFamily="18" charset="0"/>
                      </a:rPr>
                      <m:t>𝑛</m:t>
                    </m:r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</m:acc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23936630-D48E-4BCE-957B-6A2BC83DDD7E}"/>
                </a:ext>
              </a:extLst>
            </xdr:cNvPr>
            <xdr:cNvSpPr txBox="1"/>
          </xdr:nvSpPr>
          <xdr:spPr>
            <a:xfrm>
              <a:off x="13174980" y="384810"/>
              <a:ext cx="275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 baseline="-25000">
                  <a:latin typeface="Cambria Math" panose="02040503050406030204" pitchFamily="18" charset="0"/>
                </a:rPr>
                <a:t>𝑛</a:t>
              </a:r>
              <a:r>
                <a:rPr lang="es-MX" sz="1100" i="0">
                  <a:latin typeface="Cambria Math" panose="02040503050406030204" pitchFamily="18" charset="0"/>
                </a:rPr>
                <a:t>𝑚 ̂_𝑥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148727</xdr:colOff>
      <xdr:row>89</xdr:row>
      <xdr:rowOff>6427</xdr:rowOff>
    </xdr:from>
    <xdr:ext cx="1525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F32870C-F532-4EEE-B1F4-725FCDE83358}"/>
                </a:ext>
              </a:extLst>
            </xdr:cNvPr>
            <xdr:cNvSpPr txBox="1"/>
          </xdr:nvSpPr>
          <xdr:spPr>
            <a:xfrm>
              <a:off x="1966510" y="16568451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F32870C-F532-4EEE-B1F4-725FCDE83358}"/>
                </a:ext>
              </a:extLst>
            </xdr:cNvPr>
            <xdr:cNvSpPr txBox="1"/>
          </xdr:nvSpPr>
          <xdr:spPr>
            <a:xfrm>
              <a:off x="1966510" y="16568451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𝑚 ̂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</xdr:col>
      <xdr:colOff>835446</xdr:colOff>
      <xdr:row>92</xdr:row>
      <xdr:rowOff>64266</xdr:rowOff>
    </xdr:from>
    <xdr:to>
      <xdr:col>6</xdr:col>
      <xdr:colOff>36723</xdr:colOff>
      <xdr:row>97</xdr:row>
      <xdr:rowOff>146892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9A49952-907F-4463-BA74-5C50B02EFA1E}"/>
            </a:ext>
          </a:extLst>
        </xdr:cNvPr>
        <xdr:cNvSpPr txBox="1"/>
      </xdr:nvSpPr>
      <xdr:spPr>
        <a:xfrm>
          <a:off x="4213952" y="17177133"/>
          <a:ext cx="2800120" cy="10557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Por</a:t>
          </a:r>
          <a:r>
            <a:rPr lang="es-MX" sz="1100" baseline="0"/>
            <a:t> lo que podemos notar en los grados de concentración es que la población parece ser de </a:t>
          </a:r>
          <a:r>
            <a:rPr lang="es-MX"/>
            <a:t> </a:t>
          </a:r>
          <a:r>
            <a:rPr lang="es-MX" sz="1100" b="1" baseline="0"/>
            <a:t>ALTA</a:t>
          </a:r>
          <a:r>
            <a:rPr lang="es-MX" sz="1100" baseline="0"/>
            <a:t> fecundidad el único detalle es que </a:t>
          </a:r>
          <a:r>
            <a:rPr lang="es-MX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GC</a:t>
          </a:r>
          <a:r>
            <a:rPr lang="es-MX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35 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es mayor al 15%.</a:t>
          </a:r>
          <a:endParaRPr lang="es-MX" sz="1100"/>
        </a:p>
      </xdr:txBody>
    </xdr:sp>
    <xdr:clientData/>
  </xdr:twoCellAnchor>
  <xdr:twoCellAnchor>
    <xdr:from>
      <xdr:col>1</xdr:col>
      <xdr:colOff>275422</xdr:colOff>
      <xdr:row>100</xdr:row>
      <xdr:rowOff>156073</xdr:rowOff>
    </xdr:from>
    <xdr:to>
      <xdr:col>5</xdr:col>
      <xdr:colOff>18361</xdr:colOff>
      <xdr:row>106</xdr:row>
      <xdr:rowOff>156073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3933EF-0440-49AC-ACA8-5787E3D103E6}"/>
            </a:ext>
          </a:extLst>
        </xdr:cNvPr>
        <xdr:cNvSpPr txBox="1"/>
      </xdr:nvSpPr>
      <xdr:spPr>
        <a:xfrm>
          <a:off x="1064964" y="18792940"/>
          <a:ext cx="4654626" cy="1101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0"/>
            <a:t>Edad</a:t>
          </a:r>
          <a:r>
            <a:rPr lang="es-MX" sz="1200" b="0" baseline="0"/>
            <a:t> cúspide</a:t>
          </a:r>
          <a:r>
            <a:rPr lang="es-MX" sz="1200" b="1" baseline="0"/>
            <a:t> </a:t>
          </a:r>
          <a:r>
            <a:rPr lang="es-MX" sz="1200" b="0" baseline="0"/>
            <a:t>=</a:t>
          </a:r>
          <a:r>
            <a:rPr lang="es-MX" sz="1200" b="1" baseline="0"/>
            <a:t> Temprana</a:t>
          </a:r>
          <a:endParaRPr lang="es-MX" sz="1100" b="0" baseline="0"/>
        </a:p>
        <a:p>
          <a:r>
            <a:rPr lang="es-MX" sz="1100" b="0" baseline="0"/>
            <a:t>Cuando revisamos nuestras tasas específicas de fecundidad notamos que las de 20 a 24 y 25 a 29 no estan muy alejadas, sin embargo no son iguales, y dado que la más alta es la de 20- 24 la tomaremos como edad cúspide temprana</a:t>
          </a:r>
          <a:endParaRPr lang="es-MX" sz="1200" b="0" baseline="0"/>
        </a:p>
      </xdr:txBody>
    </xdr:sp>
    <xdr:clientData/>
  </xdr:twoCellAnchor>
  <xdr:oneCellAnchor>
    <xdr:from>
      <xdr:col>9</xdr:col>
      <xdr:colOff>246043</xdr:colOff>
      <xdr:row>89</xdr:row>
      <xdr:rowOff>11936</xdr:rowOff>
    </xdr:from>
    <xdr:ext cx="1525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B79C8C8-9D34-4AE9-808A-17A9C4905E3E}"/>
                </a:ext>
              </a:extLst>
            </xdr:cNvPr>
            <xdr:cNvSpPr txBox="1"/>
          </xdr:nvSpPr>
          <xdr:spPr>
            <a:xfrm>
              <a:off x="9904163" y="16573960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B79C8C8-9D34-4AE9-808A-17A9C4905E3E}"/>
                </a:ext>
              </a:extLst>
            </xdr:cNvPr>
            <xdr:cNvSpPr txBox="1"/>
          </xdr:nvSpPr>
          <xdr:spPr>
            <a:xfrm>
              <a:off x="9904163" y="16573960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𝑚 ̂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10</xdr:col>
      <xdr:colOff>519630</xdr:colOff>
      <xdr:row>91</xdr:row>
      <xdr:rowOff>179943</xdr:rowOff>
    </xdr:from>
    <xdr:to>
      <xdr:col>12</xdr:col>
      <xdr:colOff>739967</xdr:colOff>
      <xdr:row>97</xdr:row>
      <xdr:rowOff>78955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CB1014B-E235-4E0F-87D8-DEE170F06381}"/>
            </a:ext>
          </a:extLst>
        </xdr:cNvPr>
        <xdr:cNvSpPr txBox="1"/>
      </xdr:nvSpPr>
      <xdr:spPr>
        <a:xfrm>
          <a:off x="11683389" y="17109196"/>
          <a:ext cx="2800120" cy="10557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Análogo al año 2005 tomaremos</a:t>
          </a:r>
          <a:r>
            <a:rPr lang="es-MX" sz="1100" baseline="0"/>
            <a:t> la población como de </a:t>
          </a:r>
          <a:r>
            <a:rPr lang="es-MX" sz="1100" b="1" baseline="0"/>
            <a:t>ALTA </a:t>
          </a:r>
          <a:r>
            <a:rPr lang="es-MX" sz="1100" b="0" baseline="0"/>
            <a:t>fecundidad pues el único inconveniente sigue siendo la concentracion de 35 a 50.</a:t>
          </a:r>
          <a:endParaRPr lang="es-MX" sz="1100"/>
        </a:p>
      </xdr:txBody>
    </xdr:sp>
    <xdr:clientData/>
  </xdr:twoCellAnchor>
  <xdr:twoCellAnchor>
    <xdr:from>
      <xdr:col>8</xdr:col>
      <xdr:colOff>14689</xdr:colOff>
      <xdr:row>100</xdr:row>
      <xdr:rowOff>124860</xdr:rowOff>
    </xdr:from>
    <xdr:to>
      <xdr:col>11</xdr:col>
      <xdr:colOff>716096</xdr:colOff>
      <xdr:row>106</xdr:row>
      <xdr:rowOff>146893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D305083-0BCD-493C-94DB-7E0FB4E25E55}"/>
            </a:ext>
          </a:extLst>
        </xdr:cNvPr>
        <xdr:cNvSpPr txBox="1"/>
      </xdr:nvSpPr>
      <xdr:spPr>
        <a:xfrm>
          <a:off x="8571123" y="18761727"/>
          <a:ext cx="4731744" cy="1123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0"/>
            <a:t>Edad</a:t>
          </a:r>
          <a:r>
            <a:rPr lang="es-MX" sz="1200" b="0" baseline="0"/>
            <a:t> cúspide</a:t>
          </a:r>
          <a:r>
            <a:rPr lang="es-MX" sz="1200" b="1" baseline="0"/>
            <a:t> </a:t>
          </a:r>
          <a:r>
            <a:rPr lang="es-MX" sz="1200" b="0" baseline="0"/>
            <a:t>=</a:t>
          </a:r>
          <a:r>
            <a:rPr lang="es-MX" sz="1200" b="1" baseline="0"/>
            <a:t> Temprana</a:t>
          </a:r>
        </a:p>
        <a:p>
          <a:r>
            <a:rPr lang="es-MX" sz="1100" b="0" baseline="0"/>
            <a:t>Las tasas específicas de fecundidad de 20 a 24 y de 25 a 29 del 2010 se reducieron simultaneamente, por lo que la diferencia entre ellas sigue siendo pequeña pero no son iguales, por lo que nuevamente tomaremos la edad cúspide como temprana</a:t>
          </a:r>
          <a:endParaRPr lang="es-MX" sz="1050" b="0" baseline="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148727</xdr:colOff>
      <xdr:row>89</xdr:row>
      <xdr:rowOff>6427</xdr:rowOff>
    </xdr:from>
    <xdr:ext cx="1525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206FE14-7A36-4077-9C43-D56267F2DC4E}"/>
                </a:ext>
              </a:extLst>
            </xdr:cNvPr>
            <xdr:cNvSpPr txBox="1"/>
          </xdr:nvSpPr>
          <xdr:spPr>
            <a:xfrm>
              <a:off x="1969907" y="16511347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206FE14-7A36-4077-9C43-D56267F2DC4E}"/>
                </a:ext>
              </a:extLst>
            </xdr:cNvPr>
            <xdr:cNvSpPr txBox="1"/>
          </xdr:nvSpPr>
          <xdr:spPr>
            <a:xfrm>
              <a:off x="1969907" y="16511347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𝑚 ̂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</xdr:col>
      <xdr:colOff>835446</xdr:colOff>
      <xdr:row>92</xdr:row>
      <xdr:rowOff>64266</xdr:rowOff>
    </xdr:from>
    <xdr:to>
      <xdr:col>6</xdr:col>
      <xdr:colOff>36723</xdr:colOff>
      <xdr:row>97</xdr:row>
      <xdr:rowOff>146892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C809446-9C5D-4C57-A083-7972AA09024E}"/>
            </a:ext>
          </a:extLst>
        </xdr:cNvPr>
        <xdr:cNvSpPr txBox="1"/>
      </xdr:nvSpPr>
      <xdr:spPr>
        <a:xfrm>
          <a:off x="4218726" y="17117826"/>
          <a:ext cx="2805537" cy="10427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Por</a:t>
          </a:r>
          <a:r>
            <a:rPr lang="es-MX" sz="1100" baseline="0"/>
            <a:t> lo que podemos notar en los grados de concentración es que la población parece ser de </a:t>
          </a:r>
          <a:r>
            <a:rPr lang="es-MX"/>
            <a:t> </a:t>
          </a:r>
          <a:r>
            <a:rPr lang="es-MX" sz="1100" b="1" baseline="0"/>
            <a:t>ALTA</a:t>
          </a:r>
          <a:r>
            <a:rPr lang="es-MX" sz="1100" baseline="0"/>
            <a:t> fecundidad el único detalle es que </a:t>
          </a:r>
          <a:r>
            <a:rPr lang="es-MX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GC</a:t>
          </a:r>
          <a:r>
            <a:rPr lang="es-MX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35 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es mayor al 15%.</a:t>
          </a:r>
          <a:endParaRPr lang="es-MX" sz="1100"/>
        </a:p>
      </xdr:txBody>
    </xdr:sp>
    <xdr:clientData/>
  </xdr:twoCellAnchor>
  <xdr:twoCellAnchor>
    <xdr:from>
      <xdr:col>1</xdr:col>
      <xdr:colOff>275422</xdr:colOff>
      <xdr:row>100</xdr:row>
      <xdr:rowOff>156073</xdr:rowOff>
    </xdr:from>
    <xdr:to>
      <xdr:col>5</xdr:col>
      <xdr:colOff>18361</xdr:colOff>
      <xdr:row>106</xdr:row>
      <xdr:rowOff>156073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86261EB-05F0-4FA5-8793-7A9C48BE9319}"/>
            </a:ext>
          </a:extLst>
        </xdr:cNvPr>
        <xdr:cNvSpPr txBox="1"/>
      </xdr:nvSpPr>
      <xdr:spPr>
        <a:xfrm>
          <a:off x="1067902" y="18718393"/>
          <a:ext cx="4657839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0"/>
            <a:t>Edad</a:t>
          </a:r>
          <a:r>
            <a:rPr lang="es-MX" sz="1200" b="0" baseline="0"/>
            <a:t> cúspide</a:t>
          </a:r>
          <a:r>
            <a:rPr lang="es-MX" sz="1200" b="1" baseline="0"/>
            <a:t> </a:t>
          </a:r>
          <a:r>
            <a:rPr lang="es-MX" sz="1200" b="0" baseline="0"/>
            <a:t>=</a:t>
          </a:r>
          <a:r>
            <a:rPr lang="es-MX" sz="1200" b="1" baseline="0"/>
            <a:t> Temprana</a:t>
          </a:r>
          <a:endParaRPr lang="es-MX" sz="1100" b="0" baseline="0"/>
        </a:p>
        <a:p>
          <a:r>
            <a:rPr lang="es-MX" sz="1100" b="0" baseline="0"/>
            <a:t>Cuando revisamos nuestras tasas específicas de fecundidad notamos que las de 20 a 24 y 25 a 29 no estan muy alejadas, sin embargo no son iguales, y dado que la más alta es la de 20- 24 la tomaremos como edad cúspide temprana</a:t>
          </a:r>
          <a:endParaRPr lang="es-MX" sz="1200" b="0" baseline="0"/>
        </a:p>
      </xdr:txBody>
    </xdr:sp>
    <xdr:clientData/>
  </xdr:twoCellAnchor>
  <xdr:oneCellAnchor>
    <xdr:from>
      <xdr:col>9</xdr:col>
      <xdr:colOff>246043</xdr:colOff>
      <xdr:row>89</xdr:row>
      <xdr:rowOff>11936</xdr:rowOff>
    </xdr:from>
    <xdr:ext cx="1525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4920FC2-DDA3-493E-9924-5B0E4C8B0D34}"/>
                </a:ext>
              </a:extLst>
            </xdr:cNvPr>
            <xdr:cNvSpPr txBox="1"/>
          </xdr:nvSpPr>
          <xdr:spPr>
            <a:xfrm>
              <a:off x="9923443" y="16516856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4920FC2-DDA3-493E-9924-5B0E4C8B0D34}"/>
                </a:ext>
              </a:extLst>
            </xdr:cNvPr>
            <xdr:cNvSpPr txBox="1"/>
          </xdr:nvSpPr>
          <xdr:spPr>
            <a:xfrm>
              <a:off x="9923443" y="16516856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𝑚 ̂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10</xdr:col>
      <xdr:colOff>519630</xdr:colOff>
      <xdr:row>91</xdr:row>
      <xdr:rowOff>179943</xdr:rowOff>
    </xdr:from>
    <xdr:to>
      <xdr:col>12</xdr:col>
      <xdr:colOff>739967</xdr:colOff>
      <xdr:row>97</xdr:row>
      <xdr:rowOff>78955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2C81852-7AA1-41F7-B97D-0DD4E1AB43B6}"/>
            </a:ext>
          </a:extLst>
        </xdr:cNvPr>
        <xdr:cNvSpPr txBox="1"/>
      </xdr:nvSpPr>
      <xdr:spPr>
        <a:xfrm>
          <a:off x="11698170" y="17050623"/>
          <a:ext cx="2803517" cy="1042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Análogo al año 2005 tomaremos</a:t>
          </a:r>
          <a:r>
            <a:rPr lang="es-MX" sz="1100" baseline="0"/>
            <a:t> la población como de </a:t>
          </a:r>
          <a:r>
            <a:rPr lang="es-MX" sz="1100" b="1" baseline="0"/>
            <a:t>ALTA </a:t>
          </a:r>
          <a:r>
            <a:rPr lang="es-MX" sz="1100" b="0" baseline="0"/>
            <a:t>fecundidad pues el único inconveniente sigue siendo la concentracion de 35 a 50.</a:t>
          </a:r>
          <a:endParaRPr lang="es-MX" sz="1100"/>
        </a:p>
      </xdr:txBody>
    </xdr:sp>
    <xdr:clientData/>
  </xdr:twoCellAnchor>
  <xdr:twoCellAnchor>
    <xdr:from>
      <xdr:col>8</xdr:col>
      <xdr:colOff>14689</xdr:colOff>
      <xdr:row>100</xdr:row>
      <xdr:rowOff>124860</xdr:rowOff>
    </xdr:from>
    <xdr:to>
      <xdr:col>11</xdr:col>
      <xdr:colOff>716096</xdr:colOff>
      <xdr:row>106</xdr:row>
      <xdr:rowOff>146893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9CAB209-619F-42E3-8E60-99E86290ECCD}"/>
            </a:ext>
          </a:extLst>
        </xdr:cNvPr>
        <xdr:cNvSpPr txBox="1"/>
      </xdr:nvSpPr>
      <xdr:spPr>
        <a:xfrm>
          <a:off x="8587189" y="18687180"/>
          <a:ext cx="4732387" cy="1119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0"/>
            <a:t>Edad</a:t>
          </a:r>
          <a:r>
            <a:rPr lang="es-MX" sz="1200" b="0" baseline="0"/>
            <a:t> cúspide</a:t>
          </a:r>
          <a:r>
            <a:rPr lang="es-MX" sz="1200" b="1" baseline="0"/>
            <a:t> </a:t>
          </a:r>
          <a:r>
            <a:rPr lang="es-MX" sz="1200" b="0" baseline="0"/>
            <a:t>=</a:t>
          </a:r>
          <a:r>
            <a:rPr lang="es-MX" sz="1200" b="1" baseline="0"/>
            <a:t> Temprana</a:t>
          </a:r>
        </a:p>
        <a:p>
          <a:r>
            <a:rPr lang="es-MX" sz="1100" b="0" baseline="0"/>
            <a:t>Las tasas específicas de fecundidad de 20 a 24 y de 25 a 29 del 2010 se reducieron simultaneamente, por lo que la diferencia entre ellas sigue siendo pequeña pero no son iguales, por lo que nuevamente tomaremos la edad cúspide como temprana</a:t>
          </a:r>
          <a:endParaRPr lang="es-MX" sz="1050" b="0" baseline="0"/>
        </a:p>
      </xdr:txBody>
    </xdr:sp>
    <xdr:clientData/>
  </xdr:twoCellAnchor>
  <xdr:twoCellAnchor>
    <xdr:from>
      <xdr:col>1</xdr:col>
      <xdr:colOff>281940</xdr:colOff>
      <xdr:row>108</xdr:row>
      <xdr:rowOff>118110</xdr:rowOff>
    </xdr:from>
    <xdr:to>
      <xdr:col>4</xdr:col>
      <xdr:colOff>967740</xdr:colOff>
      <xdr:row>123</xdr:row>
      <xdr:rowOff>118110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5AD56FF-3A9F-48E1-8C0A-A2908C740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108</xdr:row>
      <xdr:rowOff>0</xdr:rowOff>
    </xdr:from>
    <xdr:to>
      <xdr:col>11</xdr:col>
      <xdr:colOff>541020</xdr:colOff>
      <xdr:row>123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B7509E-9AE7-4F92-87C3-5CD2394A1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0</xdr:rowOff>
    </xdr:from>
    <xdr:to>
      <xdr:col>19</xdr:col>
      <xdr:colOff>784860</xdr:colOff>
      <xdr:row>103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A04C67-EE0A-442A-9024-1AE7540EC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609600</xdr:colOff>
      <xdr:row>8</xdr:row>
      <xdr:rowOff>7620</xdr:rowOff>
    </xdr:from>
    <xdr:to>
      <xdr:col>51</xdr:col>
      <xdr:colOff>762000</xdr:colOff>
      <xdr:row>48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F139D-67EC-44E5-8894-C777BE876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135755</xdr:colOff>
      <xdr:row>26</xdr:row>
      <xdr:rowOff>54605</xdr:rowOff>
    </xdr:from>
    <xdr:to>
      <xdr:col>36</xdr:col>
      <xdr:colOff>176394</xdr:colOff>
      <xdr:row>110</xdr:row>
      <xdr:rowOff>92705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FB2C12-1EBD-493F-AA02-02C55E1E0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22860</xdr:rowOff>
    </xdr:from>
    <xdr:to>
      <xdr:col>19</xdr:col>
      <xdr:colOff>762000</xdr:colOff>
      <xdr:row>99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514343-27FC-4CCF-BDB5-CACFE38B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45720</xdr:colOff>
      <xdr:row>7</xdr:row>
      <xdr:rowOff>25400</xdr:rowOff>
    </xdr:from>
    <xdr:to>
      <xdr:col>55</xdr:col>
      <xdr:colOff>25400</xdr:colOff>
      <xdr:row>47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71D1A7-2C7F-4353-843B-945AADF2C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617220</xdr:colOff>
      <xdr:row>24</xdr:row>
      <xdr:rowOff>102870</xdr:rowOff>
    </xdr:from>
    <xdr:to>
      <xdr:col>37</xdr:col>
      <xdr:colOff>635000</xdr:colOff>
      <xdr:row>100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E71395-D0EF-4004-A8F2-05ED49CCF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38100</xdr:rowOff>
    </xdr:from>
    <xdr:to>
      <xdr:col>14</xdr:col>
      <xdr:colOff>571500</xdr:colOff>
      <xdr:row>16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508367A-6874-4160-A37C-3442CB4AA903}"/>
            </a:ext>
          </a:extLst>
        </xdr:cNvPr>
        <xdr:cNvSpPr txBox="1"/>
      </xdr:nvSpPr>
      <xdr:spPr>
        <a:xfrm>
          <a:off x="7200900" y="586740"/>
          <a:ext cx="4533900" cy="2446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>
              <a:latin typeface="+mj-lt"/>
            </a:rPr>
            <a:t>Interpretación del Indice de Whipple:</a:t>
          </a:r>
        </a:p>
        <a:p>
          <a:endParaRPr lang="es-MX" sz="1400">
            <a:latin typeface="+mj-lt"/>
          </a:endParaRPr>
        </a:p>
        <a:p>
          <a:r>
            <a:rPr lang="es-MX" sz="1200">
              <a:latin typeface="+mn-lt"/>
            </a:rPr>
            <a:t>Como se puede observar nuestra información está en un rango </a:t>
          </a:r>
          <a:r>
            <a:rPr lang="es-MX" sz="1200" b="1">
              <a:latin typeface="+mn-lt"/>
            </a:rPr>
            <a:t>regular</a:t>
          </a:r>
          <a:r>
            <a:rPr lang="es-MX" sz="1200">
              <a:latin typeface="+mn-lt"/>
            </a:rPr>
            <a:t>, es decir que las personas de Querétaro optan</a:t>
          </a:r>
          <a:r>
            <a:rPr lang="es-MX" sz="1200" baseline="0">
              <a:latin typeface="+mn-lt"/>
            </a:rPr>
            <a:t> por redondear su edad a números que terminan en 0 o en 5, esto puede afectar la verácidad de nuestros datos.</a:t>
          </a:r>
        </a:p>
        <a:p>
          <a:r>
            <a:rPr lang="es-MX" sz="1200" baseline="0">
              <a:latin typeface="+mn-lt"/>
            </a:rPr>
            <a:t>Ahora bien, un dato que es importante recalcar es que aún siendo regular nuestro indice mejoró con el paso de los años y que más personas al momento del registrarse en el censo dieron su edad con más precisión. </a:t>
          </a:r>
          <a:endParaRPr lang="es-MX" sz="1200"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4</xdr:row>
      <xdr:rowOff>28575</xdr:rowOff>
    </xdr:from>
    <xdr:to>
      <xdr:col>18</xdr:col>
      <xdr:colOff>323850</xdr:colOff>
      <xdr:row>16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B7FCCBA-1158-4DC7-BD25-C723DCB95253}"/>
            </a:ext>
          </a:extLst>
        </xdr:cNvPr>
        <xdr:cNvSpPr txBox="1"/>
      </xdr:nvSpPr>
      <xdr:spPr>
        <a:xfrm>
          <a:off x="9410700" y="752475"/>
          <a:ext cx="517207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>
              <a:latin typeface="+mj-lt"/>
            </a:rPr>
            <a:t>Interpretación del indice de Myers.</a:t>
          </a:r>
        </a:p>
        <a:p>
          <a:endParaRPr lang="es-MX" sz="1100"/>
        </a:p>
        <a:p>
          <a:r>
            <a:rPr lang="es-MX" sz="1200"/>
            <a:t>Como</a:t>
          </a:r>
          <a:r>
            <a:rPr lang="es-MX" sz="1200" baseline="0"/>
            <a:t> era de esperarse en todos los casos se nota una fuerte preferencia por redondear edades que terminan en 0 y en 5, sin embargo notamos que las edades que terminan en 2, 3 (en el caso del censo) y el 8 (en el conteo) son bastante repetitivos, teniendo así una clara diferencia con el rechazo que genera establecer edades que terminan en 1, en 7 o en 9.</a:t>
          </a:r>
        </a:p>
        <a:p>
          <a:r>
            <a:rPr lang="es-MX" sz="1200" baseline="0"/>
            <a:t>Por último, creo que es bastante evidente que la veracidad y confiabilidad de los datos mejoraron del Conteo al Censo.</a:t>
          </a:r>
          <a:endParaRPr lang="es-MX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99060</xdr:colOff>
      <xdr:row>7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83DCB85-FC89-4E7A-8622-A17D1459EA2A}"/>
                </a:ext>
              </a:extLst>
            </xdr:cNvPr>
            <xdr:cNvSpPr txBox="1"/>
          </xdr:nvSpPr>
          <xdr:spPr>
            <a:xfrm>
              <a:off x="14698980" y="12801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83DCB85-FC89-4E7A-8622-A17D1459EA2A}"/>
                </a:ext>
              </a:extLst>
            </xdr:cNvPr>
            <xdr:cNvSpPr txBox="1"/>
          </xdr:nvSpPr>
          <xdr:spPr>
            <a:xfrm>
              <a:off x="14698980" y="12801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19</xdr:col>
      <xdr:colOff>129540</xdr:colOff>
      <xdr:row>7</xdr:row>
      <xdr:rowOff>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212A199-168C-42D7-BF7D-8B9B59031CD1}"/>
                </a:ext>
              </a:extLst>
            </xdr:cNvPr>
            <xdr:cNvSpPr txBox="1"/>
          </xdr:nvSpPr>
          <xdr:spPr>
            <a:xfrm>
              <a:off x="20513040" y="12801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212A199-168C-42D7-BF7D-8B9B59031CD1}"/>
                </a:ext>
              </a:extLst>
            </xdr:cNvPr>
            <xdr:cNvSpPr txBox="1"/>
          </xdr:nvSpPr>
          <xdr:spPr>
            <a:xfrm>
              <a:off x="20513040" y="12801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236220</xdr:colOff>
      <xdr:row>7</xdr:row>
      <xdr:rowOff>7620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FA88F28-8D7D-448E-BB3F-39BB245EA686}"/>
                </a:ext>
              </a:extLst>
            </xdr:cNvPr>
            <xdr:cNvSpPr txBox="1"/>
          </xdr:nvSpPr>
          <xdr:spPr>
            <a:xfrm>
              <a:off x="2857500" y="128778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FA88F28-8D7D-448E-BB3F-39BB245EA686}"/>
                </a:ext>
              </a:extLst>
            </xdr:cNvPr>
            <xdr:cNvSpPr txBox="1"/>
          </xdr:nvSpPr>
          <xdr:spPr>
            <a:xfrm>
              <a:off x="2857500" y="128778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129540</xdr:colOff>
      <xdr:row>7</xdr:row>
      <xdr:rowOff>7620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4C624BC-3FE9-4059-ACD1-6CD47005F0DE}"/>
                </a:ext>
              </a:extLst>
            </xdr:cNvPr>
            <xdr:cNvSpPr txBox="1"/>
          </xdr:nvSpPr>
          <xdr:spPr>
            <a:xfrm>
              <a:off x="8709660" y="128778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4C624BC-3FE9-4059-ACD1-6CD47005F0DE}"/>
                </a:ext>
              </a:extLst>
            </xdr:cNvPr>
            <xdr:cNvSpPr txBox="1"/>
          </xdr:nvSpPr>
          <xdr:spPr>
            <a:xfrm>
              <a:off x="8709660" y="128778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281940</xdr:colOff>
      <xdr:row>6</xdr:row>
      <xdr:rowOff>167640</xdr:rowOff>
    </xdr:from>
    <xdr:ext cx="342900" cy="213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D39C94D-423A-4B39-BC4C-0FB30858E2B2}"/>
                </a:ext>
              </a:extLst>
            </xdr:cNvPr>
            <xdr:cNvSpPr txBox="1"/>
          </xdr:nvSpPr>
          <xdr:spPr>
            <a:xfrm>
              <a:off x="3848100" y="1264920"/>
              <a:ext cx="342900" cy="21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acc>
                          <m:accPr>
                            <m:chr m:val="̅"/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acc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D39C94D-423A-4B39-BC4C-0FB30858E2B2}"/>
                </a:ext>
              </a:extLst>
            </xdr:cNvPr>
            <xdr:cNvSpPr txBox="1"/>
          </xdr:nvSpPr>
          <xdr:spPr>
            <a:xfrm>
              <a:off x="3848100" y="1264920"/>
              <a:ext cx="342900" cy="21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 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220980</xdr:colOff>
      <xdr:row>6</xdr:row>
      <xdr:rowOff>175260</xdr:rowOff>
    </xdr:from>
    <xdr:ext cx="342900" cy="213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CA2C2C4-FFC0-4BA9-9003-021846F88273}"/>
                </a:ext>
              </a:extLst>
            </xdr:cNvPr>
            <xdr:cNvSpPr txBox="1"/>
          </xdr:nvSpPr>
          <xdr:spPr>
            <a:xfrm>
              <a:off x="9593580" y="1272540"/>
              <a:ext cx="342900" cy="21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acc>
                          <m:accPr>
                            <m:chr m:val="̅"/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acc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CA2C2C4-FFC0-4BA9-9003-021846F88273}"/>
                </a:ext>
              </a:extLst>
            </xdr:cNvPr>
            <xdr:cNvSpPr txBox="1"/>
          </xdr:nvSpPr>
          <xdr:spPr>
            <a:xfrm>
              <a:off x="9593580" y="1272540"/>
              <a:ext cx="342900" cy="21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 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236220</xdr:colOff>
      <xdr:row>6</xdr:row>
      <xdr:rowOff>175260</xdr:rowOff>
    </xdr:from>
    <xdr:ext cx="342900" cy="213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5FC244E-831E-4748-B24D-C779989DE7FA}"/>
                </a:ext>
              </a:extLst>
            </xdr:cNvPr>
            <xdr:cNvSpPr txBox="1"/>
          </xdr:nvSpPr>
          <xdr:spPr>
            <a:xfrm>
              <a:off x="15407640" y="1272540"/>
              <a:ext cx="342900" cy="21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acc>
                          <m:accPr>
                            <m:chr m:val="̅"/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acc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5FC244E-831E-4748-B24D-C779989DE7FA}"/>
                </a:ext>
              </a:extLst>
            </xdr:cNvPr>
            <xdr:cNvSpPr txBox="1"/>
          </xdr:nvSpPr>
          <xdr:spPr>
            <a:xfrm>
              <a:off x="15407640" y="1272540"/>
              <a:ext cx="342900" cy="21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 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20</xdr:col>
      <xdr:colOff>236220</xdr:colOff>
      <xdr:row>6</xdr:row>
      <xdr:rowOff>175260</xdr:rowOff>
    </xdr:from>
    <xdr:ext cx="342900" cy="213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C21E38D-80E1-449F-B4E6-F9B0E8059F59}"/>
                </a:ext>
              </a:extLst>
            </xdr:cNvPr>
            <xdr:cNvSpPr txBox="1"/>
          </xdr:nvSpPr>
          <xdr:spPr>
            <a:xfrm>
              <a:off x="21191220" y="1272540"/>
              <a:ext cx="342900" cy="21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acc>
                          <m:accPr>
                            <m:chr m:val="̅"/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acc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C21E38D-80E1-449F-B4E6-F9B0E8059F59}"/>
                </a:ext>
              </a:extLst>
            </xdr:cNvPr>
            <xdr:cNvSpPr txBox="1"/>
          </xdr:nvSpPr>
          <xdr:spPr>
            <a:xfrm>
              <a:off x="21191220" y="1272540"/>
              <a:ext cx="342900" cy="21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  ̅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137160</xdr:colOff>
      <xdr:row>9</xdr:row>
      <xdr:rowOff>22860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8B4DAB5-5BDE-43ED-8A8C-F2E84C01C117}"/>
                </a:ext>
              </a:extLst>
            </xdr:cNvPr>
            <xdr:cNvSpPr txBox="1"/>
          </xdr:nvSpPr>
          <xdr:spPr>
            <a:xfrm>
              <a:off x="1722120" y="166878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8B4DAB5-5BDE-43ED-8A8C-F2E84C01C117}"/>
                </a:ext>
              </a:extLst>
            </xdr:cNvPr>
            <xdr:cNvSpPr txBox="1"/>
          </xdr:nvSpPr>
          <xdr:spPr>
            <a:xfrm>
              <a:off x="1722120" y="166878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9</xdr:row>
      <xdr:rowOff>15240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DF5E446-2EBB-4289-8EAC-3701280D703A}"/>
                </a:ext>
              </a:extLst>
            </xdr:cNvPr>
            <xdr:cNvSpPr txBox="1"/>
          </xdr:nvSpPr>
          <xdr:spPr>
            <a:xfrm>
              <a:off x="2506980" y="16611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DF5E446-2EBB-4289-8EAC-3701280D703A}"/>
                </a:ext>
              </a:extLst>
            </xdr:cNvPr>
            <xdr:cNvSpPr txBox="1"/>
          </xdr:nvSpPr>
          <xdr:spPr>
            <a:xfrm>
              <a:off x="2506980" y="16611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17</xdr:col>
      <xdr:colOff>137160</xdr:colOff>
      <xdr:row>9</xdr:row>
      <xdr:rowOff>22860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576CF96-B98A-496A-8451-46AB38BB2CFC}"/>
                </a:ext>
              </a:extLst>
            </xdr:cNvPr>
            <xdr:cNvSpPr txBox="1"/>
          </xdr:nvSpPr>
          <xdr:spPr>
            <a:xfrm>
              <a:off x="1722120" y="166878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576CF96-B98A-496A-8451-46AB38BB2CFC}"/>
                </a:ext>
              </a:extLst>
            </xdr:cNvPr>
            <xdr:cNvSpPr txBox="1"/>
          </xdr:nvSpPr>
          <xdr:spPr>
            <a:xfrm>
              <a:off x="1722120" y="166878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18</xdr:col>
      <xdr:colOff>129540</xdr:colOff>
      <xdr:row>9</xdr:row>
      <xdr:rowOff>15240</xdr:rowOff>
    </xdr:from>
    <xdr:ext cx="59436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ADAFA4-918E-4525-A727-E89DC5A7015F}"/>
                </a:ext>
              </a:extLst>
            </xdr:cNvPr>
            <xdr:cNvSpPr txBox="1"/>
          </xdr:nvSpPr>
          <xdr:spPr>
            <a:xfrm>
              <a:off x="2506980" y="16611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ADAFA4-918E-4525-A727-E89DC5A7015F}"/>
                </a:ext>
              </a:extLst>
            </xdr:cNvPr>
            <xdr:cNvSpPr txBox="1"/>
          </xdr:nvSpPr>
          <xdr:spPr>
            <a:xfrm>
              <a:off x="2506980" y="1661160"/>
              <a:ext cx="5943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(𝑛𝑃_𝑥 ) ̅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5</xdr:col>
      <xdr:colOff>352425</xdr:colOff>
      <xdr:row>82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D7C81C-171D-468D-9EFD-12156D4F6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352425</xdr:colOff>
      <xdr:row>42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B81D22-16DB-4928-AD7E-D35575551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5</xdr:col>
      <xdr:colOff>352425</xdr:colOff>
      <xdr:row>122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60314-B38C-4AAE-ACC8-5A74866C8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5</xdr:col>
      <xdr:colOff>352425</xdr:colOff>
      <xdr:row>206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C43664-FF23-41E7-A915-DF3A2FE31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0.86872</cdr:x>
      <cdr:y>0.72477</cdr:y>
    </cdr:from>
    <cdr:to>
      <cdr:x>0.86872</cdr:x>
      <cdr:y>0.87183</cdr:y>
    </cdr:to>
    <cdr:cxnSp macro="">
      <cdr:nvCxnSpPr>
        <cdr:cNvPr id="6" name="Conector recto 5">
          <a:extLst xmlns:a="http://schemas.openxmlformats.org/drawingml/2006/main">
            <a:ext uri="{FF2B5EF4-FFF2-40B4-BE49-F238E27FC236}">
              <a16:creationId xmlns:a16="http://schemas.microsoft.com/office/drawing/2014/main" id="{B705FA63-7D0A-4342-8F35-8394850DEF4E}"/>
            </a:ext>
          </a:extLst>
        </cdr:cNvPr>
        <cdr:cNvCxnSpPr/>
      </cdr:nvCxnSpPr>
      <cdr:spPr>
        <a:xfrm xmlns:a="http://schemas.openxmlformats.org/drawingml/2006/main">
          <a:off x="4683393" y="2271230"/>
          <a:ext cx="0" cy="46084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0.83578</cdr:x>
      <cdr:y>0.72497</cdr:y>
    </cdr:from>
    <cdr:to>
      <cdr:x>0.83578</cdr:x>
      <cdr:y>0.87203</cdr:y>
    </cdr:to>
    <cdr:cxnSp macro="">
      <cdr:nvCxnSpPr>
        <cdr:cNvPr id="22" name="Conector recto 21">
          <a:extLst xmlns:a="http://schemas.openxmlformats.org/drawingml/2006/main">
            <a:ext uri="{FF2B5EF4-FFF2-40B4-BE49-F238E27FC236}">
              <a16:creationId xmlns:a16="http://schemas.microsoft.com/office/drawing/2014/main" id="{F2C25511-8EB4-4DAD-A51D-847E8FDFF655}"/>
            </a:ext>
          </a:extLst>
        </cdr:cNvPr>
        <cdr:cNvCxnSpPr/>
      </cdr:nvCxnSpPr>
      <cdr:spPr>
        <a:xfrm xmlns:a="http://schemas.openxmlformats.org/drawingml/2006/main">
          <a:off x="4505808" y="2271857"/>
          <a:ext cx="0" cy="46084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0.9011</cdr:x>
      <cdr:y>0.72343</cdr:y>
    </cdr:from>
    <cdr:to>
      <cdr:x>0.9011</cdr:x>
      <cdr:y>0.87049</cdr:y>
    </cdr:to>
    <cdr:cxnSp macro="">
      <cdr:nvCxnSpPr>
        <cdr:cNvPr id="23" name="Conector recto 22">
          <a:extLst xmlns:a="http://schemas.openxmlformats.org/drawingml/2006/main">
            <a:ext uri="{FF2B5EF4-FFF2-40B4-BE49-F238E27FC236}">
              <a16:creationId xmlns:a16="http://schemas.microsoft.com/office/drawing/2014/main" id="{F2C25511-8EB4-4DAD-A51D-847E8FDFF655}"/>
            </a:ext>
          </a:extLst>
        </cdr:cNvPr>
        <cdr:cNvCxnSpPr/>
      </cdr:nvCxnSpPr>
      <cdr:spPr>
        <a:xfrm xmlns:a="http://schemas.openxmlformats.org/drawingml/2006/main">
          <a:off x="4857958" y="2267031"/>
          <a:ext cx="0" cy="46084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0.76811</cdr:x>
      <cdr:y>0.72477</cdr:y>
    </cdr:from>
    <cdr:to>
      <cdr:x>0.83493</cdr:x>
      <cdr:y>0.86563</cdr:y>
    </cdr:to>
    <cdr:cxnSp macro="">
      <cdr:nvCxnSpPr>
        <cdr:cNvPr id="28" name="Conector recto 27">
          <a:extLst xmlns:a="http://schemas.openxmlformats.org/drawingml/2006/main">
            <a:ext uri="{FF2B5EF4-FFF2-40B4-BE49-F238E27FC236}">
              <a16:creationId xmlns:a16="http://schemas.microsoft.com/office/drawing/2014/main" id="{A66F665C-C4B9-4571-9F90-D39B195DF255}"/>
            </a:ext>
          </a:extLst>
        </cdr:cNvPr>
        <cdr:cNvCxnSpPr/>
      </cdr:nvCxnSpPr>
      <cdr:spPr>
        <a:xfrm xmlns:a="http://schemas.openxmlformats.org/drawingml/2006/main" flipH="1">
          <a:off x="4140989" y="2271230"/>
          <a:ext cx="360237" cy="4414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0.83418</cdr:x>
      <cdr:y>0.72786</cdr:y>
    </cdr:from>
    <cdr:to>
      <cdr:x>0.901</cdr:x>
      <cdr:y>0.86873</cdr:y>
    </cdr:to>
    <cdr:cxnSp macro="">
      <cdr:nvCxnSpPr>
        <cdr:cNvPr id="31" name="Conector recto 30">
          <a:extLst xmlns:a="http://schemas.openxmlformats.org/drawingml/2006/main">
            <a:ext uri="{FF2B5EF4-FFF2-40B4-BE49-F238E27FC236}">
              <a16:creationId xmlns:a16="http://schemas.microsoft.com/office/drawing/2014/main" id="{A344912A-E4EB-4D1F-AFC9-71AC8FAB54DC}"/>
            </a:ext>
          </a:extLst>
        </cdr:cNvPr>
        <cdr:cNvCxnSpPr/>
      </cdr:nvCxnSpPr>
      <cdr:spPr>
        <a:xfrm xmlns:a="http://schemas.openxmlformats.org/drawingml/2006/main" flipH="1">
          <a:off x="4497182" y="2280913"/>
          <a:ext cx="360237" cy="44144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BCC44F-9FB7-4020-87EE-5FB6176DC6A2}" name="Tabla2" displayName="Tabla2" ref="A3:F105" totalsRowShown="0" headerRowDxfId="26">
  <autoFilter ref="A3:F105" xr:uid="{687F543F-D1C5-4330-9D9D-AA95642CC567}"/>
  <tableColumns count="6">
    <tableColumn id="1" xr3:uid="{5C167BD2-878F-47D0-BA50-6E6082D7A31C}" name="Edades" dataDxfId="25"/>
    <tableColumn id="2" xr3:uid="{FC6515D5-D25F-4491-B2EB-C1412A42D6E0}" name="Hombre" dataDxfId="24">
      <calculatedColumnFormula>-C4</calculatedColumnFormula>
    </tableColumn>
    <tableColumn id="3" xr3:uid="{4892B5EA-63CF-4758-8A24-CD5404D98DA2}" name="Hombre2" dataDxfId="23"/>
    <tableColumn id="4" xr3:uid="{5FDB092B-35CD-402A-A796-00215D8E2B69}" name="Mujer" dataDxfId="22"/>
    <tableColumn id="5" xr3:uid="{E19AD0C8-091E-4A3A-B855-EBFFAFBA571C}" name="Hombres" dataDxfId="21" dataCellStyle="Porcentaje">
      <calculatedColumnFormula>B4/$E$106</calculatedColumnFormula>
    </tableColumn>
    <tableColumn id="6" xr3:uid="{129089F3-C6C6-47BE-A32D-F9E2C815B3BC}" name="Mujeres" dataDxfId="20" dataCellStyle="Porcentaje">
      <calculatedColumnFormula>D4/$E$106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A79A57-A2FD-442C-BCDA-7C2C3142E698}" name="Tabla3" displayName="Tabla3" ref="AO3:AT6" totalsRowShown="0">
  <autoFilter ref="AO3:AT6" xr:uid="{A4006928-ED38-4F53-9E43-AD57AD822925}"/>
  <tableColumns count="6">
    <tableColumn id="1" xr3:uid="{2BBBE809-EE24-44B9-B511-DBF2871763FC}" name="Edades"/>
    <tableColumn id="2" xr3:uid="{599BC695-7D5B-4848-9D52-E3E090237507}" name="Hombre" dataDxfId="19">
      <calculatedColumnFormula>-1*AQ4</calculatedColumnFormula>
    </tableColumn>
    <tableColumn id="3" xr3:uid="{160AE10B-85DC-420C-A2F1-24CB80BC483B}" name="Hombres2"/>
    <tableColumn id="4" xr3:uid="{DCDC883F-4618-4A37-A2A8-9583069CC333}" name="Mujer"/>
    <tableColumn id="5" xr3:uid="{35BAB82E-9B76-43B6-94E3-29F18B61AE41}" name="Hombres" dataDxfId="18">
      <calculatedColumnFormula>AP4/$E$106</calculatedColumnFormula>
    </tableColumn>
    <tableColumn id="6" xr3:uid="{372187F6-6F41-4289-9984-A00F9F6AAB09}" name="Mujeres " dataDxfId="17">
      <calculatedColumnFormula>AR4/$E$106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A4437D-3B2E-4E10-A746-AED85DAB533B}" name="Tabla6" displayName="Tabla6" ref="X3:AC22" totalsRowShown="0">
  <autoFilter ref="X3:AC22" xr:uid="{3424A47D-DE6C-4CAE-8084-557C05295DB2}"/>
  <tableColumns count="6">
    <tableColumn id="1" xr3:uid="{3544001C-837A-420F-A4DA-B14EFCDC33E8}" name="Edades"/>
    <tableColumn id="2" xr3:uid="{B1EDFAEA-5B98-4B87-BCD9-58C281B31F08}" name="Hombre" dataDxfId="16">
      <calculatedColumnFormula>-Z4</calculatedColumnFormula>
    </tableColumn>
    <tableColumn id="3" xr3:uid="{A13BD792-9519-4F5D-BACB-AD6B76BF982C}" name="Hombres2" dataDxfId="15"/>
    <tableColumn id="4" xr3:uid="{7227E9FB-00C2-4DCB-8029-B36E2C19092E}" name="Mujer"/>
    <tableColumn id="5" xr3:uid="{93E09445-4AE0-4E53-B87F-DF011061417D}" name="Hombres" dataDxfId="14">
      <calculatedColumnFormula>Y4/$E$106</calculatedColumnFormula>
    </tableColumn>
    <tableColumn id="6" xr3:uid="{C215BA1C-C018-4BAD-BA34-A9F499B1A483}" name="Mujeres" dataDxfId="13">
      <calculatedColumnFormula>AA4/$E$106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CF25A-E617-4AFF-8FF9-49093159BBDE}" name="Tabla1" displayName="Tabla1" ref="A2:F104" totalsRowShown="0" headerRowDxfId="12">
  <autoFilter ref="A2:F104" xr:uid="{ECC6C9E4-6204-4009-90DF-EAA8271BA172}"/>
  <tableColumns count="6">
    <tableColumn id="1" xr3:uid="{D5D472C1-4281-49E3-A7F8-7AF06A6083EE}" name="Edades" dataDxfId="11"/>
    <tableColumn id="2" xr3:uid="{10BC4D61-7768-44A4-B2E8-B5704943CBE7}" name="Hombre" dataDxfId="10">
      <calculatedColumnFormula>-C3</calculatedColumnFormula>
    </tableColumn>
    <tableColumn id="3" xr3:uid="{BA17BBEF-493A-4E52-A467-7EFB6BB8B244}" name="Hombre2" dataDxfId="9"/>
    <tableColumn id="4" xr3:uid="{B18EFBFC-71B6-435B-B91B-927A47305D62}" name="Mujer" dataDxfId="8"/>
    <tableColumn id="5" xr3:uid="{A45A767B-CFFC-4554-B5A8-5506B1ABA66F}" name="Hombres" dataDxfId="7">
      <calculatedColumnFormula>B3/$E$105</calculatedColumnFormula>
    </tableColumn>
    <tableColumn id="6" xr3:uid="{7AD89670-0466-4EE3-A653-61CA58B12556}" name="Mujeres" dataDxfId="6">
      <calculatedColumnFormula>D3/$E$105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A3A339-0601-413D-9D3A-86D8A3456825}" name="Tabla4" displayName="Tabla4" ref="AO2:AT5" totalsRowShown="0">
  <autoFilter ref="AO2:AT5" xr:uid="{660B6A44-79BF-4853-B29A-DFA706454E1B}"/>
  <tableColumns count="6">
    <tableColumn id="1" xr3:uid="{26F5EA12-151D-4320-93A8-59855263598F}" name="Edades"/>
    <tableColumn id="2" xr3:uid="{3755E245-0D52-4084-BED5-4CC8F361815F}" name="Hombre" dataDxfId="5">
      <calculatedColumnFormula>-1*AQ3</calculatedColumnFormula>
    </tableColumn>
    <tableColumn id="3" xr3:uid="{0C329939-9A7C-4D18-A4E6-687698382E6B}" name="Hombre2"/>
    <tableColumn id="4" xr3:uid="{5AD549BE-398F-4789-AB80-DE36A6BE7B1B}" name="Mujer"/>
    <tableColumn id="5" xr3:uid="{53351650-4323-45F6-9CEB-4AD71686030D}" name="Hombres" dataDxfId="4">
      <calculatedColumnFormula>AP3/$E$105</calculatedColumnFormula>
    </tableColumn>
    <tableColumn id="6" xr3:uid="{16CD8A06-9015-48DF-AF11-F26E9B1EF3C9}" name="Mujeres" dataDxfId="3">
      <calculatedColumnFormula>AR3/$E$105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0F559C-E2AE-41D3-A9AB-51F8F6648FEA}" name="Tabla5" displayName="Tabla5" ref="X2:AC21" totalsRowShown="0">
  <autoFilter ref="X2:AC21" xr:uid="{A8B94BEC-AF09-45F3-A0CD-924F41B7645E}"/>
  <tableColumns count="6">
    <tableColumn id="1" xr3:uid="{0CFCB939-33FE-4191-B858-888D59089846}" name="Edades"/>
    <tableColumn id="2" xr3:uid="{D1FC3A3D-B0D9-493A-9609-79BFF671A67B}" name="Hombre" dataDxfId="2">
      <calculatedColumnFormula>-1*Z3</calculatedColumnFormula>
    </tableColumn>
    <tableColumn id="3" xr3:uid="{A10C6FC4-9D1D-41F8-AED8-C2107326052D}" name="Hombre2"/>
    <tableColumn id="4" xr3:uid="{7E40BE6C-EF56-40A6-BE9C-F74DDE399C74}" name="Mujer"/>
    <tableColumn id="5" xr3:uid="{EDC9C5FE-F719-4A38-9FDF-4B4D32E29A98}" name="Hombres" dataDxfId="1">
      <calculatedColumnFormula>Y3/$E$105</calculatedColumnFormula>
    </tableColumn>
    <tableColumn id="6" xr3:uid="{7803D4D6-2C76-4AF1-A8F3-E0309519DBF2}" name="Mujeres" dataDxfId="0">
      <calculatedColumnFormula>AA3/$E$105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9C09-B191-4744-B874-6F4078CF4985}">
  <dimension ref="A2:I69"/>
  <sheetViews>
    <sheetView topLeftCell="A4" workbookViewId="0">
      <selection activeCell="B11" sqref="B11"/>
    </sheetView>
  </sheetViews>
  <sheetFormatPr baseColWidth="10" defaultRowHeight="15" x14ac:dyDescent="0.25"/>
  <cols>
    <col min="1" max="1" width="12.28515625" style="1" customWidth="1"/>
    <col min="2" max="2" width="11.5703125" style="2"/>
  </cols>
  <sheetData>
    <row r="2" spans="2:2" x14ac:dyDescent="0.25">
      <c r="B2" s="3"/>
    </row>
    <row r="3" spans="2:2" x14ac:dyDescent="0.25">
      <c r="B3" s="3"/>
    </row>
    <row r="4" spans="2:2" x14ac:dyDescent="0.25">
      <c r="B4" s="3"/>
    </row>
    <row r="5" spans="2:2" x14ac:dyDescent="0.25">
      <c r="B5" s="3"/>
    </row>
    <row r="6" spans="2:2" x14ac:dyDescent="0.25">
      <c r="B6" s="3"/>
    </row>
    <row r="7" spans="2:2" x14ac:dyDescent="0.25">
      <c r="B7" s="3"/>
    </row>
    <row r="8" spans="2:2" x14ac:dyDescent="0.25">
      <c r="B8" s="3"/>
    </row>
    <row r="9" spans="2:2" x14ac:dyDescent="0.25">
      <c r="B9" s="3"/>
    </row>
    <row r="10" spans="2:2" x14ac:dyDescent="0.25">
      <c r="B10" s="3"/>
    </row>
    <row r="11" spans="2:2" x14ac:dyDescent="0.25">
      <c r="B11" s="3"/>
    </row>
    <row r="12" spans="2:2" x14ac:dyDescent="0.25">
      <c r="B12" s="3"/>
    </row>
    <row r="13" spans="2:2" x14ac:dyDescent="0.25">
      <c r="B13" s="3"/>
    </row>
    <row r="14" spans="2:2" x14ac:dyDescent="0.25">
      <c r="B14" s="3"/>
    </row>
    <row r="15" spans="2:2" x14ac:dyDescent="0.25">
      <c r="B15" s="3"/>
    </row>
    <row r="16" spans="2:2" x14ac:dyDescent="0.25">
      <c r="B16" s="3"/>
    </row>
    <row r="55" spans="8:9" x14ac:dyDescent="0.25">
      <c r="H55" s="82" t="s">
        <v>310</v>
      </c>
      <c r="I55" s="82" t="s">
        <v>239</v>
      </c>
    </row>
    <row r="56" spans="8:9" x14ac:dyDescent="0.25">
      <c r="H56" s="82">
        <v>1998</v>
      </c>
      <c r="I56" s="82">
        <v>0</v>
      </c>
    </row>
    <row r="57" spans="8:9" x14ac:dyDescent="0.25">
      <c r="H57">
        <v>1999</v>
      </c>
      <c r="I57">
        <v>1</v>
      </c>
    </row>
    <row r="58" spans="8:9" x14ac:dyDescent="0.25">
      <c r="H58">
        <v>2000</v>
      </c>
      <c r="I58">
        <v>2</v>
      </c>
    </row>
    <row r="59" spans="8:9" x14ac:dyDescent="0.25">
      <c r="H59" s="82">
        <v>2001</v>
      </c>
      <c r="I59">
        <v>3</v>
      </c>
    </row>
    <row r="60" spans="8:9" x14ac:dyDescent="0.25">
      <c r="H60">
        <v>2002</v>
      </c>
      <c r="I60">
        <v>4</v>
      </c>
    </row>
    <row r="61" spans="8:9" x14ac:dyDescent="0.25">
      <c r="H61">
        <v>2003</v>
      </c>
      <c r="I61">
        <v>5</v>
      </c>
    </row>
    <row r="62" spans="8:9" x14ac:dyDescent="0.25">
      <c r="H62" s="82">
        <v>2004</v>
      </c>
    </row>
    <row r="63" spans="8:9" x14ac:dyDescent="0.25">
      <c r="H63">
        <v>2005</v>
      </c>
    </row>
    <row r="64" spans="8:9" x14ac:dyDescent="0.25">
      <c r="H64">
        <v>2006</v>
      </c>
    </row>
    <row r="65" spans="8:8" x14ac:dyDescent="0.25">
      <c r="H65" s="82">
        <v>2007</v>
      </c>
    </row>
    <row r="66" spans="8:8" x14ac:dyDescent="0.25">
      <c r="H66">
        <v>2008</v>
      </c>
    </row>
    <row r="67" spans="8:8" x14ac:dyDescent="0.25">
      <c r="H67">
        <v>2009</v>
      </c>
    </row>
    <row r="68" spans="8:8" x14ac:dyDescent="0.25">
      <c r="H68" s="82">
        <v>2010</v>
      </c>
    </row>
    <row r="69" spans="8:8" x14ac:dyDescent="0.25">
      <c r="H69" s="82">
        <v>2011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E88D-54CF-485D-ACF3-391DCAE31D70}">
  <dimension ref="A1:O22"/>
  <sheetViews>
    <sheetView workbookViewId="0">
      <selection activeCell="F27" sqref="F27"/>
    </sheetView>
  </sheetViews>
  <sheetFormatPr baseColWidth="10" defaultRowHeight="15" x14ac:dyDescent="0.25"/>
  <sheetData>
    <row r="1" spans="1:15" x14ac:dyDescent="0.25">
      <c r="B1" s="182" t="s">
        <v>1</v>
      </c>
      <c r="C1" s="182"/>
      <c r="D1" s="182"/>
      <c r="E1" s="182" t="s">
        <v>4</v>
      </c>
      <c r="F1" s="182"/>
      <c r="G1" s="182"/>
      <c r="J1" s="181" t="s">
        <v>1</v>
      </c>
      <c r="K1" s="181"/>
      <c r="L1" s="181"/>
      <c r="M1" s="181" t="s">
        <v>4</v>
      </c>
      <c r="N1" s="181"/>
      <c r="O1" s="181"/>
    </row>
    <row r="2" spans="1:15" x14ac:dyDescent="0.25">
      <c r="B2" s="47">
        <v>2004</v>
      </c>
      <c r="C2" s="47">
        <v>2005</v>
      </c>
      <c r="D2" s="47">
        <v>2006</v>
      </c>
      <c r="E2" s="47">
        <v>2004</v>
      </c>
      <c r="F2" s="47">
        <v>2005</v>
      </c>
      <c r="G2" s="47">
        <v>2006</v>
      </c>
      <c r="J2" s="56">
        <v>2009</v>
      </c>
      <c r="K2" s="56">
        <v>2010</v>
      </c>
      <c r="L2" s="56">
        <v>2011</v>
      </c>
      <c r="M2" s="56">
        <v>2009</v>
      </c>
      <c r="N2" s="56">
        <v>2010</v>
      </c>
      <c r="O2" s="56">
        <v>2011</v>
      </c>
    </row>
    <row r="3" spans="1:15" x14ac:dyDescent="0.25">
      <c r="A3" s="47" t="s">
        <v>312</v>
      </c>
      <c r="B3" s="16">
        <v>301</v>
      </c>
      <c r="C3" s="16">
        <v>290</v>
      </c>
      <c r="D3" s="16">
        <v>264</v>
      </c>
      <c r="E3" s="16">
        <v>230</v>
      </c>
      <c r="F3" s="16">
        <v>244</v>
      </c>
      <c r="G3" s="16">
        <v>202</v>
      </c>
      <c r="I3" s="56" t="s">
        <v>312</v>
      </c>
      <c r="J3" s="16">
        <v>269</v>
      </c>
      <c r="K3" s="16">
        <v>267</v>
      </c>
      <c r="L3" s="16">
        <v>267</v>
      </c>
      <c r="M3" s="16">
        <v>205</v>
      </c>
      <c r="N3" s="16">
        <v>223</v>
      </c>
      <c r="O3" s="16">
        <v>192</v>
      </c>
    </row>
    <row r="4" spans="1:15" x14ac:dyDescent="0.25">
      <c r="A4" s="47" t="s">
        <v>508</v>
      </c>
      <c r="B4" s="16">
        <v>55</v>
      </c>
      <c r="C4" s="16">
        <v>48</v>
      </c>
      <c r="D4" s="16">
        <v>48</v>
      </c>
      <c r="E4" s="16">
        <v>38</v>
      </c>
      <c r="F4" s="16">
        <v>38</v>
      </c>
      <c r="G4" s="16">
        <v>53</v>
      </c>
      <c r="I4" s="56" t="s">
        <v>508</v>
      </c>
      <c r="J4" s="16">
        <v>64</v>
      </c>
      <c r="K4" s="16">
        <v>43</v>
      </c>
      <c r="L4" s="16">
        <v>43</v>
      </c>
      <c r="M4" s="16">
        <v>30</v>
      </c>
      <c r="N4" s="16">
        <v>42</v>
      </c>
      <c r="O4" s="16">
        <v>38</v>
      </c>
    </row>
    <row r="5" spans="1:15" x14ac:dyDescent="0.25">
      <c r="A5" s="47" t="s">
        <v>221</v>
      </c>
      <c r="B5" s="16">
        <v>31</v>
      </c>
      <c r="C5" s="16">
        <v>27</v>
      </c>
      <c r="D5" s="16">
        <v>25</v>
      </c>
      <c r="E5" s="16">
        <v>18</v>
      </c>
      <c r="F5" s="16">
        <v>29</v>
      </c>
      <c r="G5" s="16">
        <v>16</v>
      </c>
      <c r="I5" s="56" t="s">
        <v>221</v>
      </c>
      <c r="J5" s="16">
        <v>27</v>
      </c>
      <c r="K5" s="16">
        <v>27</v>
      </c>
      <c r="L5" s="16">
        <v>28</v>
      </c>
      <c r="M5" s="16">
        <v>25</v>
      </c>
      <c r="N5" s="16">
        <v>20</v>
      </c>
      <c r="O5" s="16">
        <v>18</v>
      </c>
    </row>
    <row r="6" spans="1:15" x14ac:dyDescent="0.25">
      <c r="A6" s="47" t="s">
        <v>222</v>
      </c>
      <c r="B6" s="16">
        <v>39</v>
      </c>
      <c r="C6" s="16">
        <v>36</v>
      </c>
      <c r="D6" s="16">
        <v>34</v>
      </c>
      <c r="E6" s="16">
        <v>17</v>
      </c>
      <c r="F6" s="16">
        <v>26</v>
      </c>
      <c r="G6" s="16">
        <v>24</v>
      </c>
      <c r="I6" s="56" t="s">
        <v>222</v>
      </c>
      <c r="J6" s="16">
        <v>36</v>
      </c>
      <c r="K6" s="16">
        <v>36</v>
      </c>
      <c r="L6" s="16">
        <v>31</v>
      </c>
      <c r="M6" s="16">
        <v>23</v>
      </c>
      <c r="N6" s="16">
        <v>32</v>
      </c>
      <c r="O6" s="16">
        <v>26</v>
      </c>
    </row>
    <row r="7" spans="1:15" x14ac:dyDescent="0.25">
      <c r="A7" s="47" t="s">
        <v>223</v>
      </c>
      <c r="B7" s="16">
        <v>97</v>
      </c>
      <c r="C7" s="16">
        <v>76</v>
      </c>
      <c r="D7" s="16">
        <v>90</v>
      </c>
      <c r="E7" s="16">
        <v>46</v>
      </c>
      <c r="F7" s="16">
        <v>30</v>
      </c>
      <c r="G7" s="16">
        <v>35</v>
      </c>
      <c r="I7" s="56" t="s">
        <v>223</v>
      </c>
      <c r="J7" s="16">
        <v>114</v>
      </c>
      <c r="K7" s="16">
        <v>104</v>
      </c>
      <c r="L7" s="16">
        <v>110</v>
      </c>
      <c r="M7" s="16">
        <v>58</v>
      </c>
      <c r="N7" s="16">
        <v>36</v>
      </c>
      <c r="O7" s="16">
        <v>39</v>
      </c>
    </row>
    <row r="8" spans="1:15" x14ac:dyDescent="0.25">
      <c r="A8" s="47" t="s">
        <v>224</v>
      </c>
      <c r="B8" s="16">
        <v>116</v>
      </c>
      <c r="C8" s="16">
        <v>102</v>
      </c>
      <c r="D8" s="16">
        <v>113</v>
      </c>
      <c r="E8" s="16">
        <v>39</v>
      </c>
      <c r="F8" s="16">
        <v>35</v>
      </c>
      <c r="G8" s="16">
        <v>41</v>
      </c>
      <c r="I8" s="56" t="s">
        <v>224</v>
      </c>
      <c r="J8" s="16">
        <v>133</v>
      </c>
      <c r="K8" s="16">
        <v>120</v>
      </c>
      <c r="L8" s="16">
        <v>122</v>
      </c>
      <c r="M8" s="16">
        <v>44</v>
      </c>
      <c r="N8" s="16">
        <v>41</v>
      </c>
      <c r="O8" s="16">
        <v>55</v>
      </c>
    </row>
    <row r="9" spans="1:15" x14ac:dyDescent="0.25">
      <c r="A9" s="47" t="s">
        <v>225</v>
      </c>
      <c r="B9" s="16">
        <v>116</v>
      </c>
      <c r="C9" s="16">
        <v>121</v>
      </c>
      <c r="D9" s="16">
        <v>119</v>
      </c>
      <c r="E9" s="16">
        <v>43</v>
      </c>
      <c r="F9" s="16">
        <v>46</v>
      </c>
      <c r="G9" s="16">
        <v>35</v>
      </c>
      <c r="I9" s="56" t="s">
        <v>225</v>
      </c>
      <c r="J9" s="16">
        <v>87</v>
      </c>
      <c r="K9" s="16">
        <v>121</v>
      </c>
      <c r="L9" s="16">
        <v>135</v>
      </c>
      <c r="M9" s="16">
        <v>54</v>
      </c>
      <c r="N9" s="16">
        <v>46</v>
      </c>
      <c r="O9" s="16">
        <v>45</v>
      </c>
    </row>
    <row r="10" spans="1:15" x14ac:dyDescent="0.25">
      <c r="A10" s="47" t="s">
        <v>226</v>
      </c>
      <c r="B10" s="16">
        <v>148</v>
      </c>
      <c r="C10" s="16">
        <v>121</v>
      </c>
      <c r="D10" s="16">
        <v>124</v>
      </c>
      <c r="E10" s="16">
        <v>60</v>
      </c>
      <c r="F10" s="16">
        <v>60</v>
      </c>
      <c r="G10" s="16">
        <v>42</v>
      </c>
      <c r="I10" s="56" t="s">
        <v>226</v>
      </c>
      <c r="J10" s="16">
        <v>135</v>
      </c>
      <c r="K10" s="16">
        <v>145</v>
      </c>
      <c r="L10" s="16">
        <v>146</v>
      </c>
      <c r="M10" s="16">
        <v>51</v>
      </c>
      <c r="N10" s="16">
        <v>45</v>
      </c>
      <c r="O10" s="16">
        <v>52</v>
      </c>
    </row>
    <row r="11" spans="1:15" x14ac:dyDescent="0.25">
      <c r="A11" s="47" t="s">
        <v>227</v>
      </c>
      <c r="B11" s="16">
        <v>138</v>
      </c>
      <c r="C11" s="16">
        <v>129</v>
      </c>
      <c r="D11" s="16">
        <v>140</v>
      </c>
      <c r="E11" s="16">
        <v>62</v>
      </c>
      <c r="F11" s="16">
        <v>45</v>
      </c>
      <c r="G11" s="16">
        <v>77</v>
      </c>
      <c r="I11" s="56" t="s">
        <v>227</v>
      </c>
      <c r="J11" s="16">
        <v>166</v>
      </c>
      <c r="K11" s="16">
        <v>166</v>
      </c>
      <c r="L11" s="16">
        <v>196</v>
      </c>
      <c r="M11" s="16">
        <v>68</v>
      </c>
      <c r="N11" s="16">
        <v>63</v>
      </c>
      <c r="O11" s="16">
        <v>82</v>
      </c>
    </row>
    <row r="12" spans="1:15" x14ac:dyDescent="0.25">
      <c r="A12" s="47" t="s">
        <v>228</v>
      </c>
      <c r="B12" s="16">
        <v>162</v>
      </c>
      <c r="C12" s="16">
        <v>173</v>
      </c>
      <c r="D12" s="16">
        <v>174</v>
      </c>
      <c r="E12" s="16">
        <v>77</v>
      </c>
      <c r="F12" s="16">
        <v>79</v>
      </c>
      <c r="G12" s="16">
        <v>90</v>
      </c>
      <c r="I12" s="56" t="s">
        <v>228</v>
      </c>
      <c r="J12" s="16">
        <v>167</v>
      </c>
      <c r="K12" s="16">
        <v>192</v>
      </c>
      <c r="L12" s="16">
        <v>211</v>
      </c>
      <c r="M12" s="16">
        <v>95</v>
      </c>
      <c r="N12" s="16">
        <v>113</v>
      </c>
      <c r="O12" s="16">
        <v>92</v>
      </c>
    </row>
    <row r="13" spans="1:15" x14ac:dyDescent="0.25">
      <c r="A13" s="47" t="s">
        <v>229</v>
      </c>
      <c r="B13" s="16">
        <v>185</v>
      </c>
      <c r="C13" s="16">
        <v>218</v>
      </c>
      <c r="D13" s="16">
        <v>172</v>
      </c>
      <c r="E13" s="16">
        <v>105</v>
      </c>
      <c r="F13" s="16">
        <v>103</v>
      </c>
      <c r="G13" s="16">
        <v>130</v>
      </c>
      <c r="I13" s="56" t="s">
        <v>229</v>
      </c>
      <c r="J13" s="16">
        <v>223</v>
      </c>
      <c r="K13" s="16">
        <v>217</v>
      </c>
      <c r="L13" s="16">
        <v>248</v>
      </c>
      <c r="M13" s="16">
        <v>143</v>
      </c>
      <c r="N13" s="16">
        <v>139</v>
      </c>
      <c r="O13" s="16">
        <v>112</v>
      </c>
    </row>
    <row r="14" spans="1:15" x14ac:dyDescent="0.25">
      <c r="A14" s="47" t="s">
        <v>230</v>
      </c>
      <c r="B14" s="16">
        <v>220</v>
      </c>
      <c r="C14" s="16">
        <v>193</v>
      </c>
      <c r="D14" s="16">
        <v>230</v>
      </c>
      <c r="E14" s="16">
        <v>127</v>
      </c>
      <c r="F14" s="16">
        <v>120</v>
      </c>
      <c r="G14" s="16">
        <v>151</v>
      </c>
      <c r="I14" s="56" t="s">
        <v>230</v>
      </c>
      <c r="J14" s="16">
        <v>270</v>
      </c>
      <c r="K14" s="16">
        <v>290</v>
      </c>
      <c r="L14" s="16">
        <v>261</v>
      </c>
      <c r="M14" s="16">
        <v>167</v>
      </c>
      <c r="N14" s="16">
        <v>191</v>
      </c>
      <c r="O14" s="16">
        <v>169</v>
      </c>
    </row>
    <row r="15" spans="1:15" x14ac:dyDescent="0.25">
      <c r="A15" s="47" t="s">
        <v>231</v>
      </c>
      <c r="B15" s="16">
        <v>203</v>
      </c>
      <c r="C15" s="16">
        <v>253</v>
      </c>
      <c r="D15" s="16">
        <v>261</v>
      </c>
      <c r="E15" s="16">
        <v>139</v>
      </c>
      <c r="F15" s="16">
        <v>155</v>
      </c>
      <c r="G15" s="16">
        <v>168</v>
      </c>
      <c r="I15" s="56" t="s">
        <v>231</v>
      </c>
      <c r="J15" s="16">
        <v>302</v>
      </c>
      <c r="K15" s="16">
        <v>282</v>
      </c>
      <c r="L15" s="16">
        <v>306</v>
      </c>
      <c r="M15" s="16">
        <v>202</v>
      </c>
      <c r="N15" s="16">
        <v>193</v>
      </c>
      <c r="O15" s="16">
        <v>207</v>
      </c>
    </row>
    <row r="16" spans="1:15" x14ac:dyDescent="0.25">
      <c r="A16" s="47" t="s">
        <v>232</v>
      </c>
      <c r="B16" s="16">
        <v>239</v>
      </c>
      <c r="C16" s="16">
        <v>265</v>
      </c>
      <c r="D16" s="16">
        <v>252</v>
      </c>
      <c r="E16" s="16">
        <v>147</v>
      </c>
      <c r="F16" s="16">
        <v>210</v>
      </c>
      <c r="G16" s="16">
        <v>200</v>
      </c>
      <c r="I16" s="56" t="s">
        <v>232</v>
      </c>
      <c r="J16" s="16">
        <v>328</v>
      </c>
      <c r="K16" s="16">
        <v>298</v>
      </c>
      <c r="L16" s="16">
        <v>303</v>
      </c>
      <c r="M16" s="16">
        <v>213</v>
      </c>
      <c r="N16" s="16">
        <v>256</v>
      </c>
      <c r="O16" s="16">
        <v>236</v>
      </c>
    </row>
    <row r="17" spans="1:15" x14ac:dyDescent="0.25">
      <c r="A17" s="47" t="s">
        <v>233</v>
      </c>
      <c r="B17" s="16">
        <v>251</v>
      </c>
      <c r="C17" s="16">
        <v>263</v>
      </c>
      <c r="D17" s="16">
        <v>317</v>
      </c>
      <c r="E17" s="16">
        <v>208</v>
      </c>
      <c r="F17" s="16">
        <v>252</v>
      </c>
      <c r="G17" s="16">
        <v>217</v>
      </c>
      <c r="I17" s="56" t="s">
        <v>233</v>
      </c>
      <c r="J17" s="16">
        <v>307</v>
      </c>
      <c r="K17" s="16">
        <v>343</v>
      </c>
      <c r="L17" s="16">
        <v>381</v>
      </c>
      <c r="M17" s="16">
        <v>269</v>
      </c>
      <c r="N17" s="16">
        <v>279</v>
      </c>
      <c r="O17" s="16">
        <v>283</v>
      </c>
    </row>
    <row r="18" spans="1:15" x14ac:dyDescent="0.25">
      <c r="A18" s="47" t="s">
        <v>234</v>
      </c>
      <c r="B18" s="16">
        <v>282</v>
      </c>
      <c r="C18" s="16">
        <v>324</v>
      </c>
      <c r="D18" s="16">
        <v>288</v>
      </c>
      <c r="E18" s="16">
        <v>252</v>
      </c>
      <c r="F18" s="16">
        <v>257</v>
      </c>
      <c r="G18" s="16">
        <v>255</v>
      </c>
      <c r="I18" s="56" t="s">
        <v>234</v>
      </c>
      <c r="J18" s="16">
        <v>332</v>
      </c>
      <c r="K18" s="16">
        <v>337</v>
      </c>
      <c r="L18" s="16">
        <v>357</v>
      </c>
      <c r="M18" s="16">
        <v>286</v>
      </c>
      <c r="N18" s="16">
        <v>300</v>
      </c>
      <c r="O18" s="16">
        <v>279</v>
      </c>
    </row>
    <row r="19" spans="1:15" x14ac:dyDescent="0.25">
      <c r="A19" s="47" t="s">
        <v>235</v>
      </c>
      <c r="B19" s="16">
        <v>265</v>
      </c>
      <c r="C19" s="16">
        <v>306</v>
      </c>
      <c r="D19" s="16">
        <v>342</v>
      </c>
      <c r="E19" s="16">
        <v>297</v>
      </c>
      <c r="F19" s="16">
        <v>277</v>
      </c>
      <c r="G19" s="16">
        <v>298</v>
      </c>
      <c r="I19" s="56" t="s">
        <v>235</v>
      </c>
      <c r="J19" s="16">
        <v>364</v>
      </c>
      <c r="K19" s="16">
        <v>371</v>
      </c>
      <c r="L19" s="16">
        <v>330</v>
      </c>
      <c r="M19" s="16">
        <v>349</v>
      </c>
      <c r="N19" s="16">
        <v>340</v>
      </c>
      <c r="O19" s="16">
        <v>345</v>
      </c>
    </row>
    <row r="20" spans="1:15" x14ac:dyDescent="0.25">
      <c r="A20" s="47" t="s">
        <v>236</v>
      </c>
      <c r="B20" s="16">
        <v>295</v>
      </c>
      <c r="C20" s="16">
        <v>298</v>
      </c>
      <c r="D20" s="16">
        <v>334</v>
      </c>
      <c r="E20" s="16">
        <v>307</v>
      </c>
      <c r="F20" s="16">
        <v>341</v>
      </c>
      <c r="G20" s="16">
        <v>289</v>
      </c>
      <c r="I20" s="56" t="s">
        <v>236</v>
      </c>
      <c r="J20" s="16">
        <v>348</v>
      </c>
      <c r="K20" s="16">
        <v>387</v>
      </c>
      <c r="L20" s="16">
        <v>356</v>
      </c>
      <c r="M20" s="16">
        <v>346</v>
      </c>
      <c r="N20" s="16">
        <v>406</v>
      </c>
      <c r="O20" s="16">
        <v>402</v>
      </c>
    </row>
    <row r="21" spans="1:15" x14ac:dyDescent="0.25">
      <c r="A21" s="47" t="s">
        <v>509</v>
      </c>
      <c r="B21" s="16">
        <v>412</v>
      </c>
      <c r="C21" s="16">
        <v>411</v>
      </c>
      <c r="D21" s="16">
        <v>420</v>
      </c>
      <c r="E21" s="16">
        <v>606</v>
      </c>
      <c r="F21" s="16">
        <v>646</v>
      </c>
      <c r="G21" s="16">
        <v>635</v>
      </c>
      <c r="I21" s="56" t="s">
        <v>509</v>
      </c>
      <c r="J21" s="16">
        <v>541</v>
      </c>
      <c r="K21" s="16">
        <v>636</v>
      </c>
      <c r="L21" s="16">
        <v>566</v>
      </c>
      <c r="M21" s="16">
        <v>748</v>
      </c>
      <c r="N21" s="16">
        <v>811</v>
      </c>
      <c r="O21" s="16">
        <v>775</v>
      </c>
    </row>
    <row r="22" spans="1:15" x14ac:dyDescent="0.25">
      <c r="A22" s="47" t="s">
        <v>107</v>
      </c>
      <c r="B22" s="16">
        <f>SUM(B3:B21)</f>
        <v>3555</v>
      </c>
      <c r="C22" s="16">
        <f t="shared" ref="C22:G22" si="0">SUM(C3:C21)</f>
        <v>3654</v>
      </c>
      <c r="D22" s="16">
        <f t="shared" si="0"/>
        <v>3747</v>
      </c>
      <c r="E22" s="16">
        <f t="shared" si="0"/>
        <v>2818</v>
      </c>
      <c r="F22" s="16">
        <f t="shared" si="0"/>
        <v>2993</v>
      </c>
      <c r="G22" s="16">
        <f t="shared" si="0"/>
        <v>2958</v>
      </c>
      <c r="I22" s="56" t="s">
        <v>107</v>
      </c>
      <c r="J22" s="16">
        <f>SUM(J3:J21)</f>
        <v>4213</v>
      </c>
      <c r="K22" s="16">
        <f t="shared" ref="K22:O22" si="1">SUM(K3:K21)</f>
        <v>4382</v>
      </c>
      <c r="L22" s="16">
        <f t="shared" si="1"/>
        <v>4397</v>
      </c>
      <c r="M22" s="16">
        <f t="shared" si="1"/>
        <v>3376</v>
      </c>
      <c r="N22" s="16">
        <f t="shared" si="1"/>
        <v>3576</v>
      </c>
      <c r="O22" s="16">
        <f t="shared" si="1"/>
        <v>3447</v>
      </c>
    </row>
  </sheetData>
  <mergeCells count="4">
    <mergeCell ref="B1:D1"/>
    <mergeCell ref="E1:G1"/>
    <mergeCell ref="J1:L1"/>
    <mergeCell ref="M1:O1"/>
  </mergeCells>
  <pageMargins left="0.7" right="0.7" top="0.75" bottom="0.75" header="0.3" footer="0.3"/>
  <ignoredErrors>
    <ignoredError sqref="B22:O2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1501-8DCA-4FF8-BF00-2054C8F613BC}">
  <dimension ref="B3:X76"/>
  <sheetViews>
    <sheetView zoomScale="54" zoomScaleNormal="40" workbookViewId="0">
      <selection activeCell="T44" sqref="T44"/>
    </sheetView>
  </sheetViews>
  <sheetFormatPr baseColWidth="10" defaultRowHeight="15" x14ac:dyDescent="0.25"/>
  <cols>
    <col min="2" max="2" width="13.7109375" style="1" customWidth="1"/>
    <col min="13" max="13" width="13.28515625" customWidth="1"/>
    <col min="14" max="14" width="14.85546875" customWidth="1"/>
  </cols>
  <sheetData>
    <row r="3" spans="2:24" x14ac:dyDescent="0.25">
      <c r="B3" s="93" t="s">
        <v>501</v>
      </c>
      <c r="N3" s="16" t="s">
        <v>502</v>
      </c>
    </row>
    <row r="4" spans="2:24" ht="18" x14ac:dyDescent="0.35">
      <c r="B4" s="96" t="s">
        <v>484</v>
      </c>
      <c r="C4" s="56"/>
      <c r="D4" s="56"/>
      <c r="E4" s="56"/>
      <c r="F4" s="56"/>
      <c r="G4" s="86" t="s">
        <v>494</v>
      </c>
      <c r="H4" s="86" t="s">
        <v>495</v>
      </c>
      <c r="I4" s="86" t="s">
        <v>496</v>
      </c>
      <c r="J4" s="86" t="s">
        <v>497</v>
      </c>
      <c r="K4" s="86" t="s">
        <v>498</v>
      </c>
      <c r="L4" s="102" t="s">
        <v>550</v>
      </c>
      <c r="N4" s="96" t="s">
        <v>484</v>
      </c>
      <c r="O4" s="56"/>
      <c r="P4" s="56"/>
      <c r="Q4" s="56"/>
      <c r="R4" s="56"/>
      <c r="S4" s="86" t="s">
        <v>494</v>
      </c>
      <c r="T4" s="86" t="s">
        <v>495</v>
      </c>
      <c r="U4" s="86" t="s">
        <v>496</v>
      </c>
      <c r="V4" s="86" t="s">
        <v>497</v>
      </c>
      <c r="W4" s="86" t="s">
        <v>498</v>
      </c>
      <c r="X4" s="102" t="s">
        <v>550</v>
      </c>
    </row>
    <row r="5" spans="2:24" x14ac:dyDescent="0.25">
      <c r="B5" s="96" t="s">
        <v>485</v>
      </c>
      <c r="C5" s="16">
        <f>D36</f>
        <v>16658</v>
      </c>
      <c r="D5" s="16">
        <f>'Datos de Defunciones'!C3</f>
        <v>290</v>
      </c>
      <c r="E5" s="16">
        <f t="shared" ref="E5:E23" si="0">D5/C5</f>
        <v>1.7409052707407852E-2</v>
      </c>
      <c r="F5" s="16">
        <f t="shared" ref="F5:F23" si="1">E5</f>
        <v>1.7409052707407852E-2</v>
      </c>
      <c r="G5" s="16">
        <f>D5/'Diagramas de Lexis'!C10</f>
        <v>1.3723263297368919E-2</v>
      </c>
      <c r="H5" s="17">
        <v>100000</v>
      </c>
      <c r="I5" s="16">
        <f t="shared" ref="I5:I23" si="2">ROUND(H5*G5,0)</f>
        <v>1372</v>
      </c>
      <c r="J5" s="16">
        <f>ROUND(('Diagramas de Lexis'!N33*'Tabla de mortalidad'!H5)+((1-'Diagramas de Lexis'!N33)*'Tabla de mortalidad'!H6),0)</f>
        <v>98740</v>
      </c>
      <c r="K5" s="16">
        <f>SUM(J5:$J$23)</f>
        <v>7295495</v>
      </c>
      <c r="L5" s="16">
        <f>K5/H5</f>
        <v>72.954949999999997</v>
      </c>
      <c r="N5" s="96" t="s">
        <v>485</v>
      </c>
      <c r="O5" s="16">
        <f>O36</f>
        <v>16198</v>
      </c>
      <c r="P5" s="16">
        <f>'Datos de Defunciones'!F3</f>
        <v>244</v>
      </c>
      <c r="Q5" s="16">
        <f>P5/O5</f>
        <v>1.5063588097295962E-2</v>
      </c>
      <c r="R5" s="16">
        <f>Q5</f>
        <v>1.5063588097295962E-2</v>
      </c>
      <c r="S5" s="16">
        <f>P5/'Diagramas de Lexis'!D10</f>
        <v>1.1756203324500121E-2</v>
      </c>
      <c r="T5" s="17">
        <v>100000</v>
      </c>
      <c r="U5" s="16">
        <f>ROUND(T5*S5,0)</f>
        <v>1176</v>
      </c>
      <c r="V5" s="16">
        <f>ROUND(('Diagramas de Lexis'!H51*'Tabla de mortalidad'!T5)+((1-'Diagramas de Lexis'!H51)*'Tabla de mortalidad'!T6),0)</f>
        <v>98924</v>
      </c>
      <c r="W5" s="16">
        <f>SUM(V5:$V$23)</f>
        <v>7773776</v>
      </c>
      <c r="X5" s="16">
        <f>W5/T5</f>
        <v>77.737759999999994</v>
      </c>
    </row>
    <row r="6" spans="2:24" x14ac:dyDescent="0.25">
      <c r="B6" s="54" t="s">
        <v>486</v>
      </c>
      <c r="C6" s="16">
        <f>D35</f>
        <v>68158</v>
      </c>
      <c r="D6" s="16">
        <f>'Datos de Defunciones'!C4</f>
        <v>48</v>
      </c>
      <c r="E6" s="16">
        <f t="shared" si="0"/>
        <v>7.0424601660846857E-4</v>
      </c>
      <c r="F6" s="16">
        <f t="shared" si="1"/>
        <v>7.0424601660846857E-4</v>
      </c>
      <c r="G6" s="16">
        <f>1-(EXP(-4*F6-0.008*(4^3)*(F6^2)))</f>
        <v>2.8132733082704142E-3</v>
      </c>
      <c r="H6" s="17">
        <f t="shared" ref="H6:H23" si="3">H5-I5</f>
        <v>98628</v>
      </c>
      <c r="I6" s="16">
        <f t="shared" si="2"/>
        <v>277</v>
      </c>
      <c r="J6" s="16">
        <f>ROUND(('Diagramas de Lexis'!K137*'Tabla de mortalidad'!H6)+((4-'Diagramas de Lexis'!K137)*'Tabla de mortalidad'!H7),0)</f>
        <v>393515</v>
      </c>
      <c r="K6" s="16">
        <f>SUM(J6:$J$23)</f>
        <v>7196755</v>
      </c>
      <c r="L6" s="16">
        <f t="shared" ref="L6:L23" si="4">K6/H6</f>
        <v>72.96868029362858</v>
      </c>
      <c r="N6" s="54" t="s">
        <v>486</v>
      </c>
      <c r="O6" s="16">
        <f>O35</f>
        <v>65674</v>
      </c>
      <c r="P6" s="16">
        <f>'Datos de Defunciones'!F4</f>
        <v>38</v>
      </c>
      <c r="Q6" s="16">
        <f t="shared" ref="Q6:Q23" si="5">P6/O6</f>
        <v>5.7861558607668175E-4</v>
      </c>
      <c r="R6" s="16">
        <f t="shared" ref="R6:R23" si="6">Q6</f>
        <v>5.7861558607668175E-4</v>
      </c>
      <c r="S6" s="16">
        <f>1-(EXP(-4*R6-0.008*(4^3)*(R6^2)))</f>
        <v>2.3119570607267326E-3</v>
      </c>
      <c r="T6" s="17">
        <f>T5-U5</f>
        <v>98824</v>
      </c>
      <c r="U6" s="16">
        <f t="shared" ref="U6:U23" si="7">ROUND(T6*S6,0)</f>
        <v>228</v>
      </c>
      <c r="V6" s="16">
        <f>ROUND(('Diagramas de Lexis'!K177*'Tabla de mortalidad'!T6)+((4-'Diagramas de Lexis'!K177)*'Tabla de mortalidad'!T7),0)</f>
        <v>394470</v>
      </c>
      <c r="W6" s="16">
        <f>SUM(V6:$V$23)</f>
        <v>7674852</v>
      </c>
      <c r="X6" s="16">
        <f t="shared" ref="X6:X23" si="8">W6/T6</f>
        <v>77.661823038937911</v>
      </c>
    </row>
    <row r="7" spans="2:24" x14ac:dyDescent="0.25">
      <c r="B7" s="54" t="s">
        <v>292</v>
      </c>
      <c r="C7" s="16">
        <f>'Tasas de crecimiento'!I12</f>
        <v>87978</v>
      </c>
      <c r="D7" s="16">
        <f>'Datos de Defunciones'!C5</f>
        <v>27</v>
      </c>
      <c r="E7" s="16">
        <f t="shared" si="0"/>
        <v>3.0689490554456798E-4</v>
      </c>
      <c r="F7" s="16">
        <f t="shared" si="1"/>
        <v>3.0689490554456798E-4</v>
      </c>
      <c r="G7" s="16">
        <f t="shared" ref="G7:G22" si="9">(5*F7)/(1+ ((5/2)*F7))</f>
        <v>1.5332981242652947E-3</v>
      </c>
      <c r="H7" s="17">
        <f t="shared" si="3"/>
        <v>98351</v>
      </c>
      <c r="I7" s="16">
        <f t="shared" si="2"/>
        <v>151</v>
      </c>
      <c r="J7" s="16">
        <f t="shared" ref="J7:J22" si="10">ROUND((5/2)*(H7+H8),0)</f>
        <v>491378</v>
      </c>
      <c r="K7" s="16">
        <f>SUM(J7:$J$23)</f>
        <v>6803240</v>
      </c>
      <c r="L7" s="16">
        <f t="shared" si="4"/>
        <v>69.173063822431899</v>
      </c>
      <c r="N7" s="54" t="s">
        <v>292</v>
      </c>
      <c r="O7" s="16">
        <f>'Tasas de crecimiento'!X12</f>
        <v>85034</v>
      </c>
      <c r="P7" s="16">
        <f>'Datos de Defunciones'!F5</f>
        <v>29</v>
      </c>
      <c r="Q7" s="16">
        <f t="shared" si="5"/>
        <v>3.4104005456640871E-4</v>
      </c>
      <c r="R7" s="16">
        <f t="shared" si="6"/>
        <v>3.4104005456640871E-4</v>
      </c>
      <c r="S7" s="16">
        <f>(5*R7)/(1+ ((5/2)*R7))</f>
        <v>1.7037476573469709E-3</v>
      </c>
      <c r="T7" s="17">
        <f t="shared" ref="T7:T23" si="11">T6-U6</f>
        <v>98596</v>
      </c>
      <c r="U7" s="16">
        <f t="shared" si="7"/>
        <v>168</v>
      </c>
      <c r="V7" s="16">
        <f>ROUND((5/2)*(T7+T8),0)</f>
        <v>492560</v>
      </c>
      <c r="W7" s="16">
        <f>SUM(V7:$V$23)</f>
        <v>7280382</v>
      </c>
      <c r="X7" s="16">
        <f t="shared" si="8"/>
        <v>73.840541198425896</v>
      </c>
    </row>
    <row r="8" spans="2:24" x14ac:dyDescent="0.25">
      <c r="B8" s="54" t="s">
        <v>259</v>
      </c>
      <c r="C8" s="16">
        <f>'Tasas de crecimiento'!I13</f>
        <v>90325</v>
      </c>
      <c r="D8" s="16">
        <f>'Datos de Defunciones'!C6</f>
        <v>36</v>
      </c>
      <c r="E8" s="16">
        <f t="shared" si="0"/>
        <v>3.9856075283697761E-4</v>
      </c>
      <c r="F8" s="16">
        <f t="shared" si="1"/>
        <v>3.9856075283697761E-4</v>
      </c>
      <c r="G8" s="16">
        <f t="shared" si="9"/>
        <v>1.9908201072830838E-3</v>
      </c>
      <c r="H8" s="17">
        <f t="shared" si="3"/>
        <v>98200</v>
      </c>
      <c r="I8" s="16">
        <f t="shared" si="2"/>
        <v>195</v>
      </c>
      <c r="J8" s="16">
        <f t="shared" si="10"/>
        <v>490513</v>
      </c>
      <c r="K8" s="16">
        <f>SUM(J8:$J$23)</f>
        <v>6311862</v>
      </c>
      <c r="L8" s="16">
        <f t="shared" si="4"/>
        <v>64.27558044806517</v>
      </c>
      <c r="N8" s="54" t="s">
        <v>259</v>
      </c>
      <c r="O8" s="16">
        <f>'Tasas de crecimiento'!X13</f>
        <v>89390</v>
      </c>
      <c r="P8" s="16">
        <f>'Datos de Defunciones'!F6</f>
        <v>26</v>
      </c>
      <c r="Q8" s="16">
        <f t="shared" si="5"/>
        <v>2.9086027519856808E-4</v>
      </c>
      <c r="R8" s="16">
        <f t="shared" si="6"/>
        <v>2.9086027519856808E-4</v>
      </c>
      <c r="S8" s="16">
        <f t="shared" ref="S8:S22" si="12">(5*R8)/(1+ ((5/2)*R8))</f>
        <v>1.453244648147113E-3</v>
      </c>
      <c r="T8" s="17">
        <f t="shared" si="11"/>
        <v>98428</v>
      </c>
      <c r="U8" s="16">
        <f t="shared" si="7"/>
        <v>143</v>
      </c>
      <c r="V8" s="16">
        <f t="shared" ref="V8:V22" si="13">ROUND((5/2)*(T8+T9),0)</f>
        <v>491783</v>
      </c>
      <c r="W8" s="16">
        <f>SUM(V8:$V$23)</f>
        <v>6787822</v>
      </c>
      <c r="X8" s="16">
        <f t="shared" si="8"/>
        <v>68.96230747348315</v>
      </c>
    </row>
    <row r="9" spans="2:24" x14ac:dyDescent="0.25">
      <c r="B9" s="54" t="s">
        <v>260</v>
      </c>
      <c r="C9" s="16">
        <f>'Tasas de crecimiento'!I14</f>
        <v>81532</v>
      </c>
      <c r="D9" s="16">
        <f>'Datos de Defunciones'!C7</f>
        <v>76</v>
      </c>
      <c r="E9" s="16">
        <f t="shared" si="0"/>
        <v>9.3214934013638819E-4</v>
      </c>
      <c r="F9" s="16">
        <f t="shared" si="1"/>
        <v>9.3214934013638819E-4</v>
      </c>
      <c r="G9" s="16">
        <f t="shared" si="9"/>
        <v>4.6499106727686543E-3</v>
      </c>
      <c r="H9" s="17">
        <f t="shared" si="3"/>
        <v>98005</v>
      </c>
      <c r="I9" s="16">
        <f t="shared" si="2"/>
        <v>456</v>
      </c>
      <c r="J9" s="16">
        <f t="shared" si="10"/>
        <v>488885</v>
      </c>
      <c r="K9" s="16">
        <f>SUM(J9:$J$23)</f>
        <v>5821349</v>
      </c>
      <c r="L9" s="16">
        <f t="shared" si="4"/>
        <v>59.398489872965662</v>
      </c>
      <c r="N9" s="54" t="s">
        <v>260</v>
      </c>
      <c r="O9" s="16">
        <f>'Tasas de crecimiento'!X14</f>
        <v>86345</v>
      </c>
      <c r="P9" s="16">
        <f>'Datos de Defunciones'!F7</f>
        <v>30</v>
      </c>
      <c r="Q9" s="16">
        <f t="shared" si="5"/>
        <v>3.4744339568012046E-4</v>
      </c>
      <c r="R9" s="16">
        <f t="shared" si="6"/>
        <v>3.4744339568012046E-4</v>
      </c>
      <c r="S9" s="16">
        <f t="shared" si="12"/>
        <v>1.7357093265447814E-3</v>
      </c>
      <c r="T9" s="17">
        <f t="shared" si="11"/>
        <v>98285</v>
      </c>
      <c r="U9" s="16">
        <f t="shared" si="7"/>
        <v>171</v>
      </c>
      <c r="V9" s="16">
        <f t="shared" si="13"/>
        <v>490998</v>
      </c>
      <c r="W9" s="16">
        <f>SUM(V9:$V$23)</f>
        <v>6296039</v>
      </c>
      <c r="X9" s="16">
        <f t="shared" si="8"/>
        <v>64.059001882281123</v>
      </c>
    </row>
    <row r="10" spans="2:24" x14ac:dyDescent="0.25">
      <c r="B10" s="54" t="s">
        <v>261</v>
      </c>
      <c r="C10" s="16">
        <f>'Tasas de crecimiento'!I15</f>
        <v>69231</v>
      </c>
      <c r="D10" s="16">
        <f>'Datos de Defunciones'!C8</f>
        <v>102</v>
      </c>
      <c r="E10" s="16">
        <f t="shared" si="0"/>
        <v>1.4733284222385925E-3</v>
      </c>
      <c r="F10" s="16">
        <f t="shared" si="1"/>
        <v>1.4733284222385925E-3</v>
      </c>
      <c r="G10" s="16">
        <f t="shared" si="9"/>
        <v>7.3396079785856142E-3</v>
      </c>
      <c r="H10" s="17">
        <f t="shared" si="3"/>
        <v>97549</v>
      </c>
      <c r="I10" s="16">
        <f t="shared" si="2"/>
        <v>716</v>
      </c>
      <c r="J10" s="16">
        <f t="shared" si="10"/>
        <v>485955</v>
      </c>
      <c r="K10" s="16">
        <f>SUM(J10:$J$23)</f>
        <v>5332464</v>
      </c>
      <c r="L10" s="16">
        <f t="shared" si="4"/>
        <v>54.664466063209261</v>
      </c>
      <c r="N10" s="54" t="s">
        <v>261</v>
      </c>
      <c r="O10" s="16">
        <f>'Tasas de crecimiento'!X15</f>
        <v>79537</v>
      </c>
      <c r="P10" s="16">
        <f>'Datos de Defunciones'!F8</f>
        <v>35</v>
      </c>
      <c r="Q10" s="16">
        <f t="shared" si="5"/>
        <v>4.4004677068534143E-4</v>
      </c>
      <c r="R10" s="16">
        <f t="shared" si="6"/>
        <v>4.4004677068534143E-4</v>
      </c>
      <c r="S10" s="16">
        <f t="shared" si="12"/>
        <v>2.197815998844577E-3</v>
      </c>
      <c r="T10" s="17">
        <f t="shared" si="11"/>
        <v>98114</v>
      </c>
      <c r="U10" s="16">
        <f t="shared" si="7"/>
        <v>216</v>
      </c>
      <c r="V10" s="16">
        <f t="shared" si="13"/>
        <v>490030</v>
      </c>
      <c r="W10" s="16">
        <f>SUM(V10:$V$23)</f>
        <v>5805041</v>
      </c>
      <c r="X10" s="16">
        <f t="shared" si="8"/>
        <v>59.166286156919504</v>
      </c>
    </row>
    <row r="11" spans="2:24" x14ac:dyDescent="0.25">
      <c r="B11" s="54" t="s">
        <v>262</v>
      </c>
      <c r="C11" s="16">
        <f>'Tasas de crecimiento'!I16</f>
        <v>62339</v>
      </c>
      <c r="D11" s="16">
        <f>'Datos de Defunciones'!C9</f>
        <v>121</v>
      </c>
      <c r="E11" s="16">
        <f t="shared" si="0"/>
        <v>1.9410000160413224E-3</v>
      </c>
      <c r="F11" s="16">
        <f t="shared" si="1"/>
        <v>1.9410000160413224E-3</v>
      </c>
      <c r="G11" s="16">
        <f t="shared" si="9"/>
        <v>9.6581339846587323E-3</v>
      </c>
      <c r="H11" s="17">
        <f t="shared" si="3"/>
        <v>96833</v>
      </c>
      <c r="I11" s="16">
        <f t="shared" si="2"/>
        <v>935</v>
      </c>
      <c r="J11" s="16">
        <f t="shared" si="10"/>
        <v>481828</v>
      </c>
      <c r="K11" s="16">
        <f>SUM(J11:$J$23)</f>
        <v>4846509</v>
      </c>
      <c r="L11" s="16">
        <f t="shared" si="4"/>
        <v>50.050179174454989</v>
      </c>
      <c r="N11" s="54" t="s">
        <v>262</v>
      </c>
      <c r="O11" s="16">
        <f>'Tasas de crecimiento'!X16</f>
        <v>73164</v>
      </c>
      <c r="P11" s="16">
        <f>'Datos de Defunciones'!F9</f>
        <v>46</v>
      </c>
      <c r="Q11" s="16">
        <f t="shared" si="5"/>
        <v>6.2872450932152429E-4</v>
      </c>
      <c r="R11" s="16">
        <f t="shared" si="6"/>
        <v>6.2872450932152429E-4</v>
      </c>
      <c r="S11" s="16">
        <f t="shared" si="12"/>
        <v>3.1386891196659343E-3</v>
      </c>
      <c r="T11" s="17">
        <f t="shared" si="11"/>
        <v>97898</v>
      </c>
      <c r="U11" s="16">
        <f t="shared" si="7"/>
        <v>307</v>
      </c>
      <c r="V11" s="16">
        <f t="shared" si="13"/>
        <v>488723</v>
      </c>
      <c r="W11" s="16">
        <f>SUM(V11:$V$23)</f>
        <v>5315011</v>
      </c>
      <c r="X11" s="16">
        <f t="shared" si="8"/>
        <v>54.291313407832639</v>
      </c>
    </row>
    <row r="12" spans="2:24" x14ac:dyDescent="0.25">
      <c r="B12" s="54" t="s">
        <v>263</v>
      </c>
      <c r="C12" s="16">
        <f>'Tasas de crecimiento'!I17</f>
        <v>58955</v>
      </c>
      <c r="D12" s="16">
        <f>'Datos de Defunciones'!C10</f>
        <v>121</v>
      </c>
      <c r="E12" s="16">
        <f t="shared" si="0"/>
        <v>2.052412857264015E-3</v>
      </c>
      <c r="F12" s="16">
        <f t="shared" si="1"/>
        <v>2.052412857264015E-3</v>
      </c>
      <c r="G12" s="16">
        <f t="shared" si="9"/>
        <v>1.0209678099818587E-2</v>
      </c>
      <c r="H12" s="17">
        <f t="shared" si="3"/>
        <v>95898</v>
      </c>
      <c r="I12" s="16">
        <f t="shared" si="2"/>
        <v>979</v>
      </c>
      <c r="J12" s="16">
        <f t="shared" si="10"/>
        <v>477043</v>
      </c>
      <c r="K12" s="16">
        <f>SUM(J12:$J$23)</f>
        <v>4364681</v>
      </c>
      <c r="L12" s="16">
        <f t="shared" si="4"/>
        <v>45.513785480406263</v>
      </c>
      <c r="N12" s="54" t="s">
        <v>263</v>
      </c>
      <c r="O12" s="16">
        <f>'Tasas de crecimiento'!X17</f>
        <v>67596</v>
      </c>
      <c r="P12" s="16">
        <f>'Datos de Defunciones'!F10</f>
        <v>60</v>
      </c>
      <c r="Q12" s="16">
        <f t="shared" si="5"/>
        <v>8.8762648677436537E-4</v>
      </c>
      <c r="R12" s="16">
        <f t="shared" si="6"/>
        <v>8.8762648677436537E-4</v>
      </c>
      <c r="S12" s="16">
        <f t="shared" si="12"/>
        <v>4.4283057302276149E-3</v>
      </c>
      <c r="T12" s="17">
        <f t="shared" si="11"/>
        <v>97591</v>
      </c>
      <c r="U12" s="16">
        <f t="shared" si="7"/>
        <v>432</v>
      </c>
      <c r="V12" s="16">
        <f t="shared" si="13"/>
        <v>486875</v>
      </c>
      <c r="W12" s="16">
        <f>SUM(V12:$V$23)</f>
        <v>4826288</v>
      </c>
      <c r="X12" s="16">
        <f t="shared" si="8"/>
        <v>49.454232459960444</v>
      </c>
    </row>
    <row r="13" spans="2:24" x14ac:dyDescent="0.25">
      <c r="B13" s="54" t="s">
        <v>264</v>
      </c>
      <c r="C13" s="16">
        <f>'Tasas de crecimiento'!I18</f>
        <v>52788</v>
      </c>
      <c r="D13" s="16">
        <f>'Datos de Defunciones'!C11</f>
        <v>129</v>
      </c>
      <c r="E13" s="16">
        <f t="shared" si="0"/>
        <v>2.4437372130029552E-3</v>
      </c>
      <c r="F13" s="16">
        <f t="shared" si="1"/>
        <v>2.4437372130029552E-3</v>
      </c>
      <c r="G13" s="16">
        <f t="shared" si="9"/>
        <v>1.2144491202304628E-2</v>
      </c>
      <c r="H13" s="17">
        <f t="shared" si="3"/>
        <v>94919</v>
      </c>
      <c r="I13" s="16">
        <f t="shared" si="2"/>
        <v>1153</v>
      </c>
      <c r="J13" s="16">
        <f t="shared" si="10"/>
        <v>471713</v>
      </c>
      <c r="K13" s="16">
        <f>SUM(J13:$J$23)</f>
        <v>3887638</v>
      </c>
      <c r="L13" s="16">
        <f t="shared" si="4"/>
        <v>40.957426858690042</v>
      </c>
      <c r="N13" s="54" t="s">
        <v>264</v>
      </c>
      <c r="O13" s="16">
        <f>'Tasas de crecimiento'!X18</f>
        <v>59307</v>
      </c>
      <c r="P13" s="16">
        <f>'Datos de Defunciones'!F11</f>
        <v>45</v>
      </c>
      <c r="Q13" s="16">
        <f t="shared" si="5"/>
        <v>7.5876372097728772E-4</v>
      </c>
      <c r="R13" s="16">
        <f t="shared" si="6"/>
        <v>7.5876372097728772E-4</v>
      </c>
      <c r="S13" s="16">
        <f t="shared" si="12"/>
        <v>3.7866357004013836E-3</v>
      </c>
      <c r="T13" s="17">
        <f t="shared" si="11"/>
        <v>97159</v>
      </c>
      <c r="U13" s="16">
        <f t="shared" si="7"/>
        <v>368</v>
      </c>
      <c r="V13" s="16">
        <f t="shared" si="13"/>
        <v>484875</v>
      </c>
      <c r="W13" s="16">
        <f>SUM(V13:$V$23)</f>
        <v>4339413</v>
      </c>
      <c r="X13" s="16">
        <f t="shared" si="8"/>
        <v>44.663006000473452</v>
      </c>
    </row>
    <row r="14" spans="2:24" x14ac:dyDescent="0.25">
      <c r="B14" s="54" t="s">
        <v>265</v>
      </c>
      <c r="C14" s="16">
        <f>'Tasas de crecimiento'!I19</f>
        <v>44265</v>
      </c>
      <c r="D14" s="16">
        <f>'Datos de Defunciones'!C12</f>
        <v>173</v>
      </c>
      <c r="E14" s="16">
        <f t="shared" si="0"/>
        <v>3.9082796792047894E-3</v>
      </c>
      <c r="F14" s="16">
        <f t="shared" si="1"/>
        <v>3.9082796792047894E-3</v>
      </c>
      <c r="G14" s="16">
        <f t="shared" si="9"/>
        <v>1.9352312769170536E-2</v>
      </c>
      <c r="H14" s="17">
        <f t="shared" si="3"/>
        <v>93766</v>
      </c>
      <c r="I14" s="16">
        <f t="shared" si="2"/>
        <v>1815</v>
      </c>
      <c r="J14" s="16">
        <f t="shared" si="10"/>
        <v>464293</v>
      </c>
      <c r="K14" s="16">
        <f>SUM(J14:$J$23)</f>
        <v>3415925</v>
      </c>
      <c r="L14" s="16">
        <f t="shared" si="4"/>
        <v>36.430315892754301</v>
      </c>
      <c r="N14" s="54" t="s">
        <v>265</v>
      </c>
      <c r="O14" s="16">
        <f>'Tasas de crecimiento'!X19</f>
        <v>48552</v>
      </c>
      <c r="P14" s="16">
        <f>'Datos de Defunciones'!F12</f>
        <v>79</v>
      </c>
      <c r="Q14" s="16">
        <f t="shared" si="5"/>
        <v>1.6271214368100181E-3</v>
      </c>
      <c r="R14" s="16">
        <f t="shared" si="6"/>
        <v>1.6271214368100181E-3</v>
      </c>
      <c r="S14" s="16">
        <f t="shared" si="12"/>
        <v>8.1026472066380167E-3</v>
      </c>
      <c r="T14" s="17">
        <f t="shared" si="11"/>
        <v>96791</v>
      </c>
      <c r="U14" s="16">
        <f t="shared" si="7"/>
        <v>784</v>
      </c>
      <c r="V14" s="16">
        <f t="shared" si="13"/>
        <v>481995</v>
      </c>
      <c r="W14" s="16">
        <f>SUM(V14:$V$23)</f>
        <v>3854538</v>
      </c>
      <c r="X14" s="16">
        <f t="shared" si="8"/>
        <v>39.823310018493451</v>
      </c>
    </row>
    <row r="15" spans="2:24" x14ac:dyDescent="0.25">
      <c r="B15" s="54" t="s">
        <v>266</v>
      </c>
      <c r="C15" s="16">
        <f>'Tasas de crecimiento'!I20</f>
        <v>35890</v>
      </c>
      <c r="D15" s="16">
        <f>'Datos de Defunciones'!C13</f>
        <v>218</v>
      </c>
      <c r="E15" s="16">
        <f t="shared" si="0"/>
        <v>6.0741153524658678E-3</v>
      </c>
      <c r="F15" s="16">
        <f t="shared" si="1"/>
        <v>6.0741153524658678E-3</v>
      </c>
      <c r="G15" s="16">
        <f t="shared" si="9"/>
        <v>2.9916289282283515E-2</v>
      </c>
      <c r="H15" s="17">
        <f t="shared" si="3"/>
        <v>91951</v>
      </c>
      <c r="I15" s="16">
        <f t="shared" si="2"/>
        <v>2751</v>
      </c>
      <c r="J15" s="16">
        <f t="shared" si="10"/>
        <v>452878</v>
      </c>
      <c r="K15" s="16">
        <f>SUM(J15:$J$23)</f>
        <v>2951632</v>
      </c>
      <c r="L15" s="16">
        <f t="shared" si="4"/>
        <v>32.100053289251882</v>
      </c>
      <c r="N15" s="54" t="s">
        <v>266</v>
      </c>
      <c r="O15" s="16">
        <f>'Tasas de crecimiento'!X20</f>
        <v>38673</v>
      </c>
      <c r="P15" s="16">
        <f>'Datos de Defunciones'!F13</f>
        <v>103</v>
      </c>
      <c r="Q15" s="16">
        <f t="shared" si="5"/>
        <v>2.6633568639619371E-3</v>
      </c>
      <c r="R15" s="16">
        <f t="shared" si="6"/>
        <v>2.6633568639619371E-3</v>
      </c>
      <c r="S15" s="16">
        <f t="shared" si="12"/>
        <v>1.3228702431255698E-2</v>
      </c>
      <c r="T15" s="17">
        <f t="shared" si="11"/>
        <v>96007</v>
      </c>
      <c r="U15" s="16">
        <f t="shared" si="7"/>
        <v>1270</v>
      </c>
      <c r="V15" s="16">
        <f t="shared" si="13"/>
        <v>476860</v>
      </c>
      <c r="W15" s="16">
        <f>SUM(V15:$V$23)</f>
        <v>3372543</v>
      </c>
      <c r="X15" s="16">
        <f t="shared" si="8"/>
        <v>35.128094826418909</v>
      </c>
    </row>
    <row r="16" spans="2:24" x14ac:dyDescent="0.25">
      <c r="B16" s="54" t="s">
        <v>267</v>
      </c>
      <c r="C16" s="16">
        <f>'Tasas de crecimiento'!I21</f>
        <v>27500</v>
      </c>
      <c r="D16" s="16">
        <f>'Datos de Defunciones'!C14</f>
        <v>193</v>
      </c>
      <c r="E16" s="16">
        <f t="shared" si="0"/>
        <v>7.0181818181818184E-3</v>
      </c>
      <c r="F16" s="16">
        <f t="shared" si="1"/>
        <v>7.0181818181818184E-3</v>
      </c>
      <c r="G16" s="16">
        <f t="shared" si="9"/>
        <v>3.4485839363888146E-2</v>
      </c>
      <c r="H16" s="17">
        <f t="shared" si="3"/>
        <v>89200</v>
      </c>
      <c r="I16" s="16">
        <f t="shared" si="2"/>
        <v>3076</v>
      </c>
      <c r="J16" s="16">
        <f t="shared" si="10"/>
        <v>438310</v>
      </c>
      <c r="K16" s="16">
        <f>SUM(J16:$J$23)</f>
        <v>2498754</v>
      </c>
      <c r="L16" s="16">
        <f t="shared" si="4"/>
        <v>28.01293721973094</v>
      </c>
      <c r="N16" s="54" t="s">
        <v>267</v>
      </c>
      <c r="O16" s="16">
        <f>'Tasas de crecimiento'!X21</f>
        <v>29433</v>
      </c>
      <c r="P16" s="16">
        <f>'Datos de Defunciones'!F14</f>
        <v>120</v>
      </c>
      <c r="Q16" s="16">
        <f t="shared" si="5"/>
        <v>4.0770563653042503E-3</v>
      </c>
      <c r="R16" s="16">
        <f t="shared" si="6"/>
        <v>4.0770563653042503E-3</v>
      </c>
      <c r="S16" s="16">
        <f t="shared" si="12"/>
        <v>2.0179598425991322E-2</v>
      </c>
      <c r="T16" s="17">
        <f t="shared" si="11"/>
        <v>94737</v>
      </c>
      <c r="U16" s="16">
        <f t="shared" si="7"/>
        <v>1912</v>
      </c>
      <c r="V16" s="16">
        <f t="shared" si="13"/>
        <v>468905</v>
      </c>
      <c r="W16" s="16">
        <f>SUM(V16:$V$23)</f>
        <v>2895683</v>
      </c>
      <c r="X16" s="16">
        <f t="shared" si="8"/>
        <v>30.565491835291386</v>
      </c>
    </row>
    <row r="17" spans="2:24" x14ac:dyDescent="0.25">
      <c r="B17" s="54" t="s">
        <v>268</v>
      </c>
      <c r="C17" s="16">
        <f>'Tasas de crecimiento'!I22</f>
        <v>20388</v>
      </c>
      <c r="D17" s="16">
        <f>'Datos de Defunciones'!C15</f>
        <v>253</v>
      </c>
      <c r="E17" s="16">
        <f t="shared" si="0"/>
        <v>1.2409260349225034E-2</v>
      </c>
      <c r="F17" s="16">
        <f t="shared" si="1"/>
        <v>1.2409260349225034E-2</v>
      </c>
      <c r="G17" s="16">
        <f t="shared" si="9"/>
        <v>6.0179348731000698E-2</v>
      </c>
      <c r="H17" s="17">
        <f t="shared" si="3"/>
        <v>86124</v>
      </c>
      <c r="I17" s="16">
        <f t="shared" si="2"/>
        <v>5183</v>
      </c>
      <c r="J17" s="16">
        <f t="shared" si="10"/>
        <v>417663</v>
      </c>
      <c r="K17" s="16">
        <f>SUM(J17:$J$23)</f>
        <v>2060444</v>
      </c>
      <c r="L17" s="16">
        <f t="shared" si="4"/>
        <v>23.924155868282941</v>
      </c>
      <c r="N17" s="54" t="s">
        <v>268</v>
      </c>
      <c r="O17" s="16">
        <f>'Tasas de crecimiento'!X22</f>
        <v>21991</v>
      </c>
      <c r="P17" s="16">
        <f>'Datos de Defunciones'!F15</f>
        <v>155</v>
      </c>
      <c r="Q17" s="16">
        <f t="shared" si="5"/>
        <v>7.0483379564367241E-3</v>
      </c>
      <c r="R17" s="16">
        <f t="shared" si="6"/>
        <v>7.0483379564367241E-3</v>
      </c>
      <c r="S17" s="16">
        <f t="shared" si="12"/>
        <v>3.463145429765177E-2</v>
      </c>
      <c r="T17" s="17">
        <f t="shared" si="11"/>
        <v>92825</v>
      </c>
      <c r="U17" s="16">
        <f t="shared" si="7"/>
        <v>3215</v>
      </c>
      <c r="V17" s="16">
        <f t="shared" si="13"/>
        <v>456088</v>
      </c>
      <c r="W17" s="16">
        <f>SUM(V17:$V$23)</f>
        <v>2426778</v>
      </c>
      <c r="X17" s="16">
        <f t="shared" si="8"/>
        <v>26.143582009157015</v>
      </c>
    </row>
    <row r="18" spans="2:24" x14ac:dyDescent="0.25">
      <c r="B18" s="54" t="s">
        <v>269</v>
      </c>
      <c r="C18" s="16">
        <f>'Tasas de crecimiento'!I23</f>
        <v>15625</v>
      </c>
      <c r="D18" s="16">
        <f>'Datos de Defunciones'!C16</f>
        <v>265</v>
      </c>
      <c r="E18" s="16">
        <f t="shared" si="0"/>
        <v>1.6959999999999999E-2</v>
      </c>
      <c r="F18" s="16">
        <f t="shared" si="1"/>
        <v>1.6959999999999999E-2</v>
      </c>
      <c r="G18" s="16">
        <f t="shared" si="9"/>
        <v>8.1350729086722945E-2</v>
      </c>
      <c r="H18" s="17">
        <f t="shared" si="3"/>
        <v>80941</v>
      </c>
      <c r="I18" s="16">
        <f t="shared" si="2"/>
        <v>6585</v>
      </c>
      <c r="J18" s="16">
        <f t="shared" si="10"/>
        <v>388243</v>
      </c>
      <c r="K18" s="16">
        <f>SUM(J18:$J$23)</f>
        <v>1642781</v>
      </c>
      <c r="L18" s="16">
        <f t="shared" si="4"/>
        <v>20.296030441926835</v>
      </c>
      <c r="N18" s="54" t="s">
        <v>269</v>
      </c>
      <c r="O18" s="16">
        <f>'Tasas de crecimiento'!X23</f>
        <v>17410</v>
      </c>
      <c r="P18" s="16">
        <f>'Datos de Defunciones'!F16</f>
        <v>210</v>
      </c>
      <c r="Q18" s="16">
        <f t="shared" si="5"/>
        <v>1.2062033314187249E-2</v>
      </c>
      <c r="R18" s="16">
        <f t="shared" si="6"/>
        <v>1.2062033314187249E-2</v>
      </c>
      <c r="S18" s="16">
        <f t="shared" si="12"/>
        <v>5.8544744912182888E-2</v>
      </c>
      <c r="T18" s="17">
        <f t="shared" si="11"/>
        <v>89610</v>
      </c>
      <c r="U18" s="16">
        <f t="shared" si="7"/>
        <v>5246</v>
      </c>
      <c r="V18" s="16">
        <f t="shared" si="13"/>
        <v>434935</v>
      </c>
      <c r="W18" s="16">
        <f>SUM(V18:$V$23)</f>
        <v>1970690</v>
      </c>
      <c r="X18" s="16">
        <f t="shared" si="8"/>
        <v>21.991853587769221</v>
      </c>
    </row>
    <row r="19" spans="2:24" x14ac:dyDescent="0.25">
      <c r="B19" s="54" t="s">
        <v>270</v>
      </c>
      <c r="C19" s="16">
        <f>'Tasas de crecimiento'!I24</f>
        <v>11879</v>
      </c>
      <c r="D19" s="16">
        <f>'Datos de Defunciones'!C17</f>
        <v>263</v>
      </c>
      <c r="E19" s="16">
        <f t="shared" si="0"/>
        <v>2.213991076689957E-2</v>
      </c>
      <c r="F19" s="16">
        <f t="shared" si="1"/>
        <v>2.213991076689957E-2</v>
      </c>
      <c r="G19" s="16">
        <f t="shared" si="9"/>
        <v>0.10489371036573207</v>
      </c>
      <c r="H19" s="17">
        <f t="shared" si="3"/>
        <v>74356</v>
      </c>
      <c r="I19" s="16">
        <f t="shared" si="2"/>
        <v>7799</v>
      </c>
      <c r="J19" s="16">
        <f t="shared" si="10"/>
        <v>352283</v>
      </c>
      <c r="K19" s="16">
        <f>SUM(J19:$J$23)</f>
        <v>1254538</v>
      </c>
      <c r="L19" s="16">
        <f t="shared" si="4"/>
        <v>16.87204798536769</v>
      </c>
      <c r="N19" s="54" t="s">
        <v>270</v>
      </c>
      <c r="O19" s="16">
        <f>'Tasas de crecimiento'!X24</f>
        <v>13411</v>
      </c>
      <c r="P19" s="16">
        <f>'Datos de Defunciones'!F17</f>
        <v>252</v>
      </c>
      <c r="Q19" s="16">
        <f t="shared" si="5"/>
        <v>1.8790545074938485E-2</v>
      </c>
      <c r="R19" s="16">
        <f t="shared" si="6"/>
        <v>1.8790545074938485E-2</v>
      </c>
      <c r="S19" s="16">
        <f t="shared" si="12"/>
        <v>8.9737198205256039E-2</v>
      </c>
      <c r="T19" s="17">
        <f t="shared" si="11"/>
        <v>84364</v>
      </c>
      <c r="U19" s="16">
        <f t="shared" si="7"/>
        <v>7571</v>
      </c>
      <c r="V19" s="16">
        <f t="shared" si="13"/>
        <v>402893</v>
      </c>
      <c r="W19" s="16">
        <f>SUM(V19:$V$23)</f>
        <v>1535755</v>
      </c>
      <c r="X19" s="16">
        <f t="shared" si="8"/>
        <v>18.203913991750035</v>
      </c>
    </row>
    <row r="20" spans="2:24" x14ac:dyDescent="0.25">
      <c r="B20" s="54" t="s">
        <v>271</v>
      </c>
      <c r="C20" s="16">
        <f>'Tasas de crecimiento'!I25</f>
        <v>8635</v>
      </c>
      <c r="D20" s="16">
        <f>'Datos de Defunciones'!C18</f>
        <v>324</v>
      </c>
      <c r="E20" s="16">
        <f t="shared" si="0"/>
        <v>3.7521713954834973E-2</v>
      </c>
      <c r="F20" s="16">
        <f t="shared" si="1"/>
        <v>3.7521713954834973E-2</v>
      </c>
      <c r="G20" s="16">
        <f t="shared" si="9"/>
        <v>0.17151932239280041</v>
      </c>
      <c r="H20" s="17">
        <f t="shared" si="3"/>
        <v>66557</v>
      </c>
      <c r="I20" s="16">
        <f t="shared" si="2"/>
        <v>11416</v>
      </c>
      <c r="J20" s="16">
        <f t="shared" si="10"/>
        <v>304245</v>
      </c>
      <c r="K20" s="16">
        <f>SUM(J20:$J$23)</f>
        <v>902255</v>
      </c>
      <c r="L20" s="16">
        <f t="shared" si="4"/>
        <v>13.556124825337681</v>
      </c>
      <c r="N20" s="54" t="s">
        <v>271</v>
      </c>
      <c r="O20" s="16">
        <f>'Tasas de crecimiento'!X25</f>
        <v>9799</v>
      </c>
      <c r="P20" s="16">
        <f>'Datos de Defunciones'!F18</f>
        <v>257</v>
      </c>
      <c r="Q20" s="16">
        <f t="shared" si="5"/>
        <v>2.6227166037350751E-2</v>
      </c>
      <c r="R20" s="16">
        <f t="shared" si="6"/>
        <v>2.6227166037350751E-2</v>
      </c>
      <c r="S20" s="16">
        <f t="shared" si="12"/>
        <v>0.1230666092036585</v>
      </c>
      <c r="T20" s="17">
        <f t="shared" si="11"/>
        <v>76793</v>
      </c>
      <c r="U20" s="16">
        <f t="shared" si="7"/>
        <v>9451</v>
      </c>
      <c r="V20" s="16">
        <f t="shared" si="13"/>
        <v>360338</v>
      </c>
      <c r="W20" s="16">
        <f>SUM(V20:$V$23)</f>
        <v>1132862</v>
      </c>
      <c r="X20" s="16">
        <f t="shared" si="8"/>
        <v>14.752151888844034</v>
      </c>
    </row>
    <row r="21" spans="2:24" x14ac:dyDescent="0.25">
      <c r="B21" s="54" t="s">
        <v>272</v>
      </c>
      <c r="C21" s="16">
        <f>'Tasas de crecimiento'!I26</f>
        <v>6155</v>
      </c>
      <c r="D21" s="16">
        <f>'Datos de Defunciones'!C19</f>
        <v>306</v>
      </c>
      <c r="E21" s="16">
        <f t="shared" si="0"/>
        <v>4.9715678310316813E-2</v>
      </c>
      <c r="F21" s="16">
        <f t="shared" si="1"/>
        <v>4.9715678310316813E-2</v>
      </c>
      <c r="G21" s="16">
        <f t="shared" si="9"/>
        <v>0.22109826589595374</v>
      </c>
      <c r="H21" s="17">
        <f t="shared" si="3"/>
        <v>55141</v>
      </c>
      <c r="I21" s="16">
        <f t="shared" si="2"/>
        <v>12192</v>
      </c>
      <c r="J21" s="16">
        <f t="shared" si="10"/>
        <v>245225</v>
      </c>
      <c r="K21" s="16">
        <f>SUM(J21:$J$23)</f>
        <v>598010</v>
      </c>
      <c r="L21" s="16">
        <f t="shared" si="4"/>
        <v>10.845106182332566</v>
      </c>
      <c r="N21" s="54" t="s">
        <v>272</v>
      </c>
      <c r="O21" s="16">
        <f>'Tasas de crecimiento'!X26</f>
        <v>7207</v>
      </c>
      <c r="P21" s="16">
        <f>'Datos de Defunciones'!F19</f>
        <v>277</v>
      </c>
      <c r="Q21" s="16">
        <f t="shared" si="5"/>
        <v>3.8434855002081311E-2</v>
      </c>
      <c r="R21" s="16">
        <f t="shared" si="6"/>
        <v>3.8434855002081311E-2</v>
      </c>
      <c r="S21" s="16">
        <f t="shared" si="12"/>
        <v>0.17532755237673273</v>
      </c>
      <c r="T21" s="17">
        <f t="shared" si="11"/>
        <v>67342</v>
      </c>
      <c r="U21" s="16">
        <f t="shared" si="7"/>
        <v>11807</v>
      </c>
      <c r="V21" s="16">
        <f t="shared" si="13"/>
        <v>307193</v>
      </c>
      <c r="W21" s="16">
        <f>SUM(V21:$V$23)</f>
        <v>772524</v>
      </c>
      <c r="X21" s="16">
        <f t="shared" si="8"/>
        <v>11.471652163582904</v>
      </c>
    </row>
    <row r="22" spans="2:24" x14ac:dyDescent="0.25">
      <c r="B22" s="54" t="s">
        <v>273</v>
      </c>
      <c r="C22" s="16">
        <f>'Tasas de crecimiento'!I27</f>
        <v>3801</v>
      </c>
      <c r="D22" s="16">
        <f>'Datos de Defunciones'!C20</f>
        <v>298</v>
      </c>
      <c r="E22" s="16">
        <f t="shared" si="0"/>
        <v>7.840042094185741E-2</v>
      </c>
      <c r="F22" s="16">
        <f t="shared" si="1"/>
        <v>7.840042094185741E-2</v>
      </c>
      <c r="G22" s="16">
        <f t="shared" si="9"/>
        <v>0.32776066871975362</v>
      </c>
      <c r="H22" s="17">
        <f t="shared" si="3"/>
        <v>42949</v>
      </c>
      <c r="I22" s="16">
        <f t="shared" si="2"/>
        <v>14077</v>
      </c>
      <c r="J22" s="16">
        <f t="shared" si="10"/>
        <v>179553</v>
      </c>
      <c r="K22" s="16">
        <f>SUM(J22:$J$23)</f>
        <v>352785</v>
      </c>
      <c r="L22" s="16">
        <f t="shared" si="4"/>
        <v>8.2140445644834568</v>
      </c>
      <c r="N22" s="54" t="s">
        <v>273</v>
      </c>
      <c r="O22" s="16">
        <f>'Tasas de crecimiento'!X27</f>
        <v>4677</v>
      </c>
      <c r="P22" s="16">
        <f>'Datos de Defunciones'!F20</f>
        <v>341</v>
      </c>
      <c r="Q22" s="16">
        <f t="shared" si="5"/>
        <v>7.2909985033140903E-2</v>
      </c>
      <c r="R22" s="16">
        <f t="shared" si="6"/>
        <v>7.2909985033140903E-2</v>
      </c>
      <c r="S22" s="16">
        <f t="shared" si="12"/>
        <v>0.30834614341260513</v>
      </c>
      <c r="T22" s="17">
        <f t="shared" si="11"/>
        <v>55535</v>
      </c>
      <c r="U22" s="16">
        <f t="shared" si="7"/>
        <v>17124</v>
      </c>
      <c r="V22" s="16">
        <f t="shared" si="13"/>
        <v>234865</v>
      </c>
      <c r="W22" s="16">
        <f>SUM(V22:$V$23)</f>
        <v>465331</v>
      </c>
      <c r="X22" s="16">
        <f t="shared" si="8"/>
        <v>8.379058251553074</v>
      </c>
    </row>
    <row r="23" spans="2:24" x14ac:dyDescent="0.25">
      <c r="B23" s="54" t="s">
        <v>290</v>
      </c>
      <c r="C23" s="16">
        <f>'Tasas de crecimiento'!I28</f>
        <v>2896</v>
      </c>
      <c r="D23" s="16">
        <f>'Datos de Defunciones'!C21</f>
        <v>411</v>
      </c>
      <c r="E23" s="16">
        <f t="shared" si="0"/>
        <v>0.14191988950276244</v>
      </c>
      <c r="F23" s="16">
        <f t="shared" si="1"/>
        <v>0.14191988950276244</v>
      </c>
      <c r="G23" s="16">
        <v>1</v>
      </c>
      <c r="H23" s="17">
        <f t="shared" si="3"/>
        <v>28872</v>
      </c>
      <c r="I23" s="16">
        <f t="shared" si="2"/>
        <v>28872</v>
      </c>
      <c r="J23" s="16">
        <f>ROUND(-0.1167227 + (6*H23),0)</f>
        <v>173232</v>
      </c>
      <c r="K23" s="16">
        <f>SUM(J23:$J$23)</f>
        <v>173232</v>
      </c>
      <c r="L23" s="16">
        <f t="shared" si="4"/>
        <v>6</v>
      </c>
      <c r="N23" s="54" t="s">
        <v>290</v>
      </c>
      <c r="O23" s="16">
        <f>'Tasas de crecimiento'!X28</f>
        <v>4367</v>
      </c>
      <c r="P23" s="16">
        <f>'Datos de Defunciones'!F21</f>
        <v>646</v>
      </c>
      <c r="Q23" s="16">
        <f t="shared" si="5"/>
        <v>0.14792763911151821</v>
      </c>
      <c r="R23" s="16">
        <f t="shared" si="6"/>
        <v>0.14792763911151821</v>
      </c>
      <c r="S23" s="16">
        <v>1</v>
      </c>
      <c r="T23" s="17">
        <f t="shared" si="11"/>
        <v>38411</v>
      </c>
      <c r="U23" s="16">
        <f t="shared" si="7"/>
        <v>38411</v>
      </c>
      <c r="V23" s="16">
        <f>ROUND(-0.1167227 + (6*T23),0)</f>
        <v>230466</v>
      </c>
      <c r="W23" s="16">
        <f>SUM(V23:$V$23)</f>
        <v>230466</v>
      </c>
      <c r="X23" s="16">
        <f t="shared" si="8"/>
        <v>6</v>
      </c>
    </row>
    <row r="24" spans="2:24" x14ac:dyDescent="0.25">
      <c r="B24" s="54" t="s">
        <v>107</v>
      </c>
      <c r="C24" s="16">
        <f>SUM(C5:C23)</f>
        <v>764998</v>
      </c>
      <c r="N24" s="54" t="s">
        <v>107</v>
      </c>
      <c r="O24" s="16">
        <f>SUM(O5:O23)</f>
        <v>817765</v>
      </c>
    </row>
    <row r="26" spans="2:24" x14ac:dyDescent="0.25">
      <c r="B26" s="210" t="s">
        <v>487</v>
      </c>
      <c r="C26" s="210"/>
      <c r="D26" s="210"/>
      <c r="E26" s="95"/>
      <c r="F26" s="180" t="s">
        <v>491</v>
      </c>
      <c r="G26" s="180"/>
      <c r="H26" s="180"/>
      <c r="I26" s="180"/>
      <c r="M26" s="210" t="s">
        <v>504</v>
      </c>
      <c r="N26" s="210"/>
      <c r="O26" s="210"/>
    </row>
    <row r="27" spans="2:24" x14ac:dyDescent="0.25">
      <c r="B27" s="93" t="s">
        <v>490</v>
      </c>
      <c r="C27" s="16" t="s">
        <v>220</v>
      </c>
      <c r="D27" s="16">
        <f>'Tasas de crecimiento'!I11</f>
        <v>84816</v>
      </c>
      <c r="E27" s="51"/>
      <c r="F27" s="16">
        <v>1</v>
      </c>
      <c r="G27" s="16">
        <v>0.34399999999999997</v>
      </c>
      <c r="H27" s="16">
        <v>-0.20799999999999999</v>
      </c>
      <c r="I27" s="16">
        <v>6.4000000000000001E-2</v>
      </c>
      <c r="M27" s="93" t="s">
        <v>490</v>
      </c>
      <c r="N27" s="16" t="s">
        <v>220</v>
      </c>
      <c r="O27" s="16">
        <f>'Tasas de crecimiento'!X11</f>
        <v>81872</v>
      </c>
    </row>
    <row r="28" spans="2:24" x14ac:dyDescent="0.25">
      <c r="B28" s="93" t="s">
        <v>488</v>
      </c>
      <c r="C28" s="94" t="s">
        <v>221</v>
      </c>
      <c r="D28" s="16">
        <f>'Tasas de crecimiento'!I12</f>
        <v>87978</v>
      </c>
      <c r="E28" s="51"/>
      <c r="F28" s="16">
        <v>2</v>
      </c>
      <c r="G28" s="16">
        <v>0.248</v>
      </c>
      <c r="H28" s="16">
        <v>-5.6000000000000001E-2</v>
      </c>
      <c r="I28" s="16">
        <v>8.0000000000000002E-3</v>
      </c>
      <c r="M28" s="93" t="s">
        <v>488</v>
      </c>
      <c r="N28" s="94" t="s">
        <v>221</v>
      </c>
      <c r="O28" s="16">
        <f>'Tasas de crecimiento'!X12</f>
        <v>85034</v>
      </c>
    </row>
    <row r="29" spans="2:24" x14ac:dyDescent="0.25">
      <c r="B29" s="93" t="s">
        <v>489</v>
      </c>
      <c r="C29" s="16" t="s">
        <v>222</v>
      </c>
      <c r="D29" s="16">
        <f>'Tasas de crecimiento'!I13</f>
        <v>90325</v>
      </c>
      <c r="E29" s="51"/>
      <c r="F29" s="16">
        <v>3</v>
      </c>
      <c r="G29" s="16">
        <v>0.17599999999999999</v>
      </c>
      <c r="H29" s="16">
        <v>4.8000000000000001E-2</v>
      </c>
      <c r="I29" s="16">
        <v>-2.4E-2</v>
      </c>
      <c r="M29" s="93" t="s">
        <v>489</v>
      </c>
      <c r="N29" s="16" t="s">
        <v>222</v>
      </c>
      <c r="O29" s="16">
        <f>'Tasas de crecimiento'!X13</f>
        <v>89390</v>
      </c>
    </row>
    <row r="30" spans="2:24" x14ac:dyDescent="0.25">
      <c r="F30" s="16">
        <v>4</v>
      </c>
      <c r="G30" s="16">
        <v>0.128</v>
      </c>
      <c r="H30" s="16">
        <v>0.104</v>
      </c>
      <c r="I30" s="16">
        <v>-3.2000000000000001E-2</v>
      </c>
    </row>
    <row r="31" spans="2:24" x14ac:dyDescent="0.25">
      <c r="C31" s="56">
        <v>1</v>
      </c>
      <c r="D31" s="36">
        <f>ROUND(($D$27*G28)+($D$28*H28)+($D$29*I28),0)</f>
        <v>16830</v>
      </c>
      <c r="F31" s="16">
        <v>5</v>
      </c>
      <c r="G31" s="16">
        <v>0.104</v>
      </c>
      <c r="H31" s="16">
        <v>0.112</v>
      </c>
      <c r="I31" s="16">
        <v>-1.6E-2</v>
      </c>
      <c r="N31" s="56">
        <v>1</v>
      </c>
      <c r="O31" s="36">
        <f>ROUND(($O$27*G28)+($O$28*H28)+($O$29*I28),0)</f>
        <v>16257</v>
      </c>
    </row>
    <row r="32" spans="2:24" x14ac:dyDescent="0.25">
      <c r="C32" s="56">
        <v>2</v>
      </c>
      <c r="D32" s="36">
        <f t="shared" ref="D32:D34" si="14">ROUND(($D$27*G29)+($D$28*H29)+($D$29*I29),0)</f>
        <v>16983</v>
      </c>
      <c r="N32" s="56">
        <v>2</v>
      </c>
      <c r="O32" s="36">
        <f>ROUND(($O$27*G29)+($O$28*H29)+($O$29*I29),0)</f>
        <v>16346</v>
      </c>
    </row>
    <row r="33" spans="2:24" x14ac:dyDescent="0.25">
      <c r="C33" s="56">
        <v>3</v>
      </c>
      <c r="D33" s="36">
        <f t="shared" si="14"/>
        <v>17116</v>
      </c>
      <c r="N33" s="56">
        <v>3</v>
      </c>
      <c r="O33" s="36">
        <f>ROUND(($O$27*G30)+($O$28*H30)+($O$29*I30),0)</f>
        <v>16463</v>
      </c>
    </row>
    <row r="34" spans="2:24" x14ac:dyDescent="0.25">
      <c r="C34" s="56">
        <v>4</v>
      </c>
      <c r="D34" s="36">
        <f t="shared" si="14"/>
        <v>17229</v>
      </c>
      <c r="N34" s="56">
        <v>4</v>
      </c>
      <c r="O34" s="36">
        <f>ROUND(($O$27*G31)+($O$28*H31)+($O$29*I31),0)</f>
        <v>16608</v>
      </c>
    </row>
    <row r="35" spans="2:24" x14ac:dyDescent="0.25">
      <c r="C35" s="56" t="s">
        <v>492</v>
      </c>
      <c r="D35" s="16">
        <f>SUM(D31:D34)</f>
        <v>68158</v>
      </c>
      <c r="N35" s="56" t="s">
        <v>492</v>
      </c>
      <c r="O35" s="16">
        <f>SUM(O31:O34)</f>
        <v>65674</v>
      </c>
    </row>
    <row r="36" spans="2:24" x14ac:dyDescent="0.25">
      <c r="C36" s="56" t="s">
        <v>493</v>
      </c>
      <c r="D36" s="16">
        <f>D27-D35</f>
        <v>16658</v>
      </c>
      <c r="N36" s="56" t="s">
        <v>493</v>
      </c>
      <c r="O36" s="16">
        <f>O27-O35</f>
        <v>16198</v>
      </c>
    </row>
    <row r="42" spans="2:24" x14ac:dyDescent="0.25">
      <c r="B42" s="93" t="s">
        <v>500</v>
      </c>
      <c r="N42" s="16" t="s">
        <v>503</v>
      </c>
    </row>
    <row r="43" spans="2:24" ht="18" x14ac:dyDescent="0.35">
      <c r="B43" s="92" t="s">
        <v>484</v>
      </c>
      <c r="C43" s="47"/>
      <c r="D43" s="47"/>
      <c r="E43" s="47"/>
      <c r="F43" s="47"/>
      <c r="G43" s="87" t="s">
        <v>494</v>
      </c>
      <c r="H43" s="87" t="s">
        <v>495</v>
      </c>
      <c r="I43" s="87" t="s">
        <v>496</v>
      </c>
      <c r="J43" s="87" t="s">
        <v>497</v>
      </c>
      <c r="K43" s="87" t="s">
        <v>498</v>
      </c>
      <c r="L43" s="103" t="s">
        <v>550</v>
      </c>
      <c r="N43" s="92" t="s">
        <v>484</v>
      </c>
      <c r="O43" s="47"/>
      <c r="P43" s="47"/>
      <c r="Q43" s="47"/>
      <c r="R43" s="47"/>
      <c r="S43" s="87" t="s">
        <v>494</v>
      </c>
      <c r="T43" s="87" t="s">
        <v>495</v>
      </c>
      <c r="U43" s="87" t="s">
        <v>496</v>
      </c>
      <c r="V43" s="87" t="s">
        <v>497</v>
      </c>
      <c r="W43" s="87" t="s">
        <v>498</v>
      </c>
      <c r="X43" s="103" t="s">
        <v>550</v>
      </c>
    </row>
    <row r="44" spans="2:24" x14ac:dyDescent="0.25">
      <c r="B44" s="92" t="s">
        <v>485</v>
      </c>
      <c r="C44" s="16">
        <f>D76</f>
        <v>18038</v>
      </c>
      <c r="D44" s="16">
        <f>'Datos de Defunciones'!K3</f>
        <v>267</v>
      </c>
      <c r="E44" s="16">
        <f>D44/C44</f>
        <v>1.4802084488302473E-2</v>
      </c>
      <c r="F44" s="16">
        <f>E44</f>
        <v>1.4802084488302473E-2</v>
      </c>
      <c r="G44" s="16">
        <f>D44/'Diagramas de Lexis'!C15</f>
        <v>1.2799616490891659E-2</v>
      </c>
      <c r="H44" s="17">
        <v>100000</v>
      </c>
      <c r="I44" s="16">
        <f>ROUND(H44*G44,0)</f>
        <v>1280</v>
      </c>
      <c r="J44" s="16">
        <f>ROUND(('Diagramas de Lexis'!N71*'Tabla de mortalidad'!H44)+((1-'Diagramas de Lexis'!N71)*'Tabla de mortalidad'!H45),0)</f>
        <v>98822</v>
      </c>
      <c r="K44" s="16">
        <f>SUM(J44:$J$62)</f>
        <v>7378773</v>
      </c>
      <c r="L44" s="16">
        <f>K44/H44</f>
        <v>73.787729999999996</v>
      </c>
      <c r="N44" s="92" t="s">
        <v>485</v>
      </c>
      <c r="O44" s="16">
        <f>O76</f>
        <v>17458</v>
      </c>
      <c r="P44" s="16">
        <f>'Datos de Defunciones'!N3</f>
        <v>223</v>
      </c>
      <c r="Q44" s="16">
        <f>P44/O44</f>
        <v>1.2773513575438194E-2</v>
      </c>
      <c r="R44" s="16">
        <f>Q44</f>
        <v>1.2773513575438194E-2</v>
      </c>
      <c r="S44" s="16">
        <f>P44/'Diagramas de Lexis'!D15</f>
        <v>1.1152230446089218E-2</v>
      </c>
      <c r="T44" s="17">
        <v>100000</v>
      </c>
      <c r="U44" s="16">
        <f>ROUND(T44*S44,0)</f>
        <v>1115</v>
      </c>
      <c r="V44" s="16">
        <f>ROUND(('Diagramas de Lexis'!H89*'Tabla de mortalidad'!T44)+((1-'Diagramas de Lexis'!H89)*'Tabla de mortalidad'!T45),0)</f>
        <v>98978</v>
      </c>
      <c r="W44" s="16">
        <f>SUM(V44:$V$62)</f>
        <v>7833610</v>
      </c>
      <c r="X44" s="16">
        <f>W44/T44</f>
        <v>78.336100000000002</v>
      </c>
    </row>
    <row r="45" spans="2:24" x14ac:dyDescent="0.25">
      <c r="B45" s="43" t="s">
        <v>486</v>
      </c>
      <c r="C45" s="16">
        <f>D75</f>
        <v>73675</v>
      </c>
      <c r="D45" s="16">
        <f>'Datos de Defunciones'!K4</f>
        <v>43</v>
      </c>
      <c r="E45" s="16">
        <f t="shared" ref="E45:E62" si="15">D45/C45</f>
        <v>5.8364438411944353E-4</v>
      </c>
      <c r="F45" s="16">
        <f t="shared" ref="F45:F62" si="16">E45</f>
        <v>5.8364438411944353E-4</v>
      </c>
      <c r="G45" s="16">
        <f>1-(EXP(-4*F45-0.008*(4^3)*(F45^2)))</f>
        <v>2.3320285311397848E-3</v>
      </c>
      <c r="H45" s="17">
        <f>H44-I44</f>
        <v>98720</v>
      </c>
      <c r="I45" s="16">
        <f t="shared" ref="I45:I62" si="17">ROUND(H45*G45,0)</f>
        <v>230</v>
      </c>
      <c r="J45" s="16">
        <f>ROUND(('Diagramas de Lexis'!K221*'Tabla de mortalidad'!H45)+((4-'Diagramas de Lexis'!K221)*'Tabla de mortalidad'!H46),0)</f>
        <v>394053</v>
      </c>
      <c r="K45" s="16">
        <f>SUM(J45:$J$62)</f>
        <v>7279951</v>
      </c>
      <c r="L45" s="16">
        <f t="shared" ref="L45:L61" si="18">K45/H45</f>
        <v>73.743425850891413</v>
      </c>
      <c r="N45" s="43" t="s">
        <v>486</v>
      </c>
      <c r="O45" s="16">
        <f>O75</f>
        <v>71163</v>
      </c>
      <c r="P45" s="16">
        <f>'Datos de Defunciones'!N4</f>
        <v>42</v>
      </c>
      <c r="Q45" s="16">
        <f t="shared" ref="Q45:Q62" si="19">P45/O45</f>
        <v>5.9019434256565916E-4</v>
      </c>
      <c r="R45" s="16">
        <f t="shared" ref="R45:R62" si="20">Q45</f>
        <v>5.9019434256565916E-4</v>
      </c>
      <c r="S45" s="16">
        <f>1-(EXP(-4*R45-0.008*(4^3)*(R45^2)))</f>
        <v>2.3581708510299615E-3</v>
      </c>
      <c r="T45" s="17">
        <f>T44-U44</f>
        <v>98885</v>
      </c>
      <c r="U45" s="16">
        <f t="shared" ref="U45:U62" si="21">ROUND(T45*S45,0)</f>
        <v>233</v>
      </c>
      <c r="V45" s="16">
        <f>ROUND(('Diagramas de Lexis'!K261*'Tabla de mortalidad'!T45)+((4-'Diagramas de Lexis'!K261)*'Tabla de mortalidad'!T46),0)</f>
        <v>394696</v>
      </c>
      <c r="W45" s="16">
        <f>SUM(V45:$V$62)</f>
        <v>7734632</v>
      </c>
      <c r="X45" s="16">
        <f t="shared" ref="X45:X61" si="22">W45/T45</f>
        <v>78.218455781968956</v>
      </c>
    </row>
    <row r="46" spans="2:24" x14ac:dyDescent="0.25">
      <c r="B46" s="43" t="s">
        <v>292</v>
      </c>
      <c r="C46" s="16">
        <f>'Tasas de crecimiento'!J12</f>
        <v>93976</v>
      </c>
      <c r="D46" s="16">
        <f>'Datos de Defunciones'!K5</f>
        <v>27</v>
      </c>
      <c r="E46" s="16">
        <f t="shared" si="15"/>
        <v>2.8730739763343832E-4</v>
      </c>
      <c r="F46" s="16">
        <f t="shared" si="16"/>
        <v>2.8730739763343832E-4</v>
      </c>
      <c r="G46" s="16">
        <f>(5*F46)/(1+ ((5/2)*F46))</f>
        <v>1.4355059094993275E-3</v>
      </c>
      <c r="H46" s="17">
        <f t="shared" ref="H46:H62" si="23">H45-I45</f>
        <v>98490</v>
      </c>
      <c r="I46" s="16">
        <f t="shared" si="17"/>
        <v>141</v>
      </c>
      <c r="J46" s="16">
        <f>ROUND((5/2)*(H46+H47),0)</f>
        <v>492098</v>
      </c>
      <c r="K46" s="16">
        <f>SUM(J46:$J$62)</f>
        <v>6885898</v>
      </c>
      <c r="L46" s="16">
        <f t="shared" si="18"/>
        <v>69.914691846888005</v>
      </c>
      <c r="N46" s="43" t="s">
        <v>292</v>
      </c>
      <c r="O46" s="16">
        <f>'Tasas de crecimiento'!Y12</f>
        <v>90996</v>
      </c>
      <c r="P46" s="16">
        <f>'Datos de Defunciones'!N5</f>
        <v>20</v>
      </c>
      <c r="Q46" s="16">
        <f t="shared" si="19"/>
        <v>2.1978988087388457E-4</v>
      </c>
      <c r="R46" s="16">
        <f t="shared" si="20"/>
        <v>2.1978988087388457E-4</v>
      </c>
      <c r="S46" s="16">
        <f>(5*R46)/(1+ ((5/2)*R46))</f>
        <v>1.0983458910880212E-3</v>
      </c>
      <c r="T46" s="17">
        <f t="shared" ref="T46:T62" si="24">T45-U45</f>
        <v>98652</v>
      </c>
      <c r="U46" s="16">
        <f t="shared" si="21"/>
        <v>108</v>
      </c>
      <c r="V46" s="16">
        <f>ROUND((5/2)*(T46+T47),0)</f>
        <v>492990</v>
      </c>
      <c r="W46" s="16">
        <f>SUM(V46:$V$62)</f>
        <v>7339936</v>
      </c>
      <c r="X46" s="16">
        <f t="shared" si="22"/>
        <v>74.402303045047233</v>
      </c>
    </row>
    <row r="47" spans="2:24" x14ac:dyDescent="0.25">
      <c r="B47" s="43" t="s">
        <v>259</v>
      </c>
      <c r="C47" s="16">
        <f>'Tasas de crecimiento'!J13</f>
        <v>94314</v>
      </c>
      <c r="D47" s="16">
        <f>'Datos de Defunciones'!K6</f>
        <v>36</v>
      </c>
      <c r="E47" s="16">
        <f t="shared" si="15"/>
        <v>3.8170367071696672E-4</v>
      </c>
      <c r="F47" s="16">
        <f t="shared" si="16"/>
        <v>3.8170367071696672E-4</v>
      </c>
      <c r="G47" s="16">
        <f t="shared" ref="G47:G61" si="25">(5*F47)/(1+ ((5/2)*F47))</f>
        <v>1.9066988686920047E-3</v>
      </c>
      <c r="H47" s="17">
        <f t="shared" si="23"/>
        <v>98349</v>
      </c>
      <c r="I47" s="16">
        <f t="shared" si="17"/>
        <v>188</v>
      </c>
      <c r="J47" s="16">
        <f t="shared" ref="J47:J61" si="26">ROUND((5/2)*(H47+H48),0)</f>
        <v>491275</v>
      </c>
      <c r="K47" s="16">
        <f>SUM(J47:$J$62)</f>
        <v>6393800</v>
      </c>
      <c r="L47" s="16">
        <f t="shared" si="18"/>
        <v>65.011337176788786</v>
      </c>
      <c r="N47" s="43" t="s">
        <v>259</v>
      </c>
      <c r="O47" s="16">
        <f>'Tasas de crecimiento'!Y13</f>
        <v>92185</v>
      </c>
      <c r="P47" s="16">
        <f>'Datos de Defunciones'!N6</f>
        <v>32</v>
      </c>
      <c r="Q47" s="16">
        <f t="shared" si="19"/>
        <v>3.4712805771003959E-4</v>
      </c>
      <c r="R47" s="16">
        <f t="shared" si="20"/>
        <v>3.4712805771003959E-4</v>
      </c>
      <c r="S47" s="16">
        <f t="shared" ref="S47:S61" si="27">(5*R47)/(1+ ((5/2)*R47))</f>
        <v>1.7341353709423941E-3</v>
      </c>
      <c r="T47" s="17">
        <f t="shared" si="24"/>
        <v>98544</v>
      </c>
      <c r="U47" s="16">
        <f t="shared" si="21"/>
        <v>171</v>
      </c>
      <c r="V47" s="16">
        <f t="shared" ref="V47:V61" si="28">ROUND((5/2)*(T47+T48),0)</f>
        <v>492293</v>
      </c>
      <c r="W47" s="16">
        <f>SUM(V47:$V$62)</f>
        <v>6846946</v>
      </c>
      <c r="X47" s="16">
        <f t="shared" si="22"/>
        <v>69.481104887157002</v>
      </c>
    </row>
    <row r="48" spans="2:24" x14ac:dyDescent="0.25">
      <c r="B48" s="43" t="s">
        <v>260</v>
      </c>
      <c r="C48" s="16">
        <f>'Tasas de crecimiento'!J14</f>
        <v>91788</v>
      </c>
      <c r="D48" s="16">
        <f>'Datos de Defunciones'!K7</f>
        <v>104</v>
      </c>
      <c r="E48" s="16">
        <f t="shared" si="15"/>
        <v>1.1330457140366933E-3</v>
      </c>
      <c r="F48" s="16">
        <f t="shared" si="16"/>
        <v>1.1330457140366933E-3</v>
      </c>
      <c r="G48" s="16">
        <f t="shared" si="25"/>
        <v>5.6492264905266829E-3</v>
      </c>
      <c r="H48" s="17">
        <f t="shared" si="23"/>
        <v>98161</v>
      </c>
      <c r="I48" s="16">
        <f t="shared" si="17"/>
        <v>555</v>
      </c>
      <c r="J48" s="16">
        <f t="shared" si="26"/>
        <v>489418</v>
      </c>
      <c r="K48" s="16">
        <f>SUM(J48:$J$62)</f>
        <v>5902525</v>
      </c>
      <c r="L48" s="16">
        <f t="shared" si="18"/>
        <v>60.13106019702326</v>
      </c>
      <c r="N48" s="43" t="s">
        <v>260</v>
      </c>
      <c r="O48" s="16">
        <f>'Tasas de crecimiento'!Y14</f>
        <v>93459</v>
      </c>
      <c r="P48" s="16">
        <f>'Datos de Defunciones'!N7</f>
        <v>36</v>
      </c>
      <c r="Q48" s="16">
        <f t="shared" si="19"/>
        <v>3.8519564728918564E-4</v>
      </c>
      <c r="R48" s="16">
        <f t="shared" si="20"/>
        <v>3.8519564728918564E-4</v>
      </c>
      <c r="S48" s="16">
        <f t="shared" si="27"/>
        <v>1.9241253246961485E-3</v>
      </c>
      <c r="T48" s="17">
        <f t="shared" si="24"/>
        <v>98373</v>
      </c>
      <c r="U48" s="16">
        <f t="shared" si="21"/>
        <v>189</v>
      </c>
      <c r="V48" s="16">
        <f t="shared" si="28"/>
        <v>491393</v>
      </c>
      <c r="W48" s="16">
        <f>SUM(V48:$V$62)</f>
        <v>6354653</v>
      </c>
      <c r="X48" s="16">
        <f t="shared" si="22"/>
        <v>64.597531843087026</v>
      </c>
    </row>
    <row r="49" spans="2:24" x14ac:dyDescent="0.25">
      <c r="B49" s="43" t="s">
        <v>261</v>
      </c>
      <c r="C49" s="16">
        <f>'Tasas de crecimiento'!J15</f>
        <v>82463</v>
      </c>
      <c r="D49" s="16">
        <f>'Datos de Defunciones'!K8</f>
        <v>120</v>
      </c>
      <c r="E49" s="16">
        <f t="shared" si="15"/>
        <v>1.4551980888398432E-3</v>
      </c>
      <c r="F49" s="16">
        <f t="shared" si="16"/>
        <v>1.4551980888398432E-3</v>
      </c>
      <c r="G49" s="16">
        <f t="shared" si="25"/>
        <v>7.2496163744668511E-3</v>
      </c>
      <c r="H49" s="17">
        <f t="shared" si="23"/>
        <v>97606</v>
      </c>
      <c r="I49" s="16">
        <f t="shared" si="17"/>
        <v>708</v>
      </c>
      <c r="J49" s="16">
        <f t="shared" si="26"/>
        <v>486260</v>
      </c>
      <c r="K49" s="16">
        <f>SUM(J49:$J$62)</f>
        <v>5413107</v>
      </c>
      <c r="L49" s="16">
        <f t="shared" si="18"/>
        <v>55.458752535704775</v>
      </c>
      <c r="N49" s="43" t="s">
        <v>261</v>
      </c>
      <c r="O49" s="16">
        <f>'Tasas de crecimiento'!Y15</f>
        <v>88963</v>
      </c>
      <c r="P49" s="16">
        <f>'Datos de Defunciones'!N8</f>
        <v>41</v>
      </c>
      <c r="Q49" s="16">
        <f t="shared" si="19"/>
        <v>4.6086575317828761E-4</v>
      </c>
      <c r="R49" s="16">
        <f t="shared" si="20"/>
        <v>4.6086575317828761E-4</v>
      </c>
      <c r="S49" s="16">
        <f t="shared" si="27"/>
        <v>2.3016768557971379E-3</v>
      </c>
      <c r="T49" s="17">
        <f t="shared" si="24"/>
        <v>98184</v>
      </c>
      <c r="U49" s="16">
        <f t="shared" si="21"/>
        <v>226</v>
      </c>
      <c r="V49" s="16">
        <f t="shared" si="28"/>
        <v>490355</v>
      </c>
      <c r="W49" s="16">
        <f>SUM(V49:$V$62)</f>
        <v>5863260</v>
      </c>
      <c r="X49" s="16">
        <f t="shared" si="22"/>
        <v>59.717061843070155</v>
      </c>
    </row>
    <row r="50" spans="2:24" x14ac:dyDescent="0.25">
      <c r="B50" s="43" t="s">
        <v>262</v>
      </c>
      <c r="C50" s="16">
        <f>'Tasas de crecimiento'!J16</f>
        <v>73131</v>
      </c>
      <c r="D50" s="16">
        <f>'Datos de Defunciones'!K9</f>
        <v>121</v>
      </c>
      <c r="E50" s="16">
        <f t="shared" si="15"/>
        <v>1.6545650955135304E-3</v>
      </c>
      <c r="F50" s="16">
        <f t="shared" si="16"/>
        <v>1.6545650955135304E-3</v>
      </c>
      <c r="G50" s="16">
        <f t="shared" si="25"/>
        <v>8.238746621092554E-3</v>
      </c>
      <c r="H50" s="17">
        <f t="shared" si="23"/>
        <v>96898</v>
      </c>
      <c r="I50" s="16">
        <f t="shared" si="17"/>
        <v>798</v>
      </c>
      <c r="J50" s="16">
        <f t="shared" si="26"/>
        <v>482495</v>
      </c>
      <c r="K50" s="16">
        <f>SUM(J50:$J$62)</f>
        <v>4926847</v>
      </c>
      <c r="L50" s="16">
        <f t="shared" si="18"/>
        <v>50.845703729695146</v>
      </c>
      <c r="N50" s="43" t="s">
        <v>262</v>
      </c>
      <c r="O50" s="16">
        <f>'Tasas de crecimiento'!Y16</f>
        <v>82052</v>
      </c>
      <c r="P50" s="16">
        <f>'Datos de Defunciones'!N9</f>
        <v>46</v>
      </c>
      <c r="Q50" s="16">
        <f t="shared" si="19"/>
        <v>5.6062009457417245E-4</v>
      </c>
      <c r="R50" s="16">
        <f t="shared" si="20"/>
        <v>5.6062009457417245E-4</v>
      </c>
      <c r="S50" s="16">
        <f t="shared" si="27"/>
        <v>2.7991772852848464E-3</v>
      </c>
      <c r="T50" s="17">
        <f t="shared" si="24"/>
        <v>97958</v>
      </c>
      <c r="U50" s="16">
        <f t="shared" si="21"/>
        <v>274</v>
      </c>
      <c r="V50" s="16">
        <f t="shared" si="28"/>
        <v>489105</v>
      </c>
      <c r="W50" s="16">
        <f>SUM(V50:$V$62)</f>
        <v>5372905</v>
      </c>
      <c r="X50" s="16">
        <f t="shared" si="22"/>
        <v>54.84906796790461</v>
      </c>
    </row>
    <row r="51" spans="2:24" x14ac:dyDescent="0.25">
      <c r="B51" s="43" t="s">
        <v>263</v>
      </c>
      <c r="C51" s="16">
        <f>'Tasas de crecimiento'!J17</f>
        <v>69272</v>
      </c>
      <c r="D51" s="16">
        <f>'Datos de Defunciones'!K10</f>
        <v>145</v>
      </c>
      <c r="E51" s="16">
        <f t="shared" si="15"/>
        <v>2.0931978288485967E-3</v>
      </c>
      <c r="F51" s="16">
        <f t="shared" si="16"/>
        <v>2.0931978288485967E-3</v>
      </c>
      <c r="G51" s="16">
        <f t="shared" si="25"/>
        <v>1.0411505790951325E-2</v>
      </c>
      <c r="H51" s="17">
        <f t="shared" si="23"/>
        <v>96100</v>
      </c>
      <c r="I51" s="16">
        <f t="shared" si="17"/>
        <v>1001</v>
      </c>
      <c r="J51" s="16">
        <f t="shared" si="26"/>
        <v>477998</v>
      </c>
      <c r="K51" s="16">
        <f>SUM(J51:$J$62)</f>
        <v>4444352</v>
      </c>
      <c r="L51" s="16">
        <f t="shared" si="18"/>
        <v>46.247159209157125</v>
      </c>
      <c r="N51" s="43" t="s">
        <v>263</v>
      </c>
      <c r="O51" s="16">
        <f>'Tasas de crecimiento'!Y17</f>
        <v>77978</v>
      </c>
      <c r="P51" s="16">
        <f>'Datos de Defunciones'!N10</f>
        <v>45</v>
      </c>
      <c r="Q51" s="16">
        <f t="shared" si="19"/>
        <v>5.770858447254354E-4</v>
      </c>
      <c r="R51" s="16">
        <f t="shared" si="20"/>
        <v>5.770858447254354E-4</v>
      </c>
      <c r="S51" s="16">
        <f t="shared" si="27"/>
        <v>2.8812723698785382E-3</v>
      </c>
      <c r="T51" s="17">
        <f t="shared" si="24"/>
        <v>97684</v>
      </c>
      <c r="U51" s="16">
        <f t="shared" si="21"/>
        <v>281</v>
      </c>
      <c r="V51" s="16">
        <f t="shared" si="28"/>
        <v>487718</v>
      </c>
      <c r="W51" s="16">
        <f>SUM(V51:$V$62)</f>
        <v>4883800</v>
      </c>
      <c r="X51" s="16">
        <f t="shared" si="22"/>
        <v>49.995905163588716</v>
      </c>
    </row>
    <row r="52" spans="2:24" x14ac:dyDescent="0.25">
      <c r="B52" s="43" t="s">
        <v>264</v>
      </c>
      <c r="C52" s="16">
        <f>'Tasas de crecimiento'!J18</f>
        <v>64846</v>
      </c>
      <c r="D52" s="16">
        <f>'Datos de Defunciones'!K11</f>
        <v>166</v>
      </c>
      <c r="E52" s="16">
        <f t="shared" si="15"/>
        <v>2.5599111741664866E-3</v>
      </c>
      <c r="F52" s="16">
        <f t="shared" si="16"/>
        <v>2.5599111741664866E-3</v>
      </c>
      <c r="G52" s="16">
        <f t="shared" si="25"/>
        <v>1.2718162455371508E-2</v>
      </c>
      <c r="H52" s="17">
        <f t="shared" si="23"/>
        <v>95099</v>
      </c>
      <c r="I52" s="16">
        <f t="shared" si="17"/>
        <v>1209</v>
      </c>
      <c r="J52" s="16">
        <f t="shared" si="26"/>
        <v>472473</v>
      </c>
      <c r="K52" s="16">
        <f>SUM(J52:$J$62)</f>
        <v>3966354</v>
      </c>
      <c r="L52" s="16">
        <f t="shared" si="18"/>
        <v>41.7076309950683</v>
      </c>
      <c r="N52" s="43" t="s">
        <v>264</v>
      </c>
      <c r="O52" s="16">
        <f>'Tasas de crecimiento'!Y18</f>
        <v>72359</v>
      </c>
      <c r="P52" s="16">
        <f>'Datos de Defunciones'!N11</f>
        <v>63</v>
      </c>
      <c r="Q52" s="16">
        <f t="shared" si="19"/>
        <v>8.7065879849085813E-4</v>
      </c>
      <c r="R52" s="16">
        <f t="shared" si="20"/>
        <v>8.7065879849085813E-4</v>
      </c>
      <c r="S52" s="16">
        <f t="shared" si="27"/>
        <v>4.3438389883681643E-3</v>
      </c>
      <c r="T52" s="17">
        <f t="shared" si="24"/>
        <v>97403</v>
      </c>
      <c r="U52" s="16">
        <f t="shared" si="21"/>
        <v>423</v>
      </c>
      <c r="V52" s="16">
        <f t="shared" si="28"/>
        <v>485958</v>
      </c>
      <c r="W52" s="16">
        <f>SUM(V52:$V$62)</f>
        <v>4396082</v>
      </c>
      <c r="X52" s="16">
        <f t="shared" si="22"/>
        <v>45.132921983922465</v>
      </c>
    </row>
    <row r="53" spans="2:24" x14ac:dyDescent="0.25">
      <c r="B53" s="43" t="s">
        <v>265</v>
      </c>
      <c r="C53" s="16">
        <f>'Tasas de crecimiento'!J19</f>
        <v>55129</v>
      </c>
      <c r="D53" s="16">
        <f>'Datos de Defunciones'!K12</f>
        <v>192</v>
      </c>
      <c r="E53" s="16">
        <f t="shared" si="15"/>
        <v>3.4827404814163146E-3</v>
      </c>
      <c r="F53" s="16">
        <f t="shared" si="16"/>
        <v>3.4827404814163146E-3</v>
      </c>
      <c r="G53" s="16">
        <f t="shared" si="25"/>
        <v>1.7263392616303115E-2</v>
      </c>
      <c r="H53" s="17">
        <f t="shared" si="23"/>
        <v>93890</v>
      </c>
      <c r="I53" s="16">
        <f t="shared" si="17"/>
        <v>1621</v>
      </c>
      <c r="J53" s="16">
        <f t="shared" si="26"/>
        <v>465398</v>
      </c>
      <c r="K53" s="16">
        <f>SUM(J53:$J$62)</f>
        <v>3493881</v>
      </c>
      <c r="L53" s="16">
        <f t="shared" si="18"/>
        <v>37.212493343274041</v>
      </c>
      <c r="N53" s="43" t="s">
        <v>265</v>
      </c>
      <c r="O53" s="16">
        <f>'Tasas de crecimiento'!Y19</f>
        <v>61473</v>
      </c>
      <c r="P53" s="16">
        <f>'Datos de Defunciones'!N12</f>
        <v>113</v>
      </c>
      <c r="Q53" s="16">
        <f t="shared" si="19"/>
        <v>1.8382053909846599E-3</v>
      </c>
      <c r="R53" s="16">
        <f t="shared" si="20"/>
        <v>1.8382053909846599E-3</v>
      </c>
      <c r="S53" s="16">
        <f t="shared" si="27"/>
        <v>9.1489826817044654E-3</v>
      </c>
      <c r="T53" s="17">
        <f t="shared" si="24"/>
        <v>96980</v>
      </c>
      <c r="U53" s="16">
        <f t="shared" si="21"/>
        <v>887</v>
      </c>
      <c r="V53" s="16">
        <f t="shared" si="28"/>
        <v>482683</v>
      </c>
      <c r="W53" s="16">
        <f>SUM(V53:$V$62)</f>
        <v>3910124</v>
      </c>
      <c r="X53" s="16">
        <f t="shared" si="22"/>
        <v>40.318869870076306</v>
      </c>
    </row>
    <row r="54" spans="2:24" x14ac:dyDescent="0.25">
      <c r="B54" s="43" t="s">
        <v>266</v>
      </c>
      <c r="C54" s="16">
        <f>'Tasas de crecimiento'!J20</f>
        <v>45032</v>
      </c>
      <c r="D54" s="16">
        <f>'Datos de Defunciones'!K13</f>
        <v>217</v>
      </c>
      <c r="E54" s="16">
        <f t="shared" si="15"/>
        <v>4.8187955231835137E-3</v>
      </c>
      <c r="F54" s="16">
        <f t="shared" si="16"/>
        <v>4.8187955231835137E-3</v>
      </c>
      <c r="G54" s="16">
        <f t="shared" si="25"/>
        <v>2.3807172870793973E-2</v>
      </c>
      <c r="H54" s="17">
        <f t="shared" si="23"/>
        <v>92269</v>
      </c>
      <c r="I54" s="16">
        <f t="shared" si="17"/>
        <v>2197</v>
      </c>
      <c r="J54" s="16">
        <f t="shared" si="26"/>
        <v>455853</v>
      </c>
      <c r="K54" s="16">
        <f>SUM(J54:$J$62)</f>
        <v>3028483</v>
      </c>
      <c r="L54" s="16">
        <f t="shared" si="18"/>
        <v>32.822323857416897</v>
      </c>
      <c r="N54" s="43" t="s">
        <v>266</v>
      </c>
      <c r="O54" s="16">
        <f>'Tasas de crecimiento'!Y20</f>
        <v>49886</v>
      </c>
      <c r="P54" s="16">
        <f>'Datos de Defunciones'!N13</f>
        <v>139</v>
      </c>
      <c r="Q54" s="16">
        <f t="shared" si="19"/>
        <v>2.7863528845768351E-3</v>
      </c>
      <c r="R54" s="16">
        <f t="shared" si="20"/>
        <v>2.7863528845768351E-3</v>
      </c>
      <c r="S54" s="16">
        <f t="shared" si="27"/>
        <v>1.3835388734609374E-2</v>
      </c>
      <c r="T54" s="17">
        <f t="shared" si="24"/>
        <v>96093</v>
      </c>
      <c r="U54" s="16">
        <f t="shared" si="21"/>
        <v>1329</v>
      </c>
      <c r="V54" s="16">
        <f t="shared" si="28"/>
        <v>477143</v>
      </c>
      <c r="W54" s="16">
        <f>SUM(V54:$V$62)</f>
        <v>3427441</v>
      </c>
      <c r="X54" s="16">
        <f t="shared" si="22"/>
        <v>35.667957083242278</v>
      </c>
    </row>
    <row r="55" spans="2:24" x14ac:dyDescent="0.25">
      <c r="B55" s="43" t="s">
        <v>267</v>
      </c>
      <c r="C55" s="16">
        <f>'Tasas de crecimiento'!J21</f>
        <v>36489</v>
      </c>
      <c r="D55" s="16">
        <f>'Datos de Defunciones'!K14</f>
        <v>290</v>
      </c>
      <c r="E55" s="16">
        <f t="shared" si="15"/>
        <v>7.9476006467702597E-3</v>
      </c>
      <c r="F55" s="16">
        <f t="shared" si="16"/>
        <v>7.9476006467702597E-3</v>
      </c>
      <c r="G55" s="16">
        <f t="shared" si="25"/>
        <v>3.8963830816359436E-2</v>
      </c>
      <c r="H55" s="17">
        <f t="shared" si="23"/>
        <v>90072</v>
      </c>
      <c r="I55" s="16">
        <f t="shared" si="17"/>
        <v>3510</v>
      </c>
      <c r="J55" s="16">
        <f t="shared" si="26"/>
        <v>441585</v>
      </c>
      <c r="K55" s="16">
        <f>SUM(J55:$J$62)</f>
        <v>2572630</v>
      </c>
      <c r="L55" s="16">
        <f t="shared" si="18"/>
        <v>28.561928235189626</v>
      </c>
      <c r="N55" s="43" t="s">
        <v>267</v>
      </c>
      <c r="O55" s="16">
        <f>'Tasas de crecimiento'!Y21</f>
        <v>39921</v>
      </c>
      <c r="P55" s="16">
        <f>'Datos de Defunciones'!N14</f>
        <v>191</v>
      </c>
      <c r="Q55" s="16">
        <f t="shared" si="19"/>
        <v>4.7844492873425019E-3</v>
      </c>
      <c r="R55" s="16">
        <f t="shared" si="20"/>
        <v>4.7844492873425019E-3</v>
      </c>
      <c r="S55" s="16">
        <f t="shared" si="27"/>
        <v>2.363949156528089E-2</v>
      </c>
      <c r="T55" s="17">
        <f t="shared" si="24"/>
        <v>94764</v>
      </c>
      <c r="U55" s="16">
        <f t="shared" si="21"/>
        <v>2240</v>
      </c>
      <c r="V55" s="16">
        <f t="shared" si="28"/>
        <v>468220</v>
      </c>
      <c r="W55" s="16">
        <f>SUM(V55:$V$62)</f>
        <v>2950298</v>
      </c>
      <c r="X55" s="16">
        <f t="shared" si="22"/>
        <v>31.133109619686802</v>
      </c>
    </row>
    <row r="56" spans="2:24" x14ac:dyDescent="0.25">
      <c r="B56" s="43" t="s">
        <v>268</v>
      </c>
      <c r="C56" s="16">
        <f>'Tasas de crecimiento'!J22</f>
        <v>27586</v>
      </c>
      <c r="D56" s="16">
        <f>'Datos de Defunciones'!K15</f>
        <v>282</v>
      </c>
      <c r="E56" s="16">
        <f t="shared" si="15"/>
        <v>1.022257666932502E-2</v>
      </c>
      <c r="F56" s="16">
        <f t="shared" si="16"/>
        <v>1.022257666932502E-2</v>
      </c>
      <c r="G56" s="16">
        <f t="shared" si="25"/>
        <v>4.9839171467958014E-2</v>
      </c>
      <c r="H56" s="17">
        <f t="shared" si="23"/>
        <v>86562</v>
      </c>
      <c r="I56" s="16">
        <f t="shared" si="17"/>
        <v>4314</v>
      </c>
      <c r="J56" s="16">
        <f t="shared" si="26"/>
        <v>422025</v>
      </c>
      <c r="K56" s="16">
        <f>SUM(J56:$J$62)</f>
        <v>2131045</v>
      </c>
      <c r="L56" s="16">
        <f t="shared" si="18"/>
        <v>24.618712599061944</v>
      </c>
      <c r="N56" s="43" t="s">
        <v>268</v>
      </c>
      <c r="O56" s="16">
        <f>'Tasas de crecimiento'!Y22</f>
        <v>30333</v>
      </c>
      <c r="P56" s="16">
        <f>'Datos de Defunciones'!N15</f>
        <v>193</v>
      </c>
      <c r="Q56" s="16">
        <f t="shared" si="19"/>
        <v>6.3627072824976099E-3</v>
      </c>
      <c r="R56" s="16">
        <f t="shared" si="20"/>
        <v>6.3627072824976099E-3</v>
      </c>
      <c r="S56" s="16">
        <f t="shared" si="27"/>
        <v>3.1315409453035001E-2</v>
      </c>
      <c r="T56" s="17">
        <f t="shared" si="24"/>
        <v>92524</v>
      </c>
      <c r="U56" s="16">
        <f t="shared" si="21"/>
        <v>2897</v>
      </c>
      <c r="V56" s="16">
        <f t="shared" si="28"/>
        <v>455378</v>
      </c>
      <c r="W56" s="16">
        <f>SUM(V56:$V$62)</f>
        <v>2482078</v>
      </c>
      <c r="X56" s="16">
        <f t="shared" si="22"/>
        <v>26.826315334399723</v>
      </c>
    </row>
    <row r="57" spans="2:24" x14ac:dyDescent="0.25">
      <c r="B57" s="43" t="s">
        <v>269</v>
      </c>
      <c r="C57" s="16">
        <f>'Tasas de crecimiento'!J23</f>
        <v>20181</v>
      </c>
      <c r="D57" s="16">
        <f>'Datos de Defunciones'!K16</f>
        <v>298</v>
      </c>
      <c r="E57" s="16">
        <f t="shared" si="15"/>
        <v>1.4766364402160448E-2</v>
      </c>
      <c r="F57" s="16">
        <f t="shared" si="16"/>
        <v>1.4766364402160448E-2</v>
      </c>
      <c r="G57" s="16">
        <f t="shared" si="25"/>
        <v>7.1203287775972471E-2</v>
      </c>
      <c r="H57" s="17">
        <f t="shared" si="23"/>
        <v>82248</v>
      </c>
      <c r="I57" s="16">
        <f t="shared" si="17"/>
        <v>5856</v>
      </c>
      <c r="J57" s="16">
        <f t="shared" si="26"/>
        <v>396600</v>
      </c>
      <c r="K57" s="16">
        <f>SUM(J57:$J$62)</f>
        <v>1709020</v>
      </c>
      <c r="L57" s="16">
        <f t="shared" si="18"/>
        <v>20.778863923742826</v>
      </c>
      <c r="N57" s="43" t="s">
        <v>269</v>
      </c>
      <c r="O57" s="16">
        <f>'Tasas de crecimiento'!Y23</f>
        <v>22715</v>
      </c>
      <c r="P57" s="16">
        <f>'Datos de Defunciones'!N16</f>
        <v>256</v>
      </c>
      <c r="Q57" s="16">
        <f t="shared" si="19"/>
        <v>1.1270085846357032E-2</v>
      </c>
      <c r="R57" s="16">
        <f t="shared" si="20"/>
        <v>1.1270085846357032E-2</v>
      </c>
      <c r="S57" s="16">
        <f t="shared" si="27"/>
        <v>5.480625133804324E-2</v>
      </c>
      <c r="T57" s="17">
        <f t="shared" si="24"/>
        <v>89627</v>
      </c>
      <c r="U57" s="16">
        <f t="shared" si="21"/>
        <v>4912</v>
      </c>
      <c r="V57" s="16">
        <f t="shared" si="28"/>
        <v>435855</v>
      </c>
      <c r="W57" s="16">
        <f>SUM(V57:$V$62)</f>
        <v>2026700</v>
      </c>
      <c r="X57" s="16">
        <f t="shared" si="22"/>
        <v>22.612605576444597</v>
      </c>
    </row>
    <row r="58" spans="2:24" x14ac:dyDescent="0.25">
      <c r="B58" s="43" t="s">
        <v>270</v>
      </c>
      <c r="C58" s="16">
        <f>'Tasas de crecimiento'!J24</f>
        <v>15098</v>
      </c>
      <c r="D58" s="16">
        <f>'Datos de Defunciones'!K17</f>
        <v>343</v>
      </c>
      <c r="E58" s="16">
        <f t="shared" si="15"/>
        <v>2.271824082659955E-2</v>
      </c>
      <c r="F58" s="16">
        <f t="shared" si="16"/>
        <v>2.271824082659955E-2</v>
      </c>
      <c r="G58" s="16">
        <f t="shared" si="25"/>
        <v>0.10748644667982829</v>
      </c>
      <c r="H58" s="17">
        <f t="shared" si="23"/>
        <v>76392</v>
      </c>
      <c r="I58" s="16">
        <f t="shared" si="17"/>
        <v>8211</v>
      </c>
      <c r="J58" s="16">
        <f t="shared" si="26"/>
        <v>361433</v>
      </c>
      <c r="K58" s="16">
        <f>SUM(J58:$J$62)</f>
        <v>1312420</v>
      </c>
      <c r="L58" s="16">
        <f t="shared" si="18"/>
        <v>17.180071211645199</v>
      </c>
      <c r="N58" s="43" t="s">
        <v>270</v>
      </c>
      <c r="O58" s="16">
        <f>'Tasas de crecimiento'!Y24</f>
        <v>17312</v>
      </c>
      <c r="P58" s="16">
        <f>'Datos de Defunciones'!N17</f>
        <v>279</v>
      </c>
      <c r="Q58" s="16">
        <f t="shared" si="19"/>
        <v>1.6115988909426986E-2</v>
      </c>
      <c r="R58" s="16">
        <f t="shared" si="20"/>
        <v>1.6115988909426986E-2</v>
      </c>
      <c r="S58" s="16">
        <f t="shared" si="27"/>
        <v>7.7459118798411955E-2</v>
      </c>
      <c r="T58" s="17">
        <f t="shared" si="24"/>
        <v>84715</v>
      </c>
      <c r="U58" s="16">
        <f t="shared" si="21"/>
        <v>6562</v>
      </c>
      <c r="V58" s="16">
        <f t="shared" si="28"/>
        <v>407170</v>
      </c>
      <c r="W58" s="16">
        <f>SUM(V58:$V$62)</f>
        <v>1590845</v>
      </c>
      <c r="X58" s="16">
        <f t="shared" si="22"/>
        <v>18.778787699935076</v>
      </c>
    </row>
    <row r="59" spans="2:24" x14ac:dyDescent="0.25">
      <c r="B59" s="43" t="s">
        <v>271</v>
      </c>
      <c r="C59" s="16">
        <f>'Tasas de crecimiento'!J25</f>
        <v>11283</v>
      </c>
      <c r="D59" s="16">
        <f>'Datos de Defunciones'!K18</f>
        <v>337</v>
      </c>
      <c r="E59" s="16">
        <f t="shared" si="15"/>
        <v>2.9867942922981477E-2</v>
      </c>
      <c r="F59" s="16">
        <f t="shared" si="16"/>
        <v>2.9867942922981477E-2</v>
      </c>
      <c r="G59" s="16">
        <f t="shared" si="25"/>
        <v>0.13896334171786728</v>
      </c>
      <c r="H59" s="17">
        <f t="shared" si="23"/>
        <v>68181</v>
      </c>
      <c r="I59" s="16">
        <f t="shared" si="17"/>
        <v>9475</v>
      </c>
      <c r="J59" s="16">
        <f t="shared" si="26"/>
        <v>317218</v>
      </c>
      <c r="K59" s="16">
        <f>SUM(J59:$J$62)</f>
        <v>950987</v>
      </c>
      <c r="L59" s="16">
        <f t="shared" si="18"/>
        <v>13.947976709053842</v>
      </c>
      <c r="N59" s="43" t="s">
        <v>271</v>
      </c>
      <c r="O59" s="16">
        <f>'Tasas de crecimiento'!Y25</f>
        <v>13048</v>
      </c>
      <c r="P59" s="16">
        <f>'Datos de Defunciones'!N18</f>
        <v>300</v>
      </c>
      <c r="Q59" s="16">
        <f t="shared" si="19"/>
        <v>2.299202942979767E-2</v>
      </c>
      <c r="R59" s="16">
        <f t="shared" si="20"/>
        <v>2.299202942979767E-2</v>
      </c>
      <c r="S59" s="16">
        <f t="shared" si="27"/>
        <v>0.10871140745035511</v>
      </c>
      <c r="T59" s="17">
        <f t="shared" si="24"/>
        <v>78153</v>
      </c>
      <c r="U59" s="16">
        <f t="shared" si="21"/>
        <v>8496</v>
      </c>
      <c r="V59" s="16">
        <f t="shared" si="28"/>
        <v>369525</v>
      </c>
      <c r="W59" s="16">
        <f>SUM(V59:$V$62)</f>
        <v>1183675</v>
      </c>
      <c r="X59" s="16">
        <f t="shared" si="22"/>
        <v>15.145611812726319</v>
      </c>
    </row>
    <row r="60" spans="2:24" x14ac:dyDescent="0.25">
      <c r="B60" s="43" t="s">
        <v>272</v>
      </c>
      <c r="C60" s="16">
        <f>'Tasas de crecimiento'!J26</f>
        <v>7634</v>
      </c>
      <c r="D60" s="16">
        <f>'Datos de Defunciones'!K19</f>
        <v>371</v>
      </c>
      <c r="E60" s="16">
        <f t="shared" si="15"/>
        <v>4.8598375687712865E-2</v>
      </c>
      <c r="F60" s="16">
        <f t="shared" si="16"/>
        <v>4.8598375687712865E-2</v>
      </c>
      <c r="G60" s="16">
        <f t="shared" si="25"/>
        <v>0.21666764001635225</v>
      </c>
      <c r="H60" s="17">
        <f t="shared" si="23"/>
        <v>58706</v>
      </c>
      <c r="I60" s="16">
        <f t="shared" si="17"/>
        <v>12720</v>
      </c>
      <c r="J60" s="16">
        <f t="shared" si="26"/>
        <v>261730</v>
      </c>
      <c r="K60" s="16">
        <f>SUM(J60:$J$62)</f>
        <v>633769</v>
      </c>
      <c r="L60" s="16">
        <f t="shared" si="18"/>
        <v>10.795642694102817</v>
      </c>
      <c r="N60" s="43" t="s">
        <v>272</v>
      </c>
      <c r="O60" s="16">
        <f>'Tasas de crecimiento'!Y26</f>
        <v>9014</v>
      </c>
      <c r="P60" s="16">
        <f>'Datos de Defunciones'!N19</f>
        <v>340</v>
      </c>
      <c r="Q60" s="16">
        <f t="shared" si="19"/>
        <v>3.7719103616596403E-2</v>
      </c>
      <c r="R60" s="16">
        <f t="shared" si="20"/>
        <v>3.7719103616596403E-2</v>
      </c>
      <c r="S60" s="16">
        <f t="shared" si="27"/>
        <v>0.17234387672343876</v>
      </c>
      <c r="T60" s="17">
        <f t="shared" si="24"/>
        <v>69657</v>
      </c>
      <c r="U60" s="16">
        <f t="shared" si="21"/>
        <v>12005</v>
      </c>
      <c r="V60" s="16">
        <f t="shared" si="28"/>
        <v>318273</v>
      </c>
      <c r="W60" s="16">
        <f>SUM(V60:$V$62)</f>
        <v>814150</v>
      </c>
      <c r="X60" s="16">
        <f t="shared" si="22"/>
        <v>11.687985414244082</v>
      </c>
    </row>
    <row r="61" spans="2:24" x14ac:dyDescent="0.25">
      <c r="B61" s="43" t="s">
        <v>273</v>
      </c>
      <c r="C61" s="16">
        <f>'Tasas de crecimiento'!J27</f>
        <v>4685</v>
      </c>
      <c r="D61" s="16">
        <f>'Datos de Defunciones'!K20</f>
        <v>387</v>
      </c>
      <c r="E61" s="16">
        <f t="shared" si="15"/>
        <v>8.2604055496264678E-2</v>
      </c>
      <c r="F61" s="16">
        <f t="shared" si="16"/>
        <v>8.2604055496264678E-2</v>
      </c>
      <c r="G61" s="16">
        <f t="shared" si="25"/>
        <v>0.34232640424590888</v>
      </c>
      <c r="H61" s="17">
        <f t="shared" si="23"/>
        <v>45986</v>
      </c>
      <c r="I61" s="16">
        <f t="shared" si="17"/>
        <v>15742</v>
      </c>
      <c r="J61" s="16">
        <f t="shared" si="26"/>
        <v>190575</v>
      </c>
      <c r="K61" s="16">
        <f>SUM(J61:$J$62)</f>
        <v>372039</v>
      </c>
      <c r="L61" s="16">
        <f t="shared" si="18"/>
        <v>8.0902666028791366</v>
      </c>
      <c r="N61" s="43" t="s">
        <v>273</v>
      </c>
      <c r="O61" s="16">
        <f>'Tasas de crecimiento'!Y27</f>
        <v>6178</v>
      </c>
      <c r="P61" s="16">
        <f>'Datos de Defunciones'!N20</f>
        <v>406</v>
      </c>
      <c r="Q61" s="16">
        <f t="shared" si="19"/>
        <v>6.5717060537390737E-2</v>
      </c>
      <c r="R61" s="16">
        <f t="shared" si="20"/>
        <v>6.5717060537390737E-2</v>
      </c>
      <c r="S61" s="16">
        <f t="shared" si="27"/>
        <v>0.28221882385652719</v>
      </c>
      <c r="T61" s="17">
        <f t="shared" si="24"/>
        <v>57652</v>
      </c>
      <c r="U61" s="16">
        <f t="shared" si="21"/>
        <v>16270</v>
      </c>
      <c r="V61" s="16">
        <f t="shared" si="28"/>
        <v>247585</v>
      </c>
      <c r="W61" s="16">
        <f>SUM(V61:$V$62)</f>
        <v>495877</v>
      </c>
      <c r="X61" s="16">
        <f t="shared" si="22"/>
        <v>8.6012107125511683</v>
      </c>
    </row>
    <row r="62" spans="2:24" x14ac:dyDescent="0.25">
      <c r="B62" s="43" t="s">
        <v>290</v>
      </c>
      <c r="C62" s="16">
        <f>'Tasas de crecimiento'!J28</f>
        <v>4082</v>
      </c>
      <c r="D62" s="16">
        <f>'Datos de Defunciones'!K21</f>
        <v>636</v>
      </c>
      <c r="E62" s="16">
        <f t="shared" si="15"/>
        <v>0.15580597746202843</v>
      </c>
      <c r="F62" s="16">
        <f t="shared" si="16"/>
        <v>0.15580597746202843</v>
      </c>
      <c r="G62" s="16">
        <v>1</v>
      </c>
      <c r="H62" s="17">
        <f t="shared" si="23"/>
        <v>30244</v>
      </c>
      <c r="I62" s="16">
        <f t="shared" si="17"/>
        <v>30244</v>
      </c>
      <c r="J62" s="16">
        <f>ROUND(-0.1167227 + (6*H62),0)</f>
        <v>181464</v>
      </c>
      <c r="K62" s="16">
        <f>SUM(J62:$J$62)</f>
        <v>181464</v>
      </c>
      <c r="L62" s="16">
        <f>K62/H62</f>
        <v>6</v>
      </c>
      <c r="N62" s="43" t="s">
        <v>290</v>
      </c>
      <c r="O62" s="16">
        <f>'Tasas de crecimiento'!Y28</f>
        <v>5892</v>
      </c>
      <c r="P62" s="16">
        <f>'Datos de Defunciones'!N21</f>
        <v>811</v>
      </c>
      <c r="Q62" s="16">
        <f t="shared" si="19"/>
        <v>0.13764426340801086</v>
      </c>
      <c r="R62" s="16">
        <f t="shared" si="20"/>
        <v>0.13764426340801086</v>
      </c>
      <c r="S62" s="16">
        <v>1</v>
      </c>
      <c r="T62" s="17">
        <f t="shared" si="24"/>
        <v>41382</v>
      </c>
      <c r="U62" s="16">
        <f t="shared" si="21"/>
        <v>41382</v>
      </c>
      <c r="V62" s="16">
        <f>ROUND(-0.1167227 + (6*T62),0)</f>
        <v>248292</v>
      </c>
      <c r="W62" s="16">
        <f>SUM(V62:$V$62)</f>
        <v>248292</v>
      </c>
      <c r="X62" s="16">
        <f>W62/T62</f>
        <v>6</v>
      </c>
    </row>
    <row r="63" spans="2:24" x14ac:dyDescent="0.25">
      <c r="B63" s="43" t="s">
        <v>107</v>
      </c>
      <c r="C63" s="16">
        <f>SUM(C44:C62)</f>
        <v>888702</v>
      </c>
      <c r="N63" s="43" t="s">
        <v>107</v>
      </c>
      <c r="O63" s="16">
        <f>SUM(O44:O62)</f>
        <v>942385</v>
      </c>
    </row>
    <row r="66" spans="2:15" x14ac:dyDescent="0.25">
      <c r="B66" s="211" t="s">
        <v>499</v>
      </c>
      <c r="C66" s="211"/>
      <c r="D66" s="211"/>
      <c r="M66" s="211" t="s">
        <v>505</v>
      </c>
      <c r="N66" s="211"/>
      <c r="O66" s="211"/>
    </row>
    <row r="67" spans="2:15" x14ac:dyDescent="0.25">
      <c r="B67" s="93" t="s">
        <v>490</v>
      </c>
      <c r="C67" s="16" t="s">
        <v>220</v>
      </c>
      <c r="D67" s="16">
        <f>'Tasas de crecimiento'!J11</f>
        <v>91713</v>
      </c>
      <c r="M67" s="93" t="s">
        <v>490</v>
      </c>
      <c r="N67" s="16" t="s">
        <v>220</v>
      </c>
      <c r="O67" s="16">
        <f>'Tasas de crecimiento'!Y11</f>
        <v>88621</v>
      </c>
    </row>
    <row r="68" spans="2:15" x14ac:dyDescent="0.25">
      <c r="B68" s="93" t="s">
        <v>488</v>
      </c>
      <c r="C68" s="94" t="s">
        <v>221</v>
      </c>
      <c r="D68" s="16">
        <f>'Tasas de crecimiento'!J12</f>
        <v>93976</v>
      </c>
      <c r="M68" s="93" t="s">
        <v>488</v>
      </c>
      <c r="N68" s="94" t="s">
        <v>221</v>
      </c>
      <c r="O68" s="16">
        <f>'Tasas de crecimiento'!Y12</f>
        <v>90996</v>
      </c>
    </row>
    <row r="69" spans="2:15" x14ac:dyDescent="0.25">
      <c r="B69" s="93" t="s">
        <v>489</v>
      </c>
      <c r="C69" s="16" t="s">
        <v>222</v>
      </c>
      <c r="D69" s="16">
        <f>'Tasas de crecimiento'!J13</f>
        <v>94314</v>
      </c>
      <c r="M69" s="93" t="s">
        <v>489</v>
      </c>
      <c r="N69" s="16" t="s">
        <v>222</v>
      </c>
      <c r="O69" s="16">
        <f>'Tasas de crecimiento'!Y13</f>
        <v>92185</v>
      </c>
    </row>
    <row r="70" spans="2:15" x14ac:dyDescent="0.25">
      <c r="M70" s="1"/>
    </row>
    <row r="71" spans="2:15" x14ac:dyDescent="0.25">
      <c r="C71" s="47">
        <v>1</v>
      </c>
      <c r="D71" s="36">
        <f>ROUND(($D$67*G28)+($D$68*H28)+($D$69*I28),0)</f>
        <v>18237</v>
      </c>
      <c r="M71" s="1"/>
      <c r="N71" s="47">
        <v>1</v>
      </c>
      <c r="O71" s="36">
        <f>ROUND(($O$67*G28)+($O$68*H28)+($O$69*I28),0)</f>
        <v>17620</v>
      </c>
    </row>
    <row r="72" spans="2:15" x14ac:dyDescent="0.25">
      <c r="C72" s="47">
        <v>2</v>
      </c>
      <c r="D72" s="36">
        <f t="shared" ref="D72:D74" si="29">ROUND(($D$67*G29)+($D$68*H29)+($D$69*I29),0)</f>
        <v>18389</v>
      </c>
      <c r="M72" s="1"/>
      <c r="N72" s="47">
        <v>2</v>
      </c>
      <c r="O72" s="36">
        <f t="shared" ref="O72:O74" si="30">ROUND(($O$67*G29)+($O$68*H29)+($O$69*I29),0)</f>
        <v>17753</v>
      </c>
    </row>
    <row r="73" spans="2:15" x14ac:dyDescent="0.25">
      <c r="C73" s="47">
        <v>3</v>
      </c>
      <c r="D73" s="36">
        <f t="shared" si="29"/>
        <v>18495</v>
      </c>
      <c r="M73" s="1"/>
      <c r="N73" s="47">
        <v>3</v>
      </c>
      <c r="O73" s="36">
        <f t="shared" si="30"/>
        <v>17857</v>
      </c>
    </row>
    <row r="74" spans="2:15" x14ac:dyDescent="0.25">
      <c r="C74" s="47">
        <v>4</v>
      </c>
      <c r="D74" s="36">
        <f t="shared" si="29"/>
        <v>18554</v>
      </c>
      <c r="M74" s="1"/>
      <c r="N74" s="47">
        <v>4</v>
      </c>
      <c r="O74" s="36">
        <f t="shared" si="30"/>
        <v>17933</v>
      </c>
    </row>
    <row r="75" spans="2:15" x14ac:dyDescent="0.25">
      <c r="C75" s="47" t="s">
        <v>492</v>
      </c>
      <c r="D75" s="16">
        <f>SUM(D71:D74)</f>
        <v>73675</v>
      </c>
      <c r="M75" s="1"/>
      <c r="N75" s="47" t="s">
        <v>492</v>
      </c>
      <c r="O75" s="16">
        <f>SUM(O71:O74)</f>
        <v>71163</v>
      </c>
    </row>
    <row r="76" spans="2:15" x14ac:dyDescent="0.25">
      <c r="C76" s="47" t="s">
        <v>493</v>
      </c>
      <c r="D76" s="16">
        <f>D67-D75</f>
        <v>18038</v>
      </c>
      <c r="M76" s="1"/>
      <c r="N76" s="47" t="s">
        <v>493</v>
      </c>
      <c r="O76" s="16">
        <f>O67-O75</f>
        <v>17458</v>
      </c>
    </row>
  </sheetData>
  <mergeCells count="5">
    <mergeCell ref="B26:D26"/>
    <mergeCell ref="B66:D66"/>
    <mergeCell ref="F26:I26"/>
    <mergeCell ref="M26:O26"/>
    <mergeCell ref="M66:O66"/>
  </mergeCells>
  <phoneticPr fontId="4" type="noConversion"/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4E0F-80EA-492E-8E7A-D253D38DBC15}">
  <dimension ref="A2:I63"/>
  <sheetViews>
    <sheetView zoomScale="70" zoomScaleNormal="70" workbookViewId="0">
      <selection activeCell="C2" sqref="C2"/>
    </sheetView>
  </sheetViews>
  <sheetFormatPr baseColWidth="10" defaultRowHeight="15" x14ac:dyDescent="0.25"/>
  <cols>
    <col min="2" max="2" width="19.5703125" customWidth="1"/>
    <col min="3" max="3" width="30.85546875" customWidth="1"/>
    <col min="5" max="5" width="19.5703125" customWidth="1"/>
    <col min="6" max="6" width="30.85546875" customWidth="1"/>
    <col min="8" max="8" width="19.5703125" customWidth="1"/>
    <col min="9" max="9" width="32.140625" customWidth="1"/>
  </cols>
  <sheetData>
    <row r="2" spans="2:9" x14ac:dyDescent="0.25">
      <c r="B2" s="118" t="s">
        <v>535</v>
      </c>
      <c r="C2" s="117" t="s">
        <v>1</v>
      </c>
    </row>
    <row r="3" spans="2:9" x14ac:dyDescent="0.25">
      <c r="C3" s="107"/>
    </row>
    <row r="5" spans="2:9" x14ac:dyDescent="0.25">
      <c r="B5" s="213" t="str">
        <f>IF(C2 = "Hombres",B60,B61)</f>
        <v>2005 Hombres</v>
      </c>
      <c r="C5" s="213"/>
      <c r="E5" s="213" t="str">
        <f>IF(C2 = "Hombres", C60,C61)</f>
        <v>2010 Hombres</v>
      </c>
      <c r="F5" s="213"/>
      <c r="H5" s="213" t="s">
        <v>534</v>
      </c>
      <c r="I5" s="213"/>
    </row>
    <row r="6" spans="2:9" x14ac:dyDescent="0.25">
      <c r="B6" s="104" t="s">
        <v>510</v>
      </c>
      <c r="C6" s="104" t="s">
        <v>511</v>
      </c>
      <c r="E6" s="104" t="s">
        <v>510</v>
      </c>
      <c r="F6" s="104" t="s">
        <v>512</v>
      </c>
      <c r="H6" s="112" t="s">
        <v>510</v>
      </c>
      <c r="I6" s="112" t="s">
        <v>549</v>
      </c>
    </row>
    <row r="7" spans="2:9" x14ac:dyDescent="0.25">
      <c r="B7" s="16" t="s">
        <v>605</v>
      </c>
      <c r="C7" s="110">
        <f>IF($C$2 = "Hombres", ('Datos de Defunciones'!C3+'Datos de Defunciones'!C4)/'Tasas de crecimiento'!I11, ('Datos de Defunciones'!F3+'Datos de Defunciones'!F4)/'Tasas de crecimiento'!X11)</f>
        <v>3.985097151480853E-3</v>
      </c>
      <c r="E7" s="16" t="s">
        <v>605</v>
      </c>
      <c r="F7" s="110">
        <f>IF($C$2 = "Hombres", ('Datos de Defunciones'!K3+'Datos de Defunciones'!K4)/'Tasas de crecimiento'!J11, ('Datos de Defunciones'!N3+'Datos de Defunciones'!N4)/'Tasas de crecimiento'!Y11)</f>
        <v>3.3801096900112305E-3</v>
      </c>
      <c r="H7" s="16" t="s">
        <v>605</v>
      </c>
      <c r="I7" s="109">
        <v>98013</v>
      </c>
    </row>
    <row r="8" spans="2:9" x14ac:dyDescent="0.25">
      <c r="B8" s="16" t="s">
        <v>513</v>
      </c>
      <c r="C8" s="110">
        <f>IF($C$2 = "Hombres", 'Datos de Defunciones'!C5/'Tasas de crecimiento'!I12, 'Datos de Defunciones'!F5/'Tasas de crecimiento'!X12)</f>
        <v>3.0689490554456798E-4</v>
      </c>
      <c r="E8" s="16" t="s">
        <v>513</v>
      </c>
      <c r="F8" s="110">
        <f>IF($C$2 = "Hombres", 'Datos de Defunciones'!K5/'Tasas de crecimiento'!J12, 'Datos de Defunciones'!N5/'Tasas de crecimiento'!Y12)</f>
        <v>2.8730739763343832E-4</v>
      </c>
      <c r="H8" s="16" t="s">
        <v>513</v>
      </c>
      <c r="I8" s="109">
        <v>98158</v>
      </c>
    </row>
    <row r="9" spans="2:9" x14ac:dyDescent="0.25">
      <c r="B9" s="16" t="s">
        <v>514</v>
      </c>
      <c r="C9" s="110">
        <f>IF($C$2 = "Hombres", 'Datos de Defunciones'!C6/'Tasas de crecimiento'!I13, 'Datos de Defunciones'!F6/'Tasas de crecimiento'!X13)</f>
        <v>3.9856075283697761E-4</v>
      </c>
      <c r="E9" s="16" t="s">
        <v>514</v>
      </c>
      <c r="F9" s="110">
        <f>IF($C$2 = "Hombres", 'Datos de Defunciones'!K6/'Tasas de crecimiento'!J13, 'Datos de Defunciones'!N6/'Tasas de crecimiento'!Y13)</f>
        <v>3.8170367071696672E-4</v>
      </c>
      <c r="H9" s="16" t="s">
        <v>514</v>
      </c>
      <c r="I9" s="109">
        <v>94971</v>
      </c>
    </row>
    <row r="10" spans="2:9" x14ac:dyDescent="0.25">
      <c r="B10" s="16" t="s">
        <v>515</v>
      </c>
      <c r="C10" s="110">
        <f>IF($C$2 = "Hombres", 'Datos de Defunciones'!C7/'Tasas de crecimiento'!I14, 'Datos de Defunciones'!F7/'Tasas de crecimiento'!X14)</f>
        <v>9.3214934013638819E-4</v>
      </c>
      <c r="E10" s="16" t="s">
        <v>515</v>
      </c>
      <c r="F10" s="110">
        <f>IF($C$2 = "Hombres", 'Datos de Defunciones'!K7/'Tasas de crecimiento'!J14, 'Datos de Defunciones'!N7/'Tasas de crecimiento'!Y14)</f>
        <v>1.1330457140366933E-3</v>
      </c>
      <c r="H10" s="16" t="s">
        <v>515</v>
      </c>
      <c r="I10" s="109">
        <v>87750</v>
      </c>
    </row>
    <row r="11" spans="2:9" x14ac:dyDescent="0.25">
      <c r="B11" s="16" t="s">
        <v>516</v>
      </c>
      <c r="C11" s="110">
        <f>IF($C$2 = "Hombres", 'Datos de Defunciones'!C8/'Tasas de crecimiento'!I15, 'Datos de Defunciones'!F8/'Tasas de crecimiento'!X15)</f>
        <v>1.4733284222385925E-3</v>
      </c>
      <c r="E11" s="16" t="s">
        <v>516</v>
      </c>
      <c r="F11" s="110">
        <f>IF($C$2 = "Hombres", 'Datos de Defunciones'!K8/'Tasas de crecimiento'!J15, 'Datos de Defunciones'!N8/'Tasas de crecimiento'!Y15)</f>
        <v>1.4551980888398432E-3</v>
      </c>
      <c r="H11" s="16" t="s">
        <v>516</v>
      </c>
      <c r="I11" s="109">
        <v>69577</v>
      </c>
    </row>
    <row r="12" spans="2:9" x14ac:dyDescent="0.25">
      <c r="B12" s="16" t="s">
        <v>517</v>
      </c>
      <c r="C12" s="110">
        <f>IF($C$2 = "Hombres", 'Datos de Defunciones'!C9/'Tasas de crecimiento'!I16, 'Datos de Defunciones'!F9/'Tasas de crecimiento'!X16)</f>
        <v>1.9410000160413224E-3</v>
      </c>
      <c r="E12" s="16" t="s">
        <v>517</v>
      </c>
      <c r="F12" s="110">
        <f>IF($C$2 = "Hombres", 'Datos de Defunciones'!K9/'Tasas de crecimiento'!J16, 'Datos de Defunciones'!N9/'Tasas de crecimiento'!Y16)</f>
        <v>1.6545650955135304E-3</v>
      </c>
      <c r="H12" s="16" t="s">
        <v>517</v>
      </c>
      <c r="I12" s="109">
        <v>55660</v>
      </c>
    </row>
    <row r="13" spans="2:9" x14ac:dyDescent="0.25">
      <c r="B13" s="16" t="s">
        <v>518</v>
      </c>
      <c r="C13" s="110">
        <f>IF($C$2 = "Hombres", 'Datos de Defunciones'!C10/'Tasas de crecimiento'!I17, 'Datos de Defunciones'!F10/'Tasas de crecimiento'!X17)</f>
        <v>2.052412857264015E-3</v>
      </c>
      <c r="E13" s="16" t="s">
        <v>518</v>
      </c>
      <c r="F13" s="110">
        <f>IF($C$2 = "Hombres", 'Datos de Defunciones'!K10/'Tasas de crecimiento'!J17, 'Datos de Defunciones'!N10/'Tasas de crecimiento'!Y17)</f>
        <v>2.0931978288485967E-3</v>
      </c>
      <c r="H13" s="16" t="s">
        <v>518</v>
      </c>
      <c r="I13" s="109">
        <v>46833</v>
      </c>
    </row>
    <row r="14" spans="2:9" x14ac:dyDescent="0.25">
      <c r="B14" s="16" t="s">
        <v>519</v>
      </c>
      <c r="C14" s="110">
        <f>IF($C$2 = "Hombres", 'Datos de Defunciones'!C11/'Tasas de crecimiento'!I18, 'Datos de Defunciones'!F11/'Tasas de crecimiento'!X18)</f>
        <v>2.4437372130029552E-3</v>
      </c>
      <c r="E14" s="16" t="s">
        <v>519</v>
      </c>
      <c r="F14" s="110">
        <f>IF($C$2 = "Hombres", 'Datos de Defunciones'!K11/'Tasas de crecimiento'!J18, 'Datos de Defunciones'!N11/'Tasas de crecimiento'!Y18)</f>
        <v>2.5599111741664866E-3</v>
      </c>
      <c r="H14" s="16" t="s">
        <v>519</v>
      </c>
      <c r="I14" s="109">
        <v>38127</v>
      </c>
    </row>
    <row r="15" spans="2:9" x14ac:dyDescent="0.25">
      <c r="B15" s="16" t="s">
        <v>520</v>
      </c>
      <c r="C15" s="110">
        <f>IF($C$2 = "Hombres", 'Datos de Defunciones'!C12/'Tasas de crecimiento'!I19, 'Datos de Defunciones'!F12/'Tasas de crecimiento'!X19)</f>
        <v>3.9082796792047894E-3</v>
      </c>
      <c r="E15" s="16" t="s">
        <v>520</v>
      </c>
      <c r="F15" s="110">
        <f>IF($C$2 = "Hombres", 'Datos de Defunciones'!K12/'Tasas de crecimiento'!J19, 'Datos de Defunciones'!N12/'Tasas de crecimiento'!Y19)</f>
        <v>3.4827404814163146E-3</v>
      </c>
      <c r="H15" s="16" t="s">
        <v>520</v>
      </c>
      <c r="I15" s="109">
        <v>29392</v>
      </c>
    </row>
    <row r="16" spans="2:9" x14ac:dyDescent="0.25">
      <c r="B16" s="16" t="s">
        <v>521</v>
      </c>
      <c r="C16" s="110">
        <f>IF($C$2 = "Hombres", 'Datos de Defunciones'!C13/'Tasas de crecimiento'!I20, 'Datos de Defunciones'!F13/'Tasas de crecimiento'!X20)</f>
        <v>6.0741153524658678E-3</v>
      </c>
      <c r="E16" s="16" t="s">
        <v>521</v>
      </c>
      <c r="F16" s="110">
        <f>IF($C$2 = "Hombres", 'Datos de Defunciones'!K13/'Tasas de crecimiento'!J20, 'Datos de Defunciones'!N13/'Tasas de crecimiento'!Y20)</f>
        <v>4.8187955231835137E-3</v>
      </c>
      <c r="H16" s="16" t="s">
        <v>521</v>
      </c>
      <c r="I16" s="109">
        <v>23788</v>
      </c>
    </row>
    <row r="17" spans="2:9" x14ac:dyDescent="0.25">
      <c r="B17" s="16" t="s">
        <v>522</v>
      </c>
      <c r="C17" s="110">
        <f>IF($C$2 = "Hombres", 'Datos de Defunciones'!C14/'Tasas de crecimiento'!I21, 'Datos de Defunciones'!F14/'Tasas de crecimiento'!X21)</f>
        <v>7.0181818181818184E-3</v>
      </c>
      <c r="E17" s="16" t="s">
        <v>522</v>
      </c>
      <c r="F17" s="110">
        <f>IF($C$2 = "Hombres", 'Datos de Defunciones'!K14/'Tasas de crecimiento'!J21, 'Datos de Defunciones'!N14/'Tasas de crecimiento'!Y21)</f>
        <v>7.9476006467702597E-3</v>
      </c>
      <c r="H17" s="16" t="s">
        <v>522</v>
      </c>
      <c r="I17" s="109">
        <v>18093</v>
      </c>
    </row>
    <row r="18" spans="2:9" x14ac:dyDescent="0.25">
      <c r="B18" s="16" t="s">
        <v>523</v>
      </c>
      <c r="C18" s="110">
        <f>IF($C$2 = "Hombres", 'Datos de Defunciones'!C15/'Tasas de crecimiento'!I22, 'Datos de Defunciones'!F15/'Tasas de crecimiento'!X22)</f>
        <v>1.2409260349225034E-2</v>
      </c>
      <c r="E18" s="16" t="s">
        <v>523</v>
      </c>
      <c r="F18" s="110">
        <f>IF($C$2 = "Hombres", 'Datos de Defunciones'!K15/'Tasas de crecimiento'!J22, 'Datos de Defunciones'!N15/'Tasas de crecimiento'!Y22)</f>
        <v>1.022257666932502E-2</v>
      </c>
      <c r="H18" s="16" t="s">
        <v>523</v>
      </c>
      <c r="I18" s="109">
        <v>14905</v>
      </c>
    </row>
    <row r="19" spans="2:9" x14ac:dyDescent="0.25">
      <c r="B19" s="16" t="s">
        <v>524</v>
      </c>
      <c r="C19" s="110">
        <f>IF($C$2 = "Hombres", 'Datos de Defunciones'!C16/'Tasas de crecimiento'!I23, 'Datos de Defunciones'!F16/'Tasas de crecimiento'!X23)</f>
        <v>1.6959999999999999E-2</v>
      </c>
      <c r="E19" s="16" t="s">
        <v>524</v>
      </c>
      <c r="F19" s="110">
        <f>IF($C$2 = "Hombres", 'Datos de Defunciones'!K16/'Tasas de crecimiento'!J23, 'Datos de Defunciones'!N16/'Tasas de crecimiento'!Y23)</f>
        <v>1.4766364402160448E-2</v>
      </c>
      <c r="H19" s="16" t="s">
        <v>524</v>
      </c>
      <c r="I19" s="109">
        <v>13035</v>
      </c>
    </row>
    <row r="20" spans="2:9" x14ac:dyDescent="0.25">
      <c r="B20" s="16" t="s">
        <v>525</v>
      </c>
      <c r="C20" s="110">
        <f>IF($C$2 = "Hombres", 'Datos de Defunciones'!C17/'Tasas de crecimiento'!I24, 'Datos de Defunciones'!F17/'Tasas de crecimiento'!X24)</f>
        <v>2.213991076689957E-2</v>
      </c>
      <c r="E20" s="16" t="s">
        <v>525</v>
      </c>
      <c r="F20" s="110">
        <f>IF($C$2 = "Hombres", 'Datos de Defunciones'!K17/'Tasas de crecimiento'!J24, 'Datos de Defunciones'!N17/'Tasas de crecimiento'!Y24)</f>
        <v>2.271824082659955E-2</v>
      </c>
      <c r="H20" s="16" t="s">
        <v>525</v>
      </c>
      <c r="I20" s="109">
        <v>10091</v>
      </c>
    </row>
    <row r="21" spans="2:9" x14ac:dyDescent="0.25">
      <c r="B21" s="16" t="s">
        <v>526</v>
      </c>
      <c r="C21" s="110">
        <f>IF($C$2 = "Hombres", 'Datos de Defunciones'!C18/'Tasas de crecimiento'!I25, 'Datos de Defunciones'!F18/'Tasas de crecimiento'!X25)</f>
        <v>3.7521713954834973E-2</v>
      </c>
      <c r="E21" s="16" t="s">
        <v>526</v>
      </c>
      <c r="F21" s="110">
        <f>IF($C$2 = "Hombres", 'Datos de Defunciones'!K18/'Tasas de crecimiento'!J25, 'Datos de Defunciones'!N18/'Tasas de crecimiento'!Y25)</f>
        <v>2.9867942922981477E-2</v>
      </c>
      <c r="H21" s="16" t="s">
        <v>526</v>
      </c>
      <c r="I21" s="109">
        <v>6731</v>
      </c>
    </row>
    <row r="22" spans="2:9" x14ac:dyDescent="0.25">
      <c r="B22" s="16" t="s">
        <v>527</v>
      </c>
      <c r="C22" s="110">
        <f>IF($C$2 = "Hombres", 'Datos de Defunciones'!C19/'Tasas de crecimiento'!I26, 'Datos de Defunciones'!F19/'Tasas de crecimiento'!X26)</f>
        <v>4.9715678310316813E-2</v>
      </c>
      <c r="E22" s="16" t="s">
        <v>527</v>
      </c>
      <c r="F22" s="110">
        <f>IF($C$2 = "Hombres", 'Datos de Defunciones'!K19/'Tasas de crecimiento'!J26, 'Datos de Defunciones'!N19/'Tasas de crecimiento'!Y26)</f>
        <v>4.8598375687712865E-2</v>
      </c>
      <c r="H22" s="16" t="s">
        <v>527</v>
      </c>
      <c r="I22" s="109">
        <v>5378</v>
      </c>
    </row>
    <row r="23" spans="2:9" x14ac:dyDescent="0.25">
      <c r="B23" s="16" t="s">
        <v>528</v>
      </c>
      <c r="C23" s="110">
        <f>IF($C$2 = "Hombres", 'Datos de Defunciones'!C20/'Tasas de crecimiento'!I27, 'Datos de Defunciones'!F20/'Tasas de crecimiento'!X27)</f>
        <v>7.840042094185741E-2</v>
      </c>
      <c r="E23" s="16" t="s">
        <v>528</v>
      </c>
      <c r="F23" s="110">
        <f>IF($C$2 = "Hombres", 'Datos de Defunciones'!K20/'Tasas de crecimiento'!J27, 'Datos de Defunciones'!N20/'Tasas de crecimiento'!Y27)</f>
        <v>8.2604055496264678E-2</v>
      </c>
      <c r="H23" s="16" t="s">
        <v>528</v>
      </c>
      <c r="I23" s="109">
        <v>3661</v>
      </c>
    </row>
    <row r="24" spans="2:9" x14ac:dyDescent="0.25">
      <c r="B24" s="16" t="s">
        <v>529</v>
      </c>
      <c r="C24" s="110">
        <f>IF($C$2 = "Hombres", 'Datos de Defunciones'!C21/'Tasas de crecimiento'!I28, 'Datos de Defunciones'!F21/'Tasas de crecimiento'!X28)</f>
        <v>0.14191988950276244</v>
      </c>
      <c r="E24" s="16" t="s">
        <v>529</v>
      </c>
      <c r="F24" s="110">
        <f>IF($C$2 = "Hombres", 'Datos de Defunciones'!K21/'Tasas de crecimiento'!J28, 'Datos de Defunciones'!N21/'Tasas de crecimiento'!Y28)</f>
        <v>0.15580597746202843</v>
      </c>
      <c r="H24" s="16" t="s">
        <v>529</v>
      </c>
      <c r="I24" s="150">
        <v>3251</v>
      </c>
    </row>
    <row r="25" spans="2:9" x14ac:dyDescent="0.25">
      <c r="I25" s="151"/>
    </row>
    <row r="26" spans="2:9" x14ac:dyDescent="0.25">
      <c r="B26" s="105" t="s">
        <v>530</v>
      </c>
      <c r="C26" s="108">
        <f>IF(C2 = "Hombres", ((SUM('Datos de Defunciones'!B22:D22)*1/3)/'Tabla de mortalidad'!C24)*1000, ((SUM('Datos de Defunciones'!E22:G22)*1/3)/'Tabla de mortalidad'!O24)*1000)</f>
        <v>4.773868689852784</v>
      </c>
      <c r="E26" s="105" t="s">
        <v>530</v>
      </c>
      <c r="F26" s="93">
        <f>IF(C2 = "Hombres", ((SUM('Datos de Defunciones'!J22:L22)*1/3)/'Tabla de mortalidad'!C63)*1000, ((SUM('Datos de Defunciones'!M22:O22)*1/3)/'Tabla de mortalidad'!O63)*1000)</f>
        <v>4.8730245534123551</v>
      </c>
      <c r="I26" s="10"/>
    </row>
    <row r="28" spans="2:9" x14ac:dyDescent="0.25">
      <c r="B28" s="214" t="str">
        <f>IF(C2 = "Hombres", D61,E60)</f>
        <v>Muertes esperadas de Hombres en 2005</v>
      </c>
      <c r="C28" s="214"/>
      <c r="D28" s="83"/>
      <c r="E28" s="214" t="str">
        <f>IF(C2 = "Hombres", D62,E61)</f>
        <v>Muertes esperadas de Hombres en 2010</v>
      </c>
      <c r="F28" s="214"/>
    </row>
    <row r="29" spans="2:9" x14ac:dyDescent="0.25">
      <c r="B29" s="212">
        <f t="shared" ref="B29:B46" si="0">C7*I7</f>
        <v>390.59132710809286</v>
      </c>
      <c r="C29" s="212"/>
      <c r="D29" s="111"/>
      <c r="E29" s="212">
        <f t="shared" ref="E29:E46" si="1">F7*I7</f>
        <v>331.29469104707073</v>
      </c>
      <c r="F29" s="212"/>
      <c r="H29" s="113" t="s">
        <v>531</v>
      </c>
      <c r="I29" s="93">
        <f>C47</f>
        <v>3224.3279051430391</v>
      </c>
    </row>
    <row r="30" spans="2:9" x14ac:dyDescent="0.25">
      <c r="B30" s="212">
        <f t="shared" si="0"/>
        <v>30.124190138443705</v>
      </c>
      <c r="C30" s="212"/>
      <c r="D30" s="111"/>
      <c r="E30" s="212">
        <f t="shared" si="1"/>
        <v>28.201519536903039</v>
      </c>
      <c r="F30" s="212"/>
      <c r="H30" s="113" t="s">
        <v>536</v>
      </c>
      <c r="I30" s="93">
        <f>F47</f>
        <v>3090.3744854227061</v>
      </c>
    </row>
    <row r="31" spans="2:9" x14ac:dyDescent="0.25">
      <c r="B31" s="212">
        <f t="shared" si="0"/>
        <v>37.851713257680601</v>
      </c>
      <c r="C31" s="212"/>
      <c r="D31" s="111"/>
      <c r="E31" s="212">
        <f t="shared" si="1"/>
        <v>36.250779311661049</v>
      </c>
      <c r="F31" s="212"/>
      <c r="H31" s="113" t="s">
        <v>532</v>
      </c>
      <c r="I31" s="17">
        <f>SUM(I7:I25)</f>
        <v>717414</v>
      </c>
    </row>
    <row r="32" spans="2:9" x14ac:dyDescent="0.25">
      <c r="B32" s="212">
        <f t="shared" si="0"/>
        <v>81.796104596968064</v>
      </c>
      <c r="C32" s="212"/>
      <c r="D32" s="111"/>
      <c r="E32" s="212">
        <f t="shared" si="1"/>
        <v>99.424761406719838</v>
      </c>
      <c r="F32" s="212"/>
      <c r="H32" s="114"/>
    </row>
    <row r="33" spans="2:9" x14ac:dyDescent="0.25">
      <c r="B33" s="212">
        <f t="shared" si="0"/>
        <v>102.50977163409455</v>
      </c>
      <c r="C33" s="212"/>
      <c r="D33" s="111"/>
      <c r="E33" s="212">
        <f t="shared" si="1"/>
        <v>101.24831742720977</v>
      </c>
      <c r="F33" s="212"/>
      <c r="H33" s="113" t="str">
        <f>IF(C2 = "Hombres", G62,I62)</f>
        <v>TTM 2005 Hombres</v>
      </c>
      <c r="I33" s="116">
        <f>(I29/I31)*1000</f>
        <v>4.4943755002593191</v>
      </c>
    </row>
    <row r="34" spans="2:9" x14ac:dyDescent="0.25">
      <c r="B34" s="212">
        <f t="shared" si="0"/>
        <v>108.03606089286001</v>
      </c>
      <c r="C34" s="212"/>
      <c r="D34" s="111"/>
      <c r="E34" s="212">
        <f t="shared" si="1"/>
        <v>92.093093216283108</v>
      </c>
      <c r="F34" s="212"/>
      <c r="H34" s="113" t="str">
        <f>IF(C2="Hombres",G63,I63)</f>
        <v>TTM 2010 Hombres</v>
      </c>
      <c r="I34" s="116">
        <f>(I30/I31)*1000</f>
        <v>4.3076584586064754</v>
      </c>
    </row>
    <row r="35" spans="2:9" x14ac:dyDescent="0.25">
      <c r="B35" s="212">
        <f t="shared" si="0"/>
        <v>96.120651344245616</v>
      </c>
      <c r="C35" s="212"/>
      <c r="D35" s="111"/>
      <c r="E35" s="212">
        <f t="shared" si="1"/>
        <v>98.030733918466325</v>
      </c>
      <c r="F35" s="212"/>
    </row>
    <row r="36" spans="2:9" x14ac:dyDescent="0.25">
      <c r="B36" s="212">
        <f t="shared" si="0"/>
        <v>93.172368720163675</v>
      </c>
      <c r="C36" s="212"/>
      <c r="D36" s="111"/>
      <c r="E36" s="212">
        <f t="shared" si="1"/>
        <v>97.601733337445637</v>
      </c>
      <c r="F36" s="212"/>
      <c r="H36" s="83"/>
    </row>
    <row r="37" spans="2:9" x14ac:dyDescent="0.25">
      <c r="B37" s="212">
        <f t="shared" si="0"/>
        <v>114.87215633118717</v>
      </c>
      <c r="C37" s="212"/>
      <c r="D37" s="111"/>
      <c r="E37" s="212">
        <f t="shared" si="1"/>
        <v>102.36470822978832</v>
      </c>
      <c r="F37" s="212"/>
    </row>
    <row r="38" spans="2:9" x14ac:dyDescent="0.25">
      <c r="B38" s="212">
        <f t="shared" si="0"/>
        <v>144.49105600445807</v>
      </c>
      <c r="C38" s="212"/>
      <c r="D38" s="111"/>
      <c r="E38" s="212">
        <f t="shared" si="1"/>
        <v>114.62950790548942</v>
      </c>
      <c r="F38" s="212"/>
    </row>
    <row r="39" spans="2:9" x14ac:dyDescent="0.25">
      <c r="B39" s="212">
        <f t="shared" si="0"/>
        <v>126.97996363636364</v>
      </c>
      <c r="C39" s="212"/>
      <c r="D39" s="111"/>
      <c r="E39" s="212">
        <f t="shared" si="1"/>
        <v>143.79593850201431</v>
      </c>
      <c r="F39" s="212"/>
      <c r="H39" s="83"/>
    </row>
    <row r="40" spans="2:9" x14ac:dyDescent="0.25">
      <c r="B40" s="212">
        <f t="shared" si="0"/>
        <v>184.96002550519913</v>
      </c>
      <c r="C40" s="212"/>
      <c r="D40" s="111"/>
      <c r="E40" s="212">
        <f t="shared" si="1"/>
        <v>152.36750525628941</v>
      </c>
      <c r="F40" s="212"/>
    </row>
    <row r="41" spans="2:9" x14ac:dyDescent="0.25">
      <c r="B41" s="212">
        <f t="shared" si="0"/>
        <v>221.0736</v>
      </c>
      <c r="C41" s="212"/>
      <c r="D41" s="111"/>
      <c r="E41" s="212">
        <f t="shared" si="1"/>
        <v>192.47955998216145</v>
      </c>
      <c r="F41" s="212"/>
    </row>
    <row r="42" spans="2:9" x14ac:dyDescent="0.25">
      <c r="B42" s="212">
        <f t="shared" si="0"/>
        <v>223.41383954878356</v>
      </c>
      <c r="C42" s="212"/>
      <c r="D42" s="111"/>
      <c r="E42" s="212">
        <f t="shared" si="1"/>
        <v>229.24976818121607</v>
      </c>
      <c r="F42" s="212"/>
      <c r="H42" s="83"/>
    </row>
    <row r="43" spans="2:9" x14ac:dyDescent="0.25">
      <c r="B43" s="212">
        <f t="shared" si="0"/>
        <v>252.5586566299942</v>
      </c>
      <c r="C43" s="212"/>
      <c r="D43" s="111"/>
      <c r="E43" s="212">
        <f t="shared" si="1"/>
        <v>201.04112381458833</v>
      </c>
      <c r="F43" s="212"/>
    </row>
    <row r="44" spans="2:9" x14ac:dyDescent="0.25">
      <c r="B44" s="212">
        <f t="shared" si="0"/>
        <v>267.37091795288381</v>
      </c>
      <c r="C44" s="212"/>
      <c r="D44" s="111"/>
      <c r="E44" s="212">
        <f t="shared" si="1"/>
        <v>261.36206444851979</v>
      </c>
      <c r="F44" s="212"/>
    </row>
    <row r="45" spans="2:9" x14ac:dyDescent="0.25">
      <c r="B45" s="212">
        <f t="shared" si="0"/>
        <v>287.02394106814</v>
      </c>
      <c r="C45" s="212"/>
      <c r="D45" s="111"/>
      <c r="E45" s="212">
        <f t="shared" si="1"/>
        <v>302.413447171825</v>
      </c>
      <c r="F45" s="212"/>
    </row>
    <row r="46" spans="2:9" x14ac:dyDescent="0.25">
      <c r="B46" s="212">
        <f t="shared" si="0"/>
        <v>461.38156077348066</v>
      </c>
      <c r="C46" s="212"/>
      <c r="D46" s="111"/>
      <c r="E46" s="212">
        <f t="shared" si="1"/>
        <v>506.52523272905444</v>
      </c>
      <c r="F46" s="212"/>
    </row>
    <row r="47" spans="2:9" x14ac:dyDescent="0.25">
      <c r="B47" s="104" t="s">
        <v>533</v>
      </c>
      <c r="C47" s="115">
        <f>SUM(B29:C46)</f>
        <v>3224.3279051430391</v>
      </c>
      <c r="D47" s="111"/>
      <c r="E47" s="104" t="s">
        <v>533</v>
      </c>
      <c r="F47" s="115">
        <f>SUM(E29:F46)</f>
        <v>3090.3744854227061</v>
      </c>
    </row>
    <row r="60" spans="1:9" x14ac:dyDescent="0.25">
      <c r="B60" t="s">
        <v>537</v>
      </c>
      <c r="C60" t="s">
        <v>539</v>
      </c>
      <c r="E60" t="s">
        <v>543</v>
      </c>
    </row>
    <row r="61" spans="1:9" x14ac:dyDescent="0.25">
      <c r="B61" t="s">
        <v>538</v>
      </c>
      <c r="C61" t="s">
        <v>540</v>
      </c>
      <c r="D61" t="s">
        <v>541</v>
      </c>
      <c r="E61" t="s">
        <v>544</v>
      </c>
    </row>
    <row r="62" spans="1:9" ht="17.25" x14ac:dyDescent="0.25">
      <c r="A62" t="s">
        <v>1</v>
      </c>
      <c r="D62" t="s">
        <v>542</v>
      </c>
      <c r="G62" s="106" t="s">
        <v>545</v>
      </c>
      <c r="I62" s="106" t="s">
        <v>547</v>
      </c>
    </row>
    <row r="63" spans="1:9" ht="17.25" x14ac:dyDescent="0.25">
      <c r="A63" t="s">
        <v>4</v>
      </c>
      <c r="G63" s="106" t="s">
        <v>546</v>
      </c>
      <c r="I63" s="106" t="s">
        <v>548</v>
      </c>
    </row>
  </sheetData>
  <mergeCells count="41">
    <mergeCell ref="B29:C29"/>
    <mergeCell ref="E29:F29"/>
    <mergeCell ref="B5:C5"/>
    <mergeCell ref="E5:F5"/>
    <mergeCell ref="H5:I5"/>
    <mergeCell ref="B28:C28"/>
    <mergeCell ref="E28:F28"/>
    <mergeCell ref="B30:C30"/>
    <mergeCell ref="E30:F30"/>
    <mergeCell ref="B31:C31"/>
    <mergeCell ref="E31:F31"/>
    <mergeCell ref="B32:C32"/>
    <mergeCell ref="E32:F32"/>
    <mergeCell ref="B33:C33"/>
    <mergeCell ref="E33:F33"/>
    <mergeCell ref="B34:C34"/>
    <mergeCell ref="E34:F34"/>
    <mergeCell ref="B35:C35"/>
    <mergeCell ref="E35:F35"/>
    <mergeCell ref="B36:C36"/>
    <mergeCell ref="E36:F36"/>
    <mergeCell ref="B37:C37"/>
    <mergeCell ref="E37:F37"/>
    <mergeCell ref="B38:C38"/>
    <mergeCell ref="E38:F38"/>
    <mergeCell ref="B39:C39"/>
    <mergeCell ref="E39:F39"/>
    <mergeCell ref="B40:C40"/>
    <mergeCell ref="E40:F40"/>
    <mergeCell ref="B41:C41"/>
    <mergeCell ref="E41:F41"/>
    <mergeCell ref="B45:C45"/>
    <mergeCell ref="E45:F45"/>
    <mergeCell ref="B46:C46"/>
    <mergeCell ref="E46:F46"/>
    <mergeCell ref="B42:C42"/>
    <mergeCell ref="E42:F42"/>
    <mergeCell ref="B43:C43"/>
    <mergeCell ref="E43:F43"/>
    <mergeCell ref="B44:C44"/>
    <mergeCell ref="E44:F44"/>
  </mergeCells>
  <dataValidations count="1">
    <dataValidation type="list" allowBlank="1" showInputMessage="1" showErrorMessage="1" sqref="C2" xr:uid="{34A859BF-D9B9-432F-8052-EB563A514058}">
      <formula1>$A$62:$A$63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B8B3-9EF6-44A3-B960-B761B00D0690}">
  <dimension ref="B2:AI96"/>
  <sheetViews>
    <sheetView topLeftCell="B1" zoomScale="52" zoomScaleNormal="52" workbookViewId="0">
      <selection activeCell="M9" sqref="M9"/>
    </sheetView>
  </sheetViews>
  <sheetFormatPr baseColWidth="10" defaultRowHeight="15" x14ac:dyDescent="0.25"/>
  <cols>
    <col min="2" max="2" width="15" customWidth="1"/>
    <col min="3" max="3" width="22.7109375" customWidth="1"/>
    <col min="4" max="4" width="18.85546875" customWidth="1"/>
    <col min="5" max="5" width="15" customWidth="1"/>
    <col min="6" max="6" width="18.7109375" customWidth="1"/>
    <col min="9" max="9" width="16.140625" customWidth="1"/>
    <col min="10" max="10" width="21.85546875" customWidth="1"/>
    <col min="11" max="11" width="20.7109375" customWidth="1"/>
    <col min="12" max="12" width="16.85546875" customWidth="1"/>
    <col min="13" max="13" width="16.28515625" customWidth="1"/>
    <col min="14" max="14" width="17.28515625" customWidth="1"/>
    <col min="18" max="18" width="20.85546875" customWidth="1"/>
    <col min="35" max="35" width="17.85546875" customWidth="1"/>
  </cols>
  <sheetData>
    <row r="2" spans="2:34" ht="18.75" x14ac:dyDescent="0.3">
      <c r="B2" s="215" t="s">
        <v>573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4" spans="2:34" x14ac:dyDescent="0.25">
      <c r="B4" s="216">
        <v>2005</v>
      </c>
      <c r="C4" s="216"/>
      <c r="E4" s="216">
        <v>2005</v>
      </c>
      <c r="F4" s="216"/>
      <c r="I4" s="182">
        <v>2010</v>
      </c>
      <c r="J4" s="182"/>
      <c r="L4" s="182">
        <v>2010</v>
      </c>
      <c r="M4" s="182"/>
      <c r="R4" t="s">
        <v>597</v>
      </c>
      <c r="S4" s="83">
        <v>1995</v>
      </c>
      <c r="T4" s="83">
        <v>1996</v>
      </c>
      <c r="U4" s="83">
        <v>1997</v>
      </c>
      <c r="V4" s="83">
        <v>1998</v>
      </c>
      <c r="W4" s="83">
        <v>1999</v>
      </c>
      <c r="X4" s="83">
        <v>2000</v>
      </c>
      <c r="Y4" s="83">
        <v>2001</v>
      </c>
      <c r="Z4" s="83">
        <v>2002</v>
      </c>
      <c r="AA4" s="83">
        <v>2003</v>
      </c>
      <c r="AB4" s="83">
        <v>2004</v>
      </c>
      <c r="AC4" s="83">
        <v>2005</v>
      </c>
      <c r="AD4" s="83">
        <v>2006</v>
      </c>
      <c r="AE4" s="83">
        <v>2007</v>
      </c>
      <c r="AF4" s="83">
        <v>2008</v>
      </c>
      <c r="AG4" s="83">
        <v>2009</v>
      </c>
      <c r="AH4" s="83">
        <v>2010</v>
      </c>
    </row>
    <row r="5" spans="2:34" x14ac:dyDescent="0.25">
      <c r="B5" s="199" t="s">
        <v>1</v>
      </c>
      <c r="C5" s="199"/>
      <c r="E5" s="199" t="s">
        <v>4</v>
      </c>
      <c r="F5" s="199"/>
      <c r="I5" s="199" t="s">
        <v>1</v>
      </c>
      <c r="J5" s="199"/>
      <c r="L5" s="199" t="s">
        <v>4</v>
      </c>
      <c r="M5" s="199"/>
      <c r="R5" s="83">
        <v>1995</v>
      </c>
      <c r="S5" s="10">
        <v>27304</v>
      </c>
      <c r="T5" s="10">
        <v>8422</v>
      </c>
      <c r="U5" s="10">
        <v>1114</v>
      </c>
      <c r="V5">
        <v>496</v>
      </c>
      <c r="W5">
        <v>371</v>
      </c>
      <c r="X5">
        <v>272</v>
      </c>
      <c r="Y5">
        <v>136</v>
      </c>
      <c r="Z5">
        <v>10</v>
      </c>
      <c r="AA5">
        <v>31</v>
      </c>
      <c r="AB5">
        <v>36</v>
      </c>
      <c r="AC5">
        <v>36</v>
      </c>
      <c r="AD5">
        <v>14</v>
      </c>
      <c r="AE5">
        <v>18</v>
      </c>
      <c r="AF5">
        <v>19</v>
      </c>
      <c r="AG5">
        <v>14</v>
      </c>
      <c r="AH5">
        <v>19</v>
      </c>
    </row>
    <row r="6" spans="2:34" ht="18" x14ac:dyDescent="0.35">
      <c r="B6" s="16" t="s">
        <v>572</v>
      </c>
      <c r="C6" s="17">
        <f>'Diagramas de Lexis'!C10</f>
        <v>21132</v>
      </c>
      <c r="E6" s="16" t="s">
        <v>572</v>
      </c>
      <c r="F6" s="17">
        <f>'Diagramas de Lexis'!D10</f>
        <v>20755</v>
      </c>
      <c r="I6" s="16" t="s">
        <v>572</v>
      </c>
      <c r="J6" s="17">
        <f>'Diagramas de Lexis'!C15</f>
        <v>20860</v>
      </c>
      <c r="L6" s="16" t="s">
        <v>572</v>
      </c>
      <c r="M6" s="17">
        <f>'Diagramas de Lexis'!D15</f>
        <v>19996</v>
      </c>
      <c r="R6" s="83">
        <v>1996</v>
      </c>
      <c r="T6" s="10">
        <v>26435</v>
      </c>
      <c r="U6" s="10">
        <v>7715</v>
      </c>
      <c r="V6" s="10">
        <v>1033</v>
      </c>
      <c r="W6">
        <v>503</v>
      </c>
      <c r="X6">
        <v>293</v>
      </c>
      <c r="Y6">
        <v>213</v>
      </c>
      <c r="Z6">
        <v>28</v>
      </c>
      <c r="AA6">
        <v>54</v>
      </c>
      <c r="AB6">
        <v>49</v>
      </c>
      <c r="AC6">
        <v>44</v>
      </c>
      <c r="AD6">
        <v>26</v>
      </c>
      <c r="AE6">
        <v>18</v>
      </c>
      <c r="AF6">
        <v>26</v>
      </c>
      <c r="AG6">
        <v>22</v>
      </c>
      <c r="AH6">
        <v>21</v>
      </c>
    </row>
    <row r="7" spans="2:34" ht="18" x14ac:dyDescent="0.35">
      <c r="B7" s="16" t="s">
        <v>571</v>
      </c>
      <c r="C7" s="16">
        <f>SUM('Tasas de crecimiento'!I11:I28)</f>
        <v>764998</v>
      </c>
      <c r="E7" s="16" t="s">
        <v>571</v>
      </c>
      <c r="F7" s="16">
        <f>SUM('Tasas de crecimiento'!X11:X28)</f>
        <v>817765</v>
      </c>
      <c r="I7" s="16" t="s">
        <v>571</v>
      </c>
      <c r="J7" s="16">
        <f>SUM('Tasas de crecimiento'!J11:J28)</f>
        <v>888702</v>
      </c>
      <c r="L7" s="16" t="s">
        <v>571</v>
      </c>
      <c r="M7" s="16">
        <f>SUM('Tasas de crecimiento'!Y11:Y28)</f>
        <v>942385</v>
      </c>
      <c r="R7" s="83">
        <v>1997</v>
      </c>
      <c r="U7" s="10">
        <v>25753</v>
      </c>
      <c r="V7" s="10">
        <v>7669</v>
      </c>
      <c r="W7" s="10">
        <v>1072</v>
      </c>
      <c r="X7">
        <v>445</v>
      </c>
      <c r="Y7">
        <v>284</v>
      </c>
      <c r="Z7">
        <v>38</v>
      </c>
      <c r="AA7">
        <v>94</v>
      </c>
      <c r="AB7">
        <v>108</v>
      </c>
      <c r="AC7">
        <v>70</v>
      </c>
      <c r="AD7">
        <v>55</v>
      </c>
      <c r="AE7">
        <v>29</v>
      </c>
      <c r="AF7">
        <v>27</v>
      </c>
      <c r="AG7">
        <v>31</v>
      </c>
      <c r="AH7">
        <v>20</v>
      </c>
    </row>
    <row r="8" spans="2:34" x14ac:dyDescent="0.25">
      <c r="B8" s="129" t="s">
        <v>551</v>
      </c>
      <c r="C8" s="36">
        <f>(C6/C7)*1000</f>
        <v>27.623601630331059</v>
      </c>
      <c r="E8" s="129" t="s">
        <v>551</v>
      </c>
      <c r="F8" s="16">
        <f>(F6/F7)*1000</f>
        <v>25.380151999657603</v>
      </c>
      <c r="I8" s="128" t="s">
        <v>551</v>
      </c>
      <c r="J8" s="16">
        <f>(J6/J7)*1000</f>
        <v>23.47243507947546</v>
      </c>
      <c r="L8" s="128" t="s">
        <v>551</v>
      </c>
      <c r="M8" s="16">
        <f>(M6/M7)*1000</f>
        <v>21.2185041145604</v>
      </c>
      <c r="R8" s="83">
        <v>1998</v>
      </c>
      <c r="V8" s="10">
        <v>26935</v>
      </c>
      <c r="W8" s="10">
        <v>7764</v>
      </c>
      <c r="X8">
        <v>967</v>
      </c>
      <c r="Y8">
        <v>432</v>
      </c>
      <c r="Z8">
        <v>51</v>
      </c>
      <c r="AA8">
        <v>98</v>
      </c>
      <c r="AB8">
        <v>178</v>
      </c>
      <c r="AC8">
        <v>145</v>
      </c>
      <c r="AD8">
        <v>75</v>
      </c>
      <c r="AE8">
        <v>41</v>
      </c>
      <c r="AF8">
        <v>38</v>
      </c>
      <c r="AG8">
        <v>18</v>
      </c>
      <c r="AH8">
        <v>24</v>
      </c>
    </row>
    <row r="9" spans="2:34" x14ac:dyDescent="0.25">
      <c r="R9" s="83">
        <v>1999</v>
      </c>
      <c r="W9" s="10">
        <v>27409</v>
      </c>
      <c r="X9" s="10">
        <v>7856</v>
      </c>
      <c r="Y9">
        <v>870</v>
      </c>
      <c r="Z9">
        <v>94</v>
      </c>
      <c r="AA9">
        <v>156</v>
      </c>
      <c r="AB9">
        <v>272</v>
      </c>
      <c r="AC9">
        <v>235</v>
      </c>
      <c r="AD9">
        <v>122</v>
      </c>
      <c r="AE9">
        <v>61</v>
      </c>
      <c r="AF9">
        <v>53</v>
      </c>
      <c r="AG9">
        <v>31</v>
      </c>
      <c r="AH9">
        <v>28</v>
      </c>
    </row>
    <row r="10" spans="2:34" x14ac:dyDescent="0.25">
      <c r="B10" s="217" t="s">
        <v>570</v>
      </c>
      <c r="C10" s="218"/>
      <c r="D10" s="218"/>
      <c r="E10" s="219"/>
      <c r="I10" s="182" t="s">
        <v>570</v>
      </c>
      <c r="J10" s="182"/>
      <c r="K10" s="182"/>
      <c r="L10" s="182"/>
      <c r="R10" s="83">
        <v>2000</v>
      </c>
      <c r="X10" s="10">
        <v>28567</v>
      </c>
      <c r="Y10" s="10">
        <v>7958</v>
      </c>
      <c r="Z10">
        <v>271</v>
      </c>
      <c r="AA10">
        <v>364</v>
      </c>
      <c r="AB10">
        <v>441</v>
      </c>
      <c r="AC10">
        <v>402</v>
      </c>
      <c r="AD10">
        <v>232</v>
      </c>
      <c r="AE10">
        <v>125</v>
      </c>
      <c r="AF10">
        <v>88</v>
      </c>
      <c r="AG10">
        <v>65</v>
      </c>
      <c r="AH10">
        <v>38</v>
      </c>
    </row>
    <row r="11" spans="2:34" ht="18" x14ac:dyDescent="0.35">
      <c r="B11" s="16" t="s">
        <v>569</v>
      </c>
      <c r="C11" s="129" t="s">
        <v>552</v>
      </c>
      <c r="D11" s="129" t="s">
        <v>554</v>
      </c>
      <c r="E11" s="129" t="s">
        <v>580</v>
      </c>
      <c r="I11" s="120" t="s">
        <v>569</v>
      </c>
      <c r="J11" s="128" t="s">
        <v>552</v>
      </c>
      <c r="K11" s="128" t="s">
        <v>554</v>
      </c>
      <c r="L11" s="128" t="s">
        <v>580</v>
      </c>
      <c r="R11" s="83">
        <v>2001</v>
      </c>
      <c r="Y11" s="10">
        <v>27185</v>
      </c>
      <c r="Z11" s="10">
        <v>8419</v>
      </c>
      <c r="AA11">
        <v>284</v>
      </c>
      <c r="AB11">
        <v>458</v>
      </c>
      <c r="AC11">
        <v>501</v>
      </c>
      <c r="AD11">
        <v>232</v>
      </c>
      <c r="AE11">
        <v>175</v>
      </c>
      <c r="AF11">
        <v>90</v>
      </c>
      <c r="AG11">
        <v>61</v>
      </c>
      <c r="AH11">
        <v>52</v>
      </c>
    </row>
    <row r="12" spans="2:34" x14ac:dyDescent="0.25">
      <c r="B12" s="16">
        <f>SUM('Tasas de crecimiento'!X14:X20)</f>
        <v>453174</v>
      </c>
      <c r="C12" s="16">
        <f>((AI36)/B12)*1000</f>
        <v>84.686288898298514</v>
      </c>
      <c r="D12" s="16">
        <f>(F6/B12)*1000</f>
        <v>45.799185301892869</v>
      </c>
      <c r="E12" s="16">
        <f>C12*(100/205)</f>
        <v>41.310384828438302</v>
      </c>
      <c r="I12" s="16">
        <f>SUM('Tasas de crecimiento'!Y14:Y20)</f>
        <v>526170</v>
      </c>
      <c r="J12" s="16">
        <f>((AI41)/I12)*1000</f>
        <v>84.609173226217663</v>
      </c>
      <c r="K12" s="127">
        <f>(M6/I12)*1000</f>
        <v>38.002926810726571</v>
      </c>
      <c r="L12" s="16">
        <f>J12*(100/205)</f>
        <v>41.272767427423247</v>
      </c>
      <c r="R12" s="83">
        <v>2002</v>
      </c>
      <c r="Z12" s="10">
        <v>27508</v>
      </c>
      <c r="AA12" s="10">
        <v>8524</v>
      </c>
      <c r="AB12">
        <v>331</v>
      </c>
      <c r="AC12">
        <v>509</v>
      </c>
      <c r="AD12">
        <v>300</v>
      </c>
      <c r="AE12">
        <v>149</v>
      </c>
      <c r="AF12">
        <v>100</v>
      </c>
      <c r="AG12">
        <v>76</v>
      </c>
      <c r="AH12">
        <v>42</v>
      </c>
    </row>
    <row r="13" spans="2:34" x14ac:dyDescent="0.25">
      <c r="R13" s="83">
        <v>2003</v>
      </c>
      <c r="AA13" s="10">
        <v>27588</v>
      </c>
      <c r="AB13" s="10">
        <v>8775</v>
      </c>
      <c r="AC13">
        <v>592</v>
      </c>
      <c r="AD13">
        <v>326</v>
      </c>
      <c r="AE13">
        <v>227</v>
      </c>
      <c r="AF13">
        <v>128</v>
      </c>
      <c r="AG13">
        <v>107</v>
      </c>
      <c r="AH13">
        <v>51</v>
      </c>
    </row>
    <row r="14" spans="2:34" x14ac:dyDescent="0.25">
      <c r="D14" s="51"/>
      <c r="R14" s="83">
        <v>2004</v>
      </c>
      <c r="AB14" s="10">
        <v>28117</v>
      </c>
      <c r="AC14" s="10">
        <v>8293</v>
      </c>
      <c r="AD14">
        <v>508</v>
      </c>
      <c r="AE14">
        <v>304</v>
      </c>
      <c r="AF14">
        <v>235</v>
      </c>
      <c r="AG14">
        <v>112</v>
      </c>
      <c r="AH14">
        <v>71</v>
      </c>
    </row>
    <row r="15" spans="2:34" x14ac:dyDescent="0.25">
      <c r="C15" s="37"/>
      <c r="R15" s="83">
        <v>2005</v>
      </c>
      <c r="AC15" s="10">
        <v>29679</v>
      </c>
      <c r="AD15" s="10">
        <v>7209</v>
      </c>
      <c r="AE15">
        <v>565</v>
      </c>
      <c r="AF15">
        <v>298</v>
      </c>
      <c r="AG15">
        <v>237</v>
      </c>
      <c r="AH15">
        <v>117</v>
      </c>
    </row>
    <row r="16" spans="2:34" x14ac:dyDescent="0.25">
      <c r="B16" s="199" t="s">
        <v>563</v>
      </c>
      <c r="C16" s="199"/>
      <c r="D16" s="199"/>
      <c r="I16" s="199" t="s">
        <v>563</v>
      </c>
      <c r="J16" s="199"/>
      <c r="K16" s="199"/>
      <c r="R16" s="83">
        <v>2006</v>
      </c>
      <c r="AD16" s="10">
        <v>29111</v>
      </c>
      <c r="AE16" s="10">
        <v>7861</v>
      </c>
      <c r="AF16">
        <v>564</v>
      </c>
      <c r="AG16">
        <v>289</v>
      </c>
      <c r="AH16">
        <v>221</v>
      </c>
    </row>
    <row r="17" spans="2:35" x14ac:dyDescent="0.25">
      <c r="B17" s="125" t="s">
        <v>256</v>
      </c>
      <c r="C17" s="125" t="s">
        <v>107</v>
      </c>
      <c r="D17" s="125" t="s">
        <v>4</v>
      </c>
      <c r="I17" s="121" t="s">
        <v>256</v>
      </c>
      <c r="J17" s="121" t="s">
        <v>107</v>
      </c>
      <c r="K17" s="121" t="s">
        <v>4</v>
      </c>
      <c r="R17" s="83">
        <v>2007</v>
      </c>
      <c r="AE17" s="10">
        <v>32648</v>
      </c>
      <c r="AF17" s="10">
        <v>6225</v>
      </c>
      <c r="AG17">
        <v>504</v>
      </c>
      <c r="AH17">
        <v>264</v>
      </c>
    </row>
    <row r="18" spans="2:35" x14ac:dyDescent="0.25">
      <c r="B18" s="131" t="s">
        <v>582</v>
      </c>
      <c r="C18" s="132">
        <v>100</v>
      </c>
      <c r="D18" s="132">
        <v>44</v>
      </c>
      <c r="I18" s="131" t="s">
        <v>582</v>
      </c>
      <c r="J18" s="132">
        <v>126</v>
      </c>
      <c r="K18" s="132">
        <v>66</v>
      </c>
      <c r="R18" s="83">
        <v>2008</v>
      </c>
      <c r="AF18" s="10">
        <v>33307</v>
      </c>
      <c r="AG18" s="10">
        <v>5682</v>
      </c>
      <c r="AH18">
        <v>367</v>
      </c>
    </row>
    <row r="19" spans="2:35" x14ac:dyDescent="0.25">
      <c r="B19" s="16" t="s">
        <v>561</v>
      </c>
      <c r="C19" s="17">
        <v>6206</v>
      </c>
      <c r="D19" s="17">
        <v>3102</v>
      </c>
      <c r="I19" s="16" t="s">
        <v>561</v>
      </c>
      <c r="J19" s="17">
        <v>6557</v>
      </c>
      <c r="K19" s="17">
        <v>3121</v>
      </c>
      <c r="R19" s="83">
        <v>2009</v>
      </c>
      <c r="AG19" s="10">
        <v>33167</v>
      </c>
      <c r="AH19" s="10">
        <v>5256</v>
      </c>
    </row>
    <row r="20" spans="2:35" x14ac:dyDescent="0.25">
      <c r="B20" s="16" t="s">
        <v>555</v>
      </c>
      <c r="C20" s="17">
        <v>12071</v>
      </c>
      <c r="D20" s="17">
        <v>5866</v>
      </c>
      <c r="I20" s="16" t="s">
        <v>555</v>
      </c>
      <c r="J20" s="17">
        <v>11531</v>
      </c>
      <c r="K20" s="17">
        <v>5561</v>
      </c>
      <c r="R20" s="83">
        <v>2010</v>
      </c>
      <c r="AH20" s="10">
        <v>33565</v>
      </c>
    </row>
    <row r="21" spans="2:35" x14ac:dyDescent="0.25">
      <c r="B21" s="16" t="s">
        <v>559</v>
      </c>
      <c r="C21" s="17">
        <v>10684</v>
      </c>
      <c r="D21" s="17">
        <v>5178</v>
      </c>
      <c r="I21" s="16" t="s">
        <v>559</v>
      </c>
      <c r="J21" s="17">
        <v>10210</v>
      </c>
      <c r="K21" s="17">
        <v>5044</v>
      </c>
    </row>
    <row r="22" spans="2:35" x14ac:dyDescent="0.25">
      <c r="B22" s="16" t="s">
        <v>556</v>
      </c>
      <c r="C22" s="17">
        <v>7387</v>
      </c>
      <c r="D22" s="17">
        <v>3698</v>
      </c>
      <c r="I22" s="16" t="s">
        <v>556</v>
      </c>
      <c r="J22" s="17">
        <v>7302</v>
      </c>
      <c r="K22" s="17">
        <v>3578</v>
      </c>
    </row>
    <row r="23" spans="2:35" x14ac:dyDescent="0.25">
      <c r="B23" s="16" t="s">
        <v>560</v>
      </c>
      <c r="C23" s="17">
        <v>3333</v>
      </c>
      <c r="D23" s="17">
        <v>1649</v>
      </c>
      <c r="E23" s="123"/>
      <c r="I23" s="16" t="s">
        <v>560</v>
      </c>
      <c r="J23" s="17">
        <v>3514</v>
      </c>
      <c r="K23" s="17">
        <v>1720</v>
      </c>
      <c r="L23" s="122"/>
    </row>
    <row r="24" spans="2:35" x14ac:dyDescent="0.25">
      <c r="B24" s="16" t="s">
        <v>557</v>
      </c>
      <c r="C24" s="16">
        <v>883</v>
      </c>
      <c r="D24" s="16">
        <v>416</v>
      </c>
      <c r="I24" s="16" t="s">
        <v>557</v>
      </c>
      <c r="J24" s="16">
        <v>798</v>
      </c>
      <c r="K24" s="16">
        <v>397</v>
      </c>
      <c r="S24" t="s">
        <v>598</v>
      </c>
    </row>
    <row r="25" spans="2:35" x14ac:dyDescent="0.25">
      <c r="B25" s="16" t="s">
        <v>558</v>
      </c>
      <c r="C25" s="16">
        <v>83</v>
      </c>
      <c r="D25" s="16">
        <v>45</v>
      </c>
      <c r="I25" s="16" t="s">
        <v>558</v>
      </c>
      <c r="J25" s="16">
        <v>53</v>
      </c>
      <c r="K25" s="16">
        <v>28</v>
      </c>
      <c r="R25" t="s">
        <v>597</v>
      </c>
      <c r="S25" s="136">
        <v>0</v>
      </c>
      <c r="T25" s="136">
        <v>1</v>
      </c>
      <c r="U25" s="136">
        <v>2</v>
      </c>
      <c r="V25" s="136">
        <v>3</v>
      </c>
      <c r="W25" s="136">
        <v>4</v>
      </c>
      <c r="X25" s="136">
        <v>5</v>
      </c>
      <c r="Y25" s="136">
        <v>6</v>
      </c>
      <c r="Z25" s="136">
        <v>7</v>
      </c>
      <c r="AA25" s="136">
        <v>8</v>
      </c>
      <c r="AB25" s="136">
        <v>9</v>
      </c>
      <c r="AC25" s="136">
        <v>10</v>
      </c>
      <c r="AD25" s="136">
        <v>11</v>
      </c>
      <c r="AE25" s="136">
        <v>12</v>
      </c>
      <c r="AF25" s="136">
        <v>13</v>
      </c>
      <c r="AG25" s="136">
        <v>14</v>
      </c>
      <c r="AH25" s="136">
        <v>15</v>
      </c>
      <c r="AI25" s="83" t="s">
        <v>600</v>
      </c>
    </row>
    <row r="26" spans="2:35" x14ac:dyDescent="0.25">
      <c r="B26" s="36" t="s">
        <v>581</v>
      </c>
      <c r="C26" s="130">
        <v>15</v>
      </c>
      <c r="D26" s="130">
        <v>9</v>
      </c>
      <c r="I26" s="36" t="s">
        <v>581</v>
      </c>
      <c r="J26" s="130">
        <v>3</v>
      </c>
      <c r="K26" s="130">
        <v>1</v>
      </c>
      <c r="R26" s="83">
        <v>1995</v>
      </c>
      <c r="S26" s="10">
        <v>27304</v>
      </c>
      <c r="T26" s="10">
        <v>8422</v>
      </c>
      <c r="U26" s="10">
        <v>1114</v>
      </c>
      <c r="V26" s="10">
        <v>496</v>
      </c>
      <c r="W26" s="10">
        <v>371</v>
      </c>
      <c r="X26" s="10">
        <v>272</v>
      </c>
      <c r="Y26" s="10">
        <v>136</v>
      </c>
      <c r="Z26" s="10">
        <v>10</v>
      </c>
      <c r="AA26" s="10">
        <v>31</v>
      </c>
      <c r="AB26" s="10">
        <v>36</v>
      </c>
      <c r="AC26" s="10">
        <v>36</v>
      </c>
      <c r="AD26" s="10">
        <v>14</v>
      </c>
      <c r="AE26" s="10">
        <v>18</v>
      </c>
      <c r="AF26" s="10">
        <v>19</v>
      </c>
      <c r="AG26" s="10">
        <v>14</v>
      </c>
      <c r="AH26" s="10">
        <v>19</v>
      </c>
      <c r="AI26" s="10">
        <f>SUM(S26:AH26)</f>
        <v>38312</v>
      </c>
    </row>
    <row r="27" spans="2:35" x14ac:dyDescent="0.25">
      <c r="R27" s="83">
        <v>1996</v>
      </c>
      <c r="S27" s="10">
        <v>26435</v>
      </c>
      <c r="T27" s="10">
        <v>7715</v>
      </c>
      <c r="U27" s="10">
        <v>1033</v>
      </c>
      <c r="V27" s="10">
        <v>503</v>
      </c>
      <c r="W27" s="10">
        <v>293</v>
      </c>
      <c r="X27" s="10">
        <v>213</v>
      </c>
      <c r="Y27" s="10">
        <v>28</v>
      </c>
      <c r="Z27" s="10">
        <v>54</v>
      </c>
      <c r="AA27" s="10">
        <v>49</v>
      </c>
      <c r="AB27" s="10">
        <v>44</v>
      </c>
      <c r="AC27" s="10">
        <v>26</v>
      </c>
      <c r="AD27" s="10">
        <v>18</v>
      </c>
      <c r="AE27" s="10">
        <v>26</v>
      </c>
      <c r="AF27" s="10">
        <v>22</v>
      </c>
      <c r="AG27" s="10">
        <v>21</v>
      </c>
      <c r="AH27" s="137">
        <f>AG27*AH43</f>
        <v>28.5</v>
      </c>
      <c r="AI27" s="10">
        <f t="shared" ref="AI27:AI41" si="0">SUM(S27:AH27)</f>
        <v>36508.5</v>
      </c>
    </row>
    <row r="28" spans="2:35" x14ac:dyDescent="0.25">
      <c r="B28" s="217" t="s">
        <v>565</v>
      </c>
      <c r="C28" s="218"/>
      <c r="D28" s="218"/>
      <c r="E28" s="218"/>
      <c r="F28" s="219"/>
      <c r="I28" s="182" t="s">
        <v>565</v>
      </c>
      <c r="J28" s="182"/>
      <c r="K28" s="182"/>
      <c r="L28" s="182"/>
      <c r="M28" s="182"/>
      <c r="R28" s="83">
        <v>1997</v>
      </c>
      <c r="S28" s="10">
        <v>25753</v>
      </c>
      <c r="T28" s="10">
        <v>7669</v>
      </c>
      <c r="U28" s="10">
        <v>1072</v>
      </c>
      <c r="V28" s="10">
        <v>445</v>
      </c>
      <c r="W28" s="10">
        <v>284</v>
      </c>
      <c r="X28" s="10">
        <v>38</v>
      </c>
      <c r="Y28" s="10">
        <v>94</v>
      </c>
      <c r="Z28" s="10">
        <v>108</v>
      </c>
      <c r="AA28" s="10">
        <v>70</v>
      </c>
      <c r="AB28" s="10">
        <v>55</v>
      </c>
      <c r="AC28" s="10">
        <v>29</v>
      </c>
      <c r="AD28" s="10">
        <v>27</v>
      </c>
      <c r="AE28" s="10">
        <v>31</v>
      </c>
      <c r="AF28" s="10">
        <v>20</v>
      </c>
      <c r="AG28" s="137">
        <f>AF28*AG43</f>
        <v>17.073170731707318</v>
      </c>
      <c r="AH28" s="137">
        <f>AG28*AH43</f>
        <v>23.170731707317074</v>
      </c>
      <c r="AI28" s="10">
        <f t="shared" si="0"/>
        <v>35735.243902439026</v>
      </c>
    </row>
    <row r="29" spans="2:35" ht="17.25" x14ac:dyDescent="0.25">
      <c r="B29" s="119" t="s">
        <v>510</v>
      </c>
      <c r="C29" s="119" t="s">
        <v>564</v>
      </c>
      <c r="D29" s="129" t="s">
        <v>566</v>
      </c>
      <c r="E29" s="129" t="s">
        <v>567</v>
      </c>
      <c r="F29" s="129" t="s">
        <v>568</v>
      </c>
      <c r="I29" s="119" t="s">
        <v>510</v>
      </c>
      <c r="J29" s="119" t="s">
        <v>564</v>
      </c>
      <c r="K29" s="128" t="s">
        <v>566</v>
      </c>
      <c r="L29" s="128" t="s">
        <v>567</v>
      </c>
      <c r="M29" s="128" t="s">
        <v>568</v>
      </c>
      <c r="R29" s="83">
        <v>1998</v>
      </c>
      <c r="S29" s="10">
        <v>26935</v>
      </c>
      <c r="T29" s="10">
        <v>7764</v>
      </c>
      <c r="U29" s="10">
        <v>967</v>
      </c>
      <c r="V29" s="10">
        <v>432</v>
      </c>
      <c r="W29" s="10">
        <v>51</v>
      </c>
      <c r="X29" s="10">
        <v>98</v>
      </c>
      <c r="Y29" s="10">
        <v>178</v>
      </c>
      <c r="Z29" s="10">
        <v>145</v>
      </c>
      <c r="AA29" s="10">
        <v>75</v>
      </c>
      <c r="AB29" s="10">
        <v>41</v>
      </c>
      <c r="AC29" s="10">
        <v>38</v>
      </c>
      <c r="AD29" s="10">
        <v>18</v>
      </c>
      <c r="AE29" s="10">
        <v>24</v>
      </c>
      <c r="AF29" s="137">
        <f>AE29*AF43</f>
        <v>19.52</v>
      </c>
      <c r="AG29" s="137">
        <f>AF29*AG43</f>
        <v>16.663414634146342</v>
      </c>
      <c r="AH29" s="137">
        <f>AG29*AH43</f>
        <v>22.614634146341466</v>
      </c>
      <c r="AI29" s="10">
        <f t="shared" si="0"/>
        <v>36824.798048780482</v>
      </c>
    </row>
    <row r="30" spans="2:35" x14ac:dyDescent="0.25">
      <c r="B30" s="16" t="s">
        <v>561</v>
      </c>
      <c r="C30" s="16">
        <f>'Tasas de crecimiento'!X14</f>
        <v>86345</v>
      </c>
      <c r="D30" s="16">
        <f>((C18+C19)/C30)*1000</f>
        <v>73.032601771961311</v>
      </c>
      <c r="E30" s="16">
        <f>((D18+D19)/C30)*1000</f>
        <v>36.435230760321964</v>
      </c>
      <c r="F30" s="16">
        <f>D30*(100/205)</f>
        <v>35.625659400956735</v>
      </c>
      <c r="I30" s="16" t="s">
        <v>561</v>
      </c>
      <c r="J30" s="16">
        <f>'Tasas de crecimiento'!Y14</f>
        <v>93459</v>
      </c>
      <c r="K30" s="16">
        <f>((J18+J19)/J30)*1000</f>
        <v>71.507291967600764</v>
      </c>
      <c r="L30" s="16">
        <f>((K19+K18)/J30)*1000</f>
        <v>34.100514664184296</v>
      </c>
      <c r="M30" s="16">
        <f>K30*(100/205)</f>
        <v>34.881605837854032</v>
      </c>
      <c r="R30" s="83">
        <v>1999</v>
      </c>
      <c r="S30" s="10">
        <v>27409</v>
      </c>
      <c r="T30" s="10">
        <v>7856</v>
      </c>
      <c r="U30" s="10">
        <v>870</v>
      </c>
      <c r="V30" s="10">
        <v>94</v>
      </c>
      <c r="W30" s="10">
        <v>156</v>
      </c>
      <c r="X30" s="10">
        <v>272</v>
      </c>
      <c r="Y30" s="10">
        <v>235</v>
      </c>
      <c r="Z30" s="10">
        <v>122</v>
      </c>
      <c r="AA30" s="10">
        <v>61</v>
      </c>
      <c r="AB30" s="10">
        <v>53</v>
      </c>
      <c r="AC30" s="10">
        <v>31</v>
      </c>
      <c r="AD30" s="10">
        <v>28</v>
      </c>
      <c r="AE30" s="137">
        <f>AD30*AE43</f>
        <v>36</v>
      </c>
      <c r="AF30" s="137">
        <f t="shared" ref="AF30:AH30" si="1">AE30*AF43</f>
        <v>29.28</v>
      </c>
      <c r="AG30" s="137">
        <f t="shared" si="1"/>
        <v>24.995121951219513</v>
      </c>
      <c r="AH30" s="137">
        <f t="shared" si="1"/>
        <v>33.921951219512195</v>
      </c>
      <c r="AI30" s="10">
        <f t="shared" si="0"/>
        <v>37311.197073170733</v>
      </c>
    </row>
    <row r="31" spans="2:35" x14ac:dyDescent="0.25">
      <c r="B31" s="16" t="s">
        <v>555</v>
      </c>
      <c r="C31" s="16">
        <f>'Tasas de crecimiento'!X15</f>
        <v>79537</v>
      </c>
      <c r="D31" s="16">
        <f>(C20/C31)*1000</f>
        <v>151.7658448269359</v>
      </c>
      <c r="E31" s="16">
        <f>(D20/C31)*1000</f>
        <v>73.75183876686323</v>
      </c>
      <c r="F31" s="16">
        <f t="shared" ref="F31:F36" si="2">D31*(100/205)</f>
        <v>74.032119427773608</v>
      </c>
      <c r="I31" s="16" t="s">
        <v>555</v>
      </c>
      <c r="J31" s="16">
        <f>'Tasas de crecimiento'!Y15</f>
        <v>88963</v>
      </c>
      <c r="K31" s="16">
        <f>(J20/J31)*1000</f>
        <v>129.61568292436181</v>
      </c>
      <c r="L31" s="16">
        <f>(K20/J31)*1000</f>
        <v>62.509133010352613</v>
      </c>
      <c r="M31" s="16">
        <f t="shared" ref="M31:M36" si="3">K31*(100/205)</f>
        <v>63.227162402127711</v>
      </c>
      <c r="R31" s="83">
        <v>2000</v>
      </c>
      <c r="S31" s="10">
        <v>28567</v>
      </c>
      <c r="T31" s="10">
        <v>7958</v>
      </c>
      <c r="U31" s="10">
        <v>271</v>
      </c>
      <c r="V31" s="10">
        <v>364</v>
      </c>
      <c r="W31" s="10">
        <v>441</v>
      </c>
      <c r="X31" s="10">
        <v>402</v>
      </c>
      <c r="Y31" s="10">
        <v>232</v>
      </c>
      <c r="Z31" s="10">
        <v>125</v>
      </c>
      <c r="AA31" s="10">
        <v>88</v>
      </c>
      <c r="AB31" s="10">
        <v>65</v>
      </c>
      <c r="AC31" s="10">
        <v>38</v>
      </c>
      <c r="AD31" s="137">
        <f>AC31*AD43</f>
        <v>24.9375</v>
      </c>
      <c r="AE31" s="137">
        <f t="shared" ref="AE31:AH31" si="4">AD31*AE43</f>
        <v>32.0625</v>
      </c>
      <c r="AF31" s="137">
        <f t="shared" si="4"/>
        <v>26.077500000000001</v>
      </c>
      <c r="AG31" s="137">
        <f t="shared" si="4"/>
        <v>22.261280487804878</v>
      </c>
      <c r="AH31" s="137">
        <f t="shared" si="4"/>
        <v>30.211737804878052</v>
      </c>
      <c r="AI31" s="10">
        <f t="shared" si="0"/>
        <v>38686.550518292686</v>
      </c>
    </row>
    <row r="32" spans="2:35" x14ac:dyDescent="0.25">
      <c r="B32" s="16" t="s">
        <v>559</v>
      </c>
      <c r="C32" s="16">
        <f>'Tasas de crecimiento'!X16</f>
        <v>73164</v>
      </c>
      <c r="D32" s="16">
        <f>(C21/C32)*1000</f>
        <v>146.02810125198184</v>
      </c>
      <c r="E32" s="16">
        <f>(D21/C32)*1000</f>
        <v>70.772511071018528</v>
      </c>
      <c r="F32" s="16">
        <f t="shared" si="2"/>
        <v>71.23322012291797</v>
      </c>
      <c r="I32" s="16" t="s">
        <v>559</v>
      </c>
      <c r="J32" s="16">
        <f>'Tasas de crecimiento'!Y16</f>
        <v>82052</v>
      </c>
      <c r="K32" s="16">
        <f>(J21/J32)*1000</f>
        <v>124.43328620874568</v>
      </c>
      <c r="L32" s="16">
        <f>(K21/J32)*1000</f>
        <v>61.473212109394041</v>
      </c>
      <c r="M32" s="16">
        <f t="shared" si="3"/>
        <v>60.699164004266187</v>
      </c>
      <c r="R32" s="83">
        <v>2001</v>
      </c>
      <c r="S32" s="10">
        <v>27185</v>
      </c>
      <c r="T32" s="10">
        <v>8419</v>
      </c>
      <c r="U32" s="10">
        <v>284</v>
      </c>
      <c r="V32" s="10">
        <v>458</v>
      </c>
      <c r="W32" s="10">
        <v>501</v>
      </c>
      <c r="X32" s="10">
        <v>232</v>
      </c>
      <c r="Y32" s="10">
        <v>175</v>
      </c>
      <c r="Z32" s="10">
        <v>90</v>
      </c>
      <c r="AA32" s="10">
        <v>61</v>
      </c>
      <c r="AB32" s="10">
        <v>52</v>
      </c>
      <c r="AC32" s="137">
        <f>AB32*AC43</f>
        <v>35.020408163265301</v>
      </c>
      <c r="AD32" s="137">
        <f t="shared" ref="AD32:AH32" si="5">AC32*AD43</f>
        <v>22.982142857142854</v>
      </c>
      <c r="AE32" s="137">
        <f t="shared" si="5"/>
        <v>29.548469387755102</v>
      </c>
      <c r="AF32" s="137">
        <f t="shared" si="5"/>
        <v>24.032755102040817</v>
      </c>
      <c r="AG32" s="137">
        <f t="shared" si="5"/>
        <v>20.515766550522649</v>
      </c>
      <c r="AH32" s="137">
        <f t="shared" si="5"/>
        <v>27.84282603285217</v>
      </c>
      <c r="AI32" s="10">
        <f t="shared" si="0"/>
        <v>37616.942368093572</v>
      </c>
    </row>
    <row r="33" spans="2:35" x14ac:dyDescent="0.25">
      <c r="B33" s="16" t="s">
        <v>556</v>
      </c>
      <c r="C33" s="16">
        <f>'Tasas de crecimiento'!X17</f>
        <v>67596</v>
      </c>
      <c r="D33" s="16">
        <f>(C22/C33)*1000</f>
        <v>109.28161429670395</v>
      </c>
      <c r="E33" s="16">
        <f>(D22/C33)*1000</f>
        <v>54.707379134860055</v>
      </c>
      <c r="F33" s="16">
        <f t="shared" si="2"/>
        <v>53.308104534977538</v>
      </c>
      <c r="I33" s="16" t="s">
        <v>556</v>
      </c>
      <c r="J33" s="16">
        <f>'Tasas de crecimiento'!Y17</f>
        <v>77978</v>
      </c>
      <c r="K33" s="16">
        <f>(J22/J33)*1000</f>
        <v>93.641796404113975</v>
      </c>
      <c r="L33" s="16">
        <f>(K22/J33)*1000</f>
        <v>45.88473672061351</v>
      </c>
      <c r="M33" s="16">
        <f t="shared" si="3"/>
        <v>45.678925075177546</v>
      </c>
      <c r="R33" s="83">
        <v>2002</v>
      </c>
      <c r="S33" s="10">
        <v>27508</v>
      </c>
      <c r="T33" s="10">
        <v>8524</v>
      </c>
      <c r="U33" s="10">
        <v>331</v>
      </c>
      <c r="V33" s="10">
        <v>509</v>
      </c>
      <c r="W33" s="10">
        <v>300</v>
      </c>
      <c r="X33" s="10">
        <v>149</v>
      </c>
      <c r="Y33" s="10">
        <v>100</v>
      </c>
      <c r="Z33" s="10">
        <v>76</v>
      </c>
      <c r="AA33" s="10">
        <v>42</v>
      </c>
      <c r="AB33" s="137">
        <f>AA33*AB43</f>
        <v>33.406896551724138</v>
      </c>
      <c r="AC33" s="137">
        <f t="shared" ref="AC33:AH33" si="6">AB33*AC43</f>
        <v>22.498522167487685</v>
      </c>
      <c r="AD33" s="137">
        <f t="shared" si="6"/>
        <v>14.764655172413793</v>
      </c>
      <c r="AE33" s="137">
        <f t="shared" si="6"/>
        <v>18.983128078817735</v>
      </c>
      <c r="AF33" s="137">
        <f t="shared" si="6"/>
        <v>15.439610837438424</v>
      </c>
      <c r="AG33" s="137">
        <f t="shared" si="6"/>
        <v>13.18015559293524</v>
      </c>
      <c r="AH33" s="137">
        <f t="shared" si="6"/>
        <v>17.88735401898354</v>
      </c>
      <c r="AI33" s="10">
        <f t="shared" si="0"/>
        <v>37675.160322419797</v>
      </c>
    </row>
    <row r="34" spans="2:35" x14ac:dyDescent="0.25">
      <c r="B34" s="16" t="s">
        <v>560</v>
      </c>
      <c r="C34" s="16">
        <f>'Tasas de crecimiento'!X18</f>
        <v>59307</v>
      </c>
      <c r="D34" s="16">
        <f>(C23/C34)*1000</f>
        <v>56.199099600384436</v>
      </c>
      <c r="E34" s="16">
        <f>(D23/C34)*1000</f>
        <v>27.804475019812166</v>
      </c>
      <c r="F34" s="16">
        <f t="shared" si="2"/>
        <v>27.414194927016798</v>
      </c>
      <c r="I34" s="16" t="s">
        <v>560</v>
      </c>
      <c r="J34" s="16">
        <f>'Tasas de crecimiento'!Y18</f>
        <v>72359</v>
      </c>
      <c r="K34" s="16">
        <f>(J23/J34)*1000</f>
        <v>48.563412982490085</v>
      </c>
      <c r="L34" s="16">
        <f>(K23/J34)*1000</f>
        <v>23.770367196893268</v>
      </c>
      <c r="M34" s="16">
        <f t="shared" si="3"/>
        <v>23.689469747556139</v>
      </c>
      <c r="R34" s="83">
        <v>2003</v>
      </c>
      <c r="S34" s="10">
        <v>27588</v>
      </c>
      <c r="T34" s="10">
        <v>8775</v>
      </c>
      <c r="U34" s="10">
        <v>592</v>
      </c>
      <c r="V34" s="10">
        <v>326</v>
      </c>
      <c r="W34" s="10">
        <v>227</v>
      </c>
      <c r="X34" s="10">
        <v>128</v>
      </c>
      <c r="Y34" s="10">
        <v>107</v>
      </c>
      <c r="Z34" s="10">
        <v>51</v>
      </c>
      <c r="AA34" s="137">
        <f>Z34*AA43</f>
        <v>33.324657534246576</v>
      </c>
      <c r="AB34" s="137">
        <f t="shared" ref="AB34:AH34" si="7">AA34*AB43</f>
        <v>26.506509211147851</v>
      </c>
      <c r="AC34" s="137">
        <f t="shared" si="7"/>
        <v>17.851322529956715</v>
      </c>
      <c r="AD34" s="137">
        <f t="shared" si="7"/>
        <v>11.714930410284094</v>
      </c>
      <c r="AE34" s="137">
        <f t="shared" si="7"/>
        <v>15.062053384650978</v>
      </c>
      <c r="AF34" s="137">
        <f t="shared" si="7"/>
        <v>12.250470086182796</v>
      </c>
      <c r="AG34" s="137">
        <f t="shared" si="7"/>
        <v>10.457718366253607</v>
      </c>
      <c r="AH34" s="137">
        <f t="shared" si="7"/>
        <v>14.192617782772754</v>
      </c>
      <c r="AI34" s="10">
        <f t="shared" si="0"/>
        <v>37935.360279305496</v>
      </c>
    </row>
    <row r="35" spans="2:35" x14ac:dyDescent="0.25">
      <c r="B35" s="16" t="s">
        <v>557</v>
      </c>
      <c r="C35" s="16">
        <f>'Tasas de crecimiento'!X19</f>
        <v>48552</v>
      </c>
      <c r="D35" s="16">
        <f>(C24/C35)*1000</f>
        <v>18.186686439281594</v>
      </c>
      <c r="E35" s="16">
        <f>(D24/C35)*1000</f>
        <v>8.5681331356071837</v>
      </c>
      <c r="F35" s="16">
        <f t="shared" si="2"/>
        <v>8.8715543606251668</v>
      </c>
      <c r="I35" s="16" t="s">
        <v>557</v>
      </c>
      <c r="J35" s="16">
        <f>'Tasas de crecimiento'!Y19</f>
        <v>61473</v>
      </c>
      <c r="K35" s="16">
        <f>(J24/J35)*1000</f>
        <v>12.981308867307598</v>
      </c>
      <c r="L35" s="16">
        <f>(K24/J35)*1000</f>
        <v>6.4581198249638057</v>
      </c>
      <c r="M35" s="16">
        <f t="shared" si="3"/>
        <v>6.3323457889305361</v>
      </c>
      <c r="R35" s="83">
        <v>2004</v>
      </c>
      <c r="S35" s="10">
        <v>28117</v>
      </c>
      <c r="T35" s="10">
        <v>8293</v>
      </c>
      <c r="U35" s="10">
        <v>508</v>
      </c>
      <c r="V35" s="10">
        <v>304</v>
      </c>
      <c r="W35" s="10">
        <v>235</v>
      </c>
      <c r="X35" s="10">
        <v>112</v>
      </c>
      <c r="Y35" s="10">
        <v>71</v>
      </c>
      <c r="Z35" s="137">
        <f>Y35*Z43</f>
        <v>43.152529182879377</v>
      </c>
      <c r="AA35" s="137">
        <f t="shared" ref="AA35:AH35" si="8">Z35*AA43</f>
        <v>28.196926603059541</v>
      </c>
      <c r="AB35" s="137">
        <f t="shared" si="8"/>
        <v>22.427900240594486</v>
      </c>
      <c r="AC35" s="137">
        <f t="shared" si="8"/>
        <v>15.104504243665673</v>
      </c>
      <c r="AD35" s="137">
        <f t="shared" si="8"/>
        <v>9.9123309099055987</v>
      </c>
      <c r="AE35" s="137">
        <f t="shared" si="8"/>
        <v>12.744425455592914</v>
      </c>
      <c r="AF35" s="137">
        <f t="shared" si="8"/>
        <v>10.365466037215571</v>
      </c>
      <c r="AG35" s="137">
        <f t="shared" si="8"/>
        <v>8.8485685683547555</v>
      </c>
      <c r="AH35" s="137">
        <f t="shared" si="8"/>
        <v>12.008771628481455</v>
      </c>
      <c r="AI35" s="10">
        <f t="shared" si="0"/>
        <v>37802.761422869757</v>
      </c>
    </row>
    <row r="36" spans="2:35" x14ac:dyDescent="0.25">
      <c r="B36" s="16" t="s">
        <v>558</v>
      </c>
      <c r="C36" s="16">
        <f>'Tasas de crecimiento'!X20</f>
        <v>38673</v>
      </c>
      <c r="D36" s="16">
        <f>((C25+C26)/C36)*1000</f>
        <v>2.5340676958084454</v>
      </c>
      <c r="E36" s="16">
        <f>((D25+D26)/C36)*1000</f>
        <v>1.3963230160577147</v>
      </c>
      <c r="F36" s="16">
        <f t="shared" si="2"/>
        <v>1.2361305833211929</v>
      </c>
      <c r="I36" s="16" t="s">
        <v>558</v>
      </c>
      <c r="J36" s="16">
        <f>'Tasas de crecimiento'!Y20</f>
        <v>49886</v>
      </c>
      <c r="K36" s="16">
        <f>((J25+J26)/J36)*1000</f>
        <v>1.1225594355129696</v>
      </c>
      <c r="L36" s="16">
        <f>((K25+K26)/J36)*1000</f>
        <v>0.58132542196207349</v>
      </c>
      <c r="M36" s="16">
        <f t="shared" si="3"/>
        <v>0.54758996854291198</v>
      </c>
      <c r="R36" s="140">
        <v>2005</v>
      </c>
      <c r="S36" s="141">
        <v>29679</v>
      </c>
      <c r="T36" s="141">
        <v>7209</v>
      </c>
      <c r="U36" s="141">
        <v>565</v>
      </c>
      <c r="V36" s="141">
        <v>298</v>
      </c>
      <c r="W36" s="141">
        <v>237</v>
      </c>
      <c r="X36" s="141">
        <v>117</v>
      </c>
      <c r="Y36" s="141">
        <f>X36*Y43</f>
        <v>82.803757828810021</v>
      </c>
      <c r="Z36" s="141">
        <f>Y36*Z43</f>
        <v>50.326641917743672</v>
      </c>
      <c r="AA36" s="141">
        <f>Z36*AA43</f>
        <v>32.884668759950316</v>
      </c>
      <c r="AB36" s="141">
        <f t="shared" ref="AB36:AH36" si="9">AA36*AB43</f>
        <v>26.156541128604157</v>
      </c>
      <c r="AC36" s="141">
        <f t="shared" si="9"/>
        <v>17.615629739672187</v>
      </c>
      <c r="AD36" s="141">
        <f t="shared" si="9"/>
        <v>11.560257016659872</v>
      </c>
      <c r="AE36" s="141">
        <f t="shared" si="9"/>
        <v>14.863187592848407</v>
      </c>
      <c r="AF36" s="141">
        <f t="shared" si="9"/>
        <v>12.088725908850037</v>
      </c>
      <c r="AG36" s="141">
        <f t="shared" si="9"/>
        <v>10.31964406853052</v>
      </c>
      <c r="AH36" s="141">
        <f t="shared" si="9"/>
        <v>14.005231235862849</v>
      </c>
      <c r="AI36" s="142">
        <f t="shared" si="0"/>
        <v>38377.624285197533</v>
      </c>
    </row>
    <row r="37" spans="2:35" x14ac:dyDescent="0.25">
      <c r="R37" s="83">
        <v>2006</v>
      </c>
      <c r="S37" s="10">
        <v>29111</v>
      </c>
      <c r="T37" s="10">
        <v>7861</v>
      </c>
      <c r="U37" s="10">
        <v>564</v>
      </c>
      <c r="V37" s="10">
        <v>289</v>
      </c>
      <c r="W37" s="10">
        <v>221</v>
      </c>
      <c r="X37" s="137">
        <f>W37*X43</f>
        <v>145.12047803617571</v>
      </c>
      <c r="Y37" s="137">
        <f t="shared" ref="Y37:AH37" si="10">X37*Y43</f>
        <v>102.70530700263792</v>
      </c>
      <c r="Z37" s="137">
        <f t="shared" si="10"/>
        <v>62.422447291097441</v>
      </c>
      <c r="AA37" s="137">
        <f t="shared" si="10"/>
        <v>40.788366243634904</v>
      </c>
      <c r="AB37" s="137">
        <f t="shared" si="10"/>
        <v>32.443160276546379</v>
      </c>
      <c r="AC37" s="137">
        <f t="shared" si="10"/>
        <v>21.849475288286335</v>
      </c>
      <c r="AD37" s="137">
        <f t="shared" si="10"/>
        <v>14.338718157937908</v>
      </c>
      <c r="AE37" s="137">
        <f t="shared" si="10"/>
        <v>18.435494774491598</v>
      </c>
      <c r="AF37" s="137">
        <f t="shared" si="10"/>
        <v>14.9942024165865</v>
      </c>
      <c r="AG37" s="137">
        <f t="shared" si="10"/>
        <v>12.799928892207987</v>
      </c>
      <c r="AH37" s="137">
        <f t="shared" si="10"/>
        <v>17.371332067996555</v>
      </c>
      <c r="AI37" s="10">
        <f t="shared" si="0"/>
        <v>38529.268910447601</v>
      </c>
    </row>
    <row r="38" spans="2:35" x14ac:dyDescent="0.25">
      <c r="R38" s="83">
        <v>2007</v>
      </c>
      <c r="S38" s="10">
        <v>32648</v>
      </c>
      <c r="T38" s="10">
        <v>6225</v>
      </c>
      <c r="U38" s="10">
        <v>504</v>
      </c>
      <c r="V38" s="10">
        <v>264</v>
      </c>
      <c r="W38" s="137">
        <f>V38*W43</f>
        <v>193.82204515272244</v>
      </c>
      <c r="X38" s="137">
        <f t="shared" ref="X38:AH38" si="11">W38*X43</f>
        <v>127.27397215616432</v>
      </c>
      <c r="Y38" s="137">
        <f t="shared" si="11"/>
        <v>90.074898874613169</v>
      </c>
      <c r="Z38" s="137">
        <f t="shared" si="11"/>
        <v>54.745911300445819</v>
      </c>
      <c r="AA38" s="137">
        <f t="shared" si="11"/>
        <v>35.772328342894049</v>
      </c>
      <c r="AB38" s="137">
        <f t="shared" si="11"/>
        <v>28.453392199175497</v>
      </c>
      <c r="AC38" s="137">
        <f t="shared" si="11"/>
        <v>19.162488623934518</v>
      </c>
      <c r="AD38" s="137">
        <f t="shared" si="11"/>
        <v>12.575383159457028</v>
      </c>
      <c r="AE38" s="137">
        <f t="shared" si="11"/>
        <v>16.168349776444749</v>
      </c>
      <c r="AF38" s="137">
        <f t="shared" si="11"/>
        <v>13.150257818175064</v>
      </c>
      <c r="AG38" s="137">
        <f t="shared" si="11"/>
        <v>11.22582984478359</v>
      </c>
      <c r="AH38" s="137">
        <f t="shared" si="11"/>
        <v>15.235054789349158</v>
      </c>
      <c r="AI38" s="10">
        <f t="shared" si="0"/>
        <v>40258.659912038165</v>
      </c>
    </row>
    <row r="39" spans="2:35" x14ac:dyDescent="0.25">
      <c r="R39" s="83">
        <v>2008</v>
      </c>
      <c r="S39" s="10">
        <v>33307</v>
      </c>
      <c r="T39" s="10">
        <v>5682</v>
      </c>
      <c r="U39" s="10">
        <v>367</v>
      </c>
      <c r="V39" s="137">
        <f>U39*V43</f>
        <v>202.30478386167147</v>
      </c>
      <c r="W39" s="137">
        <f>V39*W43</f>
        <v>148.52699603124486</v>
      </c>
      <c r="X39" s="137">
        <f>W39*X43</f>
        <v>97.530808440413693</v>
      </c>
      <c r="Y39" s="137">
        <f t="shared" ref="Y39:AH39" si="12">X39*Y43</f>
        <v>69.024935409812613</v>
      </c>
      <c r="Z39" s="137">
        <f t="shared" si="12"/>
        <v>41.952120276314119</v>
      </c>
      <c r="AA39" s="137">
        <f t="shared" si="12"/>
        <v>27.412549824386076</v>
      </c>
      <c r="AB39" s="137">
        <f t="shared" si="12"/>
        <v>21.804005147672601</v>
      </c>
      <c r="AC39" s="137">
        <f t="shared" si="12"/>
        <v>14.68432999741216</v>
      </c>
      <c r="AD39" s="137">
        <f t="shared" si="12"/>
        <v>9.6365915608017296</v>
      </c>
      <c r="AE39" s="137">
        <f t="shared" si="12"/>
        <v>12.38990343531651</v>
      </c>
      <c r="AF39" s="137">
        <f t="shared" si="12"/>
        <v>10.077121460724095</v>
      </c>
      <c r="AG39" s="137">
        <f t="shared" si="12"/>
        <v>8.6024207591547146</v>
      </c>
      <c r="AH39" s="137">
        <f t="shared" si="12"/>
        <v>11.674713887424256</v>
      </c>
      <c r="AI39" s="10">
        <f t="shared" si="0"/>
        <v>40031.621280092353</v>
      </c>
    </row>
    <row r="40" spans="2:35" x14ac:dyDescent="0.25">
      <c r="R40" s="83">
        <v>2009</v>
      </c>
      <c r="S40" s="10">
        <v>33167</v>
      </c>
      <c r="T40" s="10">
        <v>5256</v>
      </c>
      <c r="U40" s="137">
        <f>T40*U43</f>
        <v>438.53349573690616</v>
      </c>
      <c r="V40" s="137">
        <f>U40*V43</f>
        <v>241.73685033013086</v>
      </c>
      <c r="W40" s="137">
        <f>V40*W43</f>
        <v>177.47701030213457</v>
      </c>
      <c r="X40" s="137">
        <f t="shared" ref="X40:AH40" si="13">W40*X43</f>
        <v>116.54094378043915</v>
      </c>
      <c r="Y40" s="137">
        <f t="shared" si="13"/>
        <v>82.478872529371344</v>
      </c>
      <c r="Z40" s="137">
        <f t="shared" si="13"/>
        <v>50.129182447812461</v>
      </c>
      <c r="AA40" s="137">
        <f t="shared" si="13"/>
        <v>32.755643873433627</v>
      </c>
      <c r="AB40" s="137">
        <f t="shared" si="13"/>
        <v>26.053914437259849</v>
      </c>
      <c r="AC40" s="137">
        <f t="shared" si="13"/>
        <v>17.546513804685205</v>
      </c>
      <c r="AD40" s="137">
        <f t="shared" si="13"/>
        <v>11.514899684324666</v>
      </c>
      <c r="AE40" s="137">
        <f t="shared" si="13"/>
        <v>14.804871022703143</v>
      </c>
      <c r="AF40" s="137">
        <f t="shared" si="13"/>
        <v>12.041295098465223</v>
      </c>
      <c r="AG40" s="137">
        <f t="shared" si="13"/>
        <v>10.27915435234836</v>
      </c>
      <c r="AH40" s="137">
        <f t="shared" si="13"/>
        <v>13.95028090675849</v>
      </c>
      <c r="AI40" s="10">
        <f t="shared" si="0"/>
        <v>39668.842928306774</v>
      </c>
    </row>
    <row r="41" spans="2:35" ht="18.75" x14ac:dyDescent="0.3">
      <c r="B41" s="215" t="s">
        <v>574</v>
      </c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R41" s="138">
        <v>2010</v>
      </c>
      <c r="S41" s="139">
        <v>33565</v>
      </c>
      <c r="T41" s="139">
        <f>S41*T43</f>
        <v>8854.9076066893722</v>
      </c>
      <c r="U41" s="139">
        <f t="shared" ref="U41:AH41" si="14">T41*U43</f>
        <v>738.80776011963701</v>
      </c>
      <c r="V41" s="139">
        <f t="shared" si="14"/>
        <v>407.25979353223101</v>
      </c>
      <c r="W41" s="139">
        <f t="shared" si="14"/>
        <v>298.99972004125948</v>
      </c>
      <c r="X41" s="139">
        <f t="shared" si="14"/>
        <v>196.33928644828183</v>
      </c>
      <c r="Y41" s="139">
        <f t="shared" si="14"/>
        <v>138.95410878072556</v>
      </c>
      <c r="Z41" s="139">
        <f t="shared" si="14"/>
        <v>84.453820200581049</v>
      </c>
      <c r="AA41" s="139">
        <f t="shared" si="14"/>
        <v>55.184208542023512</v>
      </c>
      <c r="AB41" s="139">
        <f t="shared" si="14"/>
        <v>43.893646334575024</v>
      </c>
      <c r="AC41" s="139">
        <f t="shared" si="14"/>
        <v>29.561027123285218</v>
      </c>
      <c r="AD41" s="139">
        <f t="shared" si="14"/>
        <v>19.399424049655924</v>
      </c>
      <c r="AE41" s="139">
        <f t="shared" si="14"/>
        <v>24.942116635271905</v>
      </c>
      <c r="AF41" s="139">
        <f t="shared" si="14"/>
        <v>20.286254863354483</v>
      </c>
      <c r="AG41" s="139">
        <f t="shared" si="14"/>
        <v>17.317534639448947</v>
      </c>
      <c r="AH41" s="139">
        <f t="shared" si="14"/>
        <v>23.502368439252145</v>
      </c>
      <c r="AI41" s="143">
        <f t="shared" si="0"/>
        <v>44518.808676438952</v>
      </c>
    </row>
    <row r="43" spans="2:35" x14ac:dyDescent="0.25">
      <c r="C43" s="216" t="s">
        <v>562</v>
      </c>
      <c r="D43" s="216"/>
      <c r="J43" s="182" t="s">
        <v>562</v>
      </c>
      <c r="K43" s="182"/>
      <c r="R43" s="135" t="s">
        <v>599</v>
      </c>
      <c r="T43">
        <f>SUM(T26:T40)/SUM(S26:S40)</f>
        <v>0.2638137228270333</v>
      </c>
      <c r="U43">
        <f>SUM(U26:U39)/SUM(T26:T39)</f>
        <v>8.3434835566382454E-2</v>
      </c>
      <c r="V43">
        <f>SUM(V26:V38)/SUM(U26:U38)</f>
        <v>0.5512391930835735</v>
      </c>
      <c r="W43">
        <f>SUM(W26:W37)/SUM(V26:V37)</f>
        <v>0.73417441345728196</v>
      </c>
      <c r="X43">
        <f>SUM(X26:X36)/SUM(W26:W36)</f>
        <v>0.65665374677002586</v>
      </c>
      <c r="Y43">
        <f>SUM(Y26:Y35)/SUM(X26:X35)</f>
        <v>0.70772442588726514</v>
      </c>
      <c r="Z43">
        <f>SUM(Z26:Z34)/SUM(Y26:Y34)</f>
        <v>0.60778210116731513</v>
      </c>
      <c r="AA43">
        <f>SUM(AA26:AA33)/SUM(Z26:Z33)</f>
        <v>0.65342465753424661</v>
      </c>
      <c r="AB43">
        <f>SUM(AB26:AB32)/SUM(AA26:AA32)</f>
        <v>0.79540229885057467</v>
      </c>
      <c r="AC43">
        <f>SUM(AC26:AC31)/SUM(AB26:AB31)</f>
        <v>0.67346938775510201</v>
      </c>
      <c r="AD43">
        <f>SUM(AD26:AD30)/SUM(AC26:AC30)</f>
        <v>0.65625</v>
      </c>
      <c r="AE43">
        <f>SUM(AE26:AE29)/SUM(AD26:AD29)</f>
        <v>1.2857142857142858</v>
      </c>
      <c r="AF43">
        <f>SUM(AF26:AF28)/SUM(AE26:AE28)</f>
        <v>0.81333333333333335</v>
      </c>
      <c r="AG43">
        <f>SUM(AG26:AG27)/SUM(AF26:AF27)</f>
        <v>0.85365853658536583</v>
      </c>
      <c r="AH43">
        <f>AH26/AG26</f>
        <v>1.3571428571428572</v>
      </c>
    </row>
    <row r="44" spans="2:35" x14ac:dyDescent="0.25">
      <c r="C44" s="16" t="s">
        <v>575</v>
      </c>
      <c r="D44" s="16">
        <f>SUM(D30:D36)</f>
        <v>557.02801588305738</v>
      </c>
      <c r="J44" s="16" t="s">
        <v>575</v>
      </c>
      <c r="K44" s="16">
        <f>SUM(K30:K36)</f>
        <v>481.86533879013285</v>
      </c>
    </row>
    <row r="45" spans="2:35" x14ac:dyDescent="0.25">
      <c r="C45" s="124" t="s">
        <v>553</v>
      </c>
      <c r="D45" s="16">
        <f>5*D44/1000</f>
        <v>2.785140079415287</v>
      </c>
      <c r="J45" s="126" t="s">
        <v>553</v>
      </c>
      <c r="K45" s="16">
        <f>5*K44/1000</f>
        <v>2.4093266939506641</v>
      </c>
    </row>
    <row r="47" spans="2:35" x14ac:dyDescent="0.25">
      <c r="C47" s="216" t="s">
        <v>576</v>
      </c>
      <c r="D47" s="216"/>
      <c r="J47" s="182" t="s">
        <v>576</v>
      </c>
      <c r="K47" s="182"/>
    </row>
    <row r="48" spans="2:35" ht="17.25" x14ac:dyDescent="0.25">
      <c r="C48" s="16" t="s">
        <v>577</v>
      </c>
      <c r="D48" s="16">
        <f>SUM(E30:E36)</f>
        <v>273.43589090454083</v>
      </c>
      <c r="J48" s="16" t="s">
        <v>577</v>
      </c>
      <c r="K48" s="16">
        <f>SUM(L30:L36)</f>
        <v>234.77740894836361</v>
      </c>
    </row>
    <row r="49" spans="2:12" x14ac:dyDescent="0.25">
      <c r="C49" s="124" t="s">
        <v>578</v>
      </c>
      <c r="D49" s="16">
        <f>5*D48/1000</f>
        <v>1.3671794545227043</v>
      </c>
      <c r="J49" s="126" t="s">
        <v>578</v>
      </c>
      <c r="K49" s="16">
        <f>5*K48/1000</f>
        <v>1.1738870447418182</v>
      </c>
    </row>
    <row r="51" spans="2:12" x14ac:dyDescent="0.25">
      <c r="C51" s="124" t="s">
        <v>579</v>
      </c>
      <c r="D51" s="36">
        <f>D45*(100/205)</f>
        <v>1.3586049167879448</v>
      </c>
      <c r="J51" s="126" t="s">
        <v>579</v>
      </c>
      <c r="K51" s="36">
        <f>K45*(100/205)</f>
        <v>1.1752813141222751</v>
      </c>
    </row>
    <row r="54" spans="2:12" x14ac:dyDescent="0.25">
      <c r="B54" s="199" t="s">
        <v>583</v>
      </c>
      <c r="C54" s="199"/>
      <c r="D54" s="199"/>
      <c r="E54" s="199"/>
      <c r="I54" s="199" t="s">
        <v>583</v>
      </c>
      <c r="J54" s="199"/>
      <c r="K54" s="199"/>
      <c r="L54" s="199"/>
    </row>
    <row r="55" spans="2:12" x14ac:dyDescent="0.25">
      <c r="B55" s="125" t="s">
        <v>510</v>
      </c>
      <c r="C55" s="125" t="s">
        <v>584</v>
      </c>
      <c r="D55" s="125" t="s">
        <v>566</v>
      </c>
      <c r="E55" s="125" t="s">
        <v>588</v>
      </c>
      <c r="I55" s="121" t="s">
        <v>510</v>
      </c>
      <c r="J55" s="121" t="s">
        <v>584</v>
      </c>
      <c r="K55" s="121" t="s">
        <v>566</v>
      </c>
      <c r="L55" s="121" t="s">
        <v>588</v>
      </c>
    </row>
    <row r="56" spans="2:12" x14ac:dyDescent="0.25">
      <c r="B56" s="16" t="s">
        <v>561</v>
      </c>
      <c r="C56" s="16">
        <f>('Tabla de mortalidad'!T9+'Tabla de mortalidad'!T10)/(2*'Tabla de mortalidad'!T5)</f>
        <v>0.98199499999999995</v>
      </c>
      <c r="D56" s="16">
        <f>D30</f>
        <v>73.032601771961311</v>
      </c>
      <c r="E56" s="16">
        <f>C56*D56</f>
        <v>71.717649777057147</v>
      </c>
      <c r="I56" s="16" t="s">
        <v>561</v>
      </c>
      <c r="J56" s="16">
        <f>('Tabla de mortalidad'!T48+'Tabla de mortalidad'!T49)/(2*'Tabla de mortalidad'!T44)</f>
        <v>0.98278500000000002</v>
      </c>
      <c r="K56" s="16">
        <f>K30</f>
        <v>71.507291967600764</v>
      </c>
      <c r="L56" s="16">
        <f>J56*K56</f>
        <v>70.276293936378522</v>
      </c>
    </row>
    <row r="57" spans="2:12" x14ac:dyDescent="0.25">
      <c r="B57" s="16" t="s">
        <v>555</v>
      </c>
      <c r="C57" s="16">
        <f>('Tabla de mortalidad'!T10+'Tabla de mortalidad'!T11)/(2*'Tabla de mortalidad'!T6)</f>
        <v>0.99172265846353114</v>
      </c>
      <c r="D57" s="16">
        <f t="shared" ref="D57:D62" si="15">D31</f>
        <v>151.7658448269359</v>
      </c>
      <c r="E57" s="16">
        <f t="shared" ref="E57:E62" si="16">C57*D57</f>
        <v>150.50962709573261</v>
      </c>
      <c r="I57" s="16" t="s">
        <v>555</v>
      </c>
      <c r="J57" s="16">
        <f>('Tabla de mortalidad'!T49+'Tabla de mortalidad'!T50)/(2*'Tabla de mortalidad'!T45)</f>
        <v>0.99176821560398443</v>
      </c>
      <c r="K57" s="16">
        <f t="shared" ref="K57:K62" si="17">K31</f>
        <v>129.61568292436181</v>
      </c>
      <c r="L57" s="16">
        <f t="shared" ref="L57:L62" si="18">J57*K57</f>
        <v>128.54871456818614</v>
      </c>
    </row>
    <row r="58" spans="2:12" x14ac:dyDescent="0.25">
      <c r="B58" s="16" t="s">
        <v>559</v>
      </c>
      <c r="C58" s="16">
        <f>('Tabla de mortalidad'!T11+'Tabla de mortalidad'!T12)/(2*'Tabla de mortalidad'!T7)</f>
        <v>0.99136374700799224</v>
      </c>
      <c r="D58" s="16">
        <f t="shared" si="15"/>
        <v>146.02810125198184</v>
      </c>
      <c r="E58" s="16">
        <f t="shared" si="16"/>
        <v>144.76696562562719</v>
      </c>
      <c r="I58" s="16" t="s">
        <v>559</v>
      </c>
      <c r="J58" s="16">
        <f>('Tabla de mortalidad'!T50+'Tabla de mortalidad'!T51)/(2*'Tabla de mortalidad'!T46)</f>
        <v>0.99157645055346066</v>
      </c>
      <c r="K58" s="16">
        <f t="shared" si="17"/>
        <v>124.43328620874568</v>
      </c>
      <c r="L58" s="16">
        <f t="shared" si="18"/>
        <v>123.38511626957093</v>
      </c>
    </row>
    <row r="59" spans="2:12" x14ac:dyDescent="0.25">
      <c r="B59" s="16" t="s">
        <v>556</v>
      </c>
      <c r="C59" s="16">
        <f>('Tabla de mortalidad'!T12+'Tabla de mortalidad'!T13)/(2*'Tabla de mortalidad'!T8)</f>
        <v>0.98930182468403305</v>
      </c>
      <c r="D59" s="16">
        <f t="shared" si="15"/>
        <v>109.28161429670395</v>
      </c>
      <c r="E59" s="16">
        <f t="shared" si="16"/>
        <v>108.11250042814594</v>
      </c>
      <c r="I59" s="16" t="s">
        <v>556</v>
      </c>
      <c r="J59" s="16">
        <f>('Tabla de mortalidad'!T51+'Tabla de mortalidad'!T52)/(2*'Tabla de mortalidad'!T47)</f>
        <v>0.98984717486604967</v>
      </c>
      <c r="K59" s="16">
        <f t="shared" si="17"/>
        <v>93.641796404113975</v>
      </c>
      <c r="L59" s="16">
        <f t="shared" si="18"/>
        <v>92.69106761999403</v>
      </c>
    </row>
    <row r="60" spans="2:12" x14ac:dyDescent="0.25">
      <c r="B60" s="16" t="s">
        <v>560</v>
      </c>
      <c r="C60" s="16">
        <f>('Tabla de mortalidad'!T13+'Tabla de mortalidad'!T14)/(2*'Tabla de mortalidad'!T9)</f>
        <v>0.98667141476318865</v>
      </c>
      <c r="D60" s="16">
        <f t="shared" si="15"/>
        <v>56.199099600384436</v>
      </c>
      <c r="E60" s="16">
        <f t="shared" si="16"/>
        <v>55.450045111128659</v>
      </c>
      <c r="I60" s="16" t="s">
        <v>560</v>
      </c>
      <c r="J60" s="16">
        <f>('Tabla de mortalidad'!T52+'Tabla de mortalidad'!T53)/(2*'Tabla de mortalidad'!T48)</f>
        <v>0.98798959063970804</v>
      </c>
      <c r="K60" s="16">
        <f t="shared" si="17"/>
        <v>48.563412982490085</v>
      </c>
      <c r="L60" s="16">
        <f t="shared" si="18"/>
        <v>47.980146512637461</v>
      </c>
    </row>
    <row r="61" spans="2:12" x14ac:dyDescent="0.25">
      <c r="B61" s="16" t="s">
        <v>557</v>
      </c>
      <c r="C61" s="16">
        <f>('Tabla de mortalidad'!T14+'Tabla de mortalidad'!T15)/(2*'Tabla de mortalidad'!T10)</f>
        <v>0.98252033348961409</v>
      </c>
      <c r="D61" s="16">
        <f t="shared" si="15"/>
        <v>18.186686439281594</v>
      </c>
      <c r="E61" s="16">
        <f t="shared" si="16"/>
        <v>17.868789225393993</v>
      </c>
      <c r="I61" s="16" t="s">
        <v>557</v>
      </c>
      <c r="J61" s="16">
        <f>('Tabla de mortalidad'!T53+'Tabla de mortalidad'!T54)/(2*'Tabla de mortalidad'!T49)</f>
        <v>0.98322028029006758</v>
      </c>
      <c r="K61" s="16">
        <f t="shared" si="17"/>
        <v>12.981308867307598</v>
      </c>
      <c r="L61" s="16">
        <f t="shared" si="18"/>
        <v>12.763486143046118</v>
      </c>
    </row>
    <row r="62" spans="2:12" x14ac:dyDescent="0.25">
      <c r="B62" s="16" t="s">
        <v>558</v>
      </c>
      <c r="C62" s="16">
        <f>('Tabla de mortalidad'!T15+'Tabla de mortalidad'!T16)/(2*'Tabla de mortalidad'!T11)</f>
        <v>0.97419763427240602</v>
      </c>
      <c r="D62" s="16">
        <f t="shared" si="15"/>
        <v>2.5340676958084454</v>
      </c>
      <c r="E62" s="16">
        <f t="shared" si="16"/>
        <v>2.4686827543427143</v>
      </c>
      <c r="I62" s="16" t="s">
        <v>558</v>
      </c>
      <c r="J62" s="16">
        <f>('Tabla de mortalidad'!T54+'Tabla de mortalidad'!T55)/(2*'Tabla de mortalidad'!T50)</f>
        <v>0.97417770881398147</v>
      </c>
      <c r="K62" s="16">
        <f t="shared" si="17"/>
        <v>1.1225594355129696</v>
      </c>
      <c r="L62" s="16">
        <f t="shared" si="18"/>
        <v>1.0935723788955412</v>
      </c>
    </row>
    <row r="64" spans="2:12" x14ac:dyDescent="0.25">
      <c r="C64" s="124" t="s">
        <v>585</v>
      </c>
      <c r="D64" s="16">
        <f>5*(SUM(E56:E62))/1000</f>
        <v>2.7544713000871415</v>
      </c>
      <c r="J64" s="126" t="s">
        <v>585</v>
      </c>
      <c r="K64" s="16">
        <f>5*(SUM(L56:L62))/1000</f>
        <v>2.383691987143544</v>
      </c>
    </row>
    <row r="67" spans="2:12" x14ac:dyDescent="0.25">
      <c r="B67" s="199" t="s">
        <v>586</v>
      </c>
      <c r="C67" s="199"/>
      <c r="D67" s="199"/>
      <c r="E67" s="199"/>
      <c r="I67" s="199" t="s">
        <v>586</v>
      </c>
      <c r="J67" s="199"/>
      <c r="K67" s="199"/>
      <c r="L67" s="199"/>
    </row>
    <row r="68" spans="2:12" ht="17.25" x14ac:dyDescent="0.25">
      <c r="B68" s="125" t="s">
        <v>510</v>
      </c>
      <c r="C68" s="125" t="s">
        <v>584</v>
      </c>
      <c r="D68" s="125" t="s">
        <v>567</v>
      </c>
      <c r="E68" s="125" t="s">
        <v>587</v>
      </c>
      <c r="I68" s="121" t="s">
        <v>510</v>
      </c>
      <c r="J68" s="121" t="s">
        <v>584</v>
      </c>
      <c r="K68" s="121" t="s">
        <v>567</v>
      </c>
      <c r="L68" s="121" t="s">
        <v>587</v>
      </c>
    </row>
    <row r="69" spans="2:12" x14ac:dyDescent="0.25">
      <c r="B69" s="16" t="s">
        <v>561</v>
      </c>
      <c r="C69" s="16">
        <f>('Tabla de mortalidad'!T9+'Tabla de mortalidad'!T10)/(2*'Tabla de mortalidad'!T5)</f>
        <v>0.98199499999999995</v>
      </c>
      <c r="D69" s="16">
        <f>E30</f>
        <v>36.435230760321964</v>
      </c>
      <c r="E69" s="16">
        <f>C69*D69</f>
        <v>35.779214430482362</v>
      </c>
      <c r="I69" s="16" t="s">
        <v>561</v>
      </c>
      <c r="J69" s="16">
        <f>('Tabla de mortalidad'!T48+'Tabla de mortalidad'!T49)/(2*'Tabla de mortalidad'!T44)</f>
        <v>0.98278500000000002</v>
      </c>
      <c r="K69" s="16">
        <f>L30</f>
        <v>34.100514664184296</v>
      </c>
      <c r="L69" s="16">
        <f>J69*K69</f>
        <v>33.513474304240361</v>
      </c>
    </row>
    <row r="70" spans="2:12" x14ac:dyDescent="0.25">
      <c r="B70" s="16" t="s">
        <v>555</v>
      </c>
      <c r="C70" s="16">
        <f>('Tabla de mortalidad'!T10+'Tabla de mortalidad'!T11)/(2*'Tabla de mortalidad'!T6)</f>
        <v>0.99172265846353114</v>
      </c>
      <c r="D70" s="16">
        <f t="shared" ref="D70:D75" si="19">E31</f>
        <v>73.75183876686323</v>
      </c>
      <c r="E70" s="16">
        <f t="shared" ref="E70:E75" si="20">C70*D70</f>
        <v>73.14136960844732</v>
      </c>
      <c r="I70" s="16" t="s">
        <v>555</v>
      </c>
      <c r="J70" s="16">
        <f>('Tabla de mortalidad'!T49+'Tabla de mortalidad'!T50)/(2*'Tabla de mortalidad'!T45)</f>
        <v>0.99176821560398443</v>
      </c>
      <c r="K70" s="16">
        <f t="shared" ref="K70:K75" si="21">L31</f>
        <v>62.509133010352613</v>
      </c>
      <c r="L70" s="16">
        <f t="shared" ref="L70:L75" si="22">J70*K70</f>
        <v>61.994571304629531</v>
      </c>
    </row>
    <row r="71" spans="2:12" x14ac:dyDescent="0.25">
      <c r="B71" s="16" t="s">
        <v>559</v>
      </c>
      <c r="C71" s="16">
        <f>('Tabla de mortalidad'!T11+'Tabla de mortalidad'!T12)/(2*'Tabla de mortalidad'!T7)</f>
        <v>0.99136374700799224</v>
      </c>
      <c r="D71" s="16">
        <f t="shared" si="19"/>
        <v>70.772511071018528</v>
      </c>
      <c r="E71" s="16">
        <f t="shared" si="20"/>
        <v>70.16130176052954</v>
      </c>
      <c r="I71" s="16" t="s">
        <v>559</v>
      </c>
      <c r="J71" s="16">
        <f>('Tabla de mortalidad'!T50+'Tabla de mortalidad'!T51)/(2*'Tabla de mortalidad'!T46)</f>
        <v>0.99157645055346066</v>
      </c>
      <c r="K71" s="16">
        <f t="shared" si="21"/>
        <v>61.473212109394041</v>
      </c>
      <c r="L71" s="16">
        <f t="shared" si="22"/>
        <v>60.955389467552962</v>
      </c>
    </row>
    <row r="72" spans="2:12" x14ac:dyDescent="0.25">
      <c r="B72" s="16" t="s">
        <v>556</v>
      </c>
      <c r="C72" s="16">
        <f>('Tabla de mortalidad'!T12+'Tabla de mortalidad'!T13)/(2*'Tabla de mortalidad'!T8)</f>
        <v>0.98930182468403305</v>
      </c>
      <c r="D72" s="16">
        <f t="shared" si="19"/>
        <v>54.707379134860055</v>
      </c>
      <c r="E72" s="16">
        <f t="shared" si="20"/>
        <v>54.122110001798248</v>
      </c>
      <c r="I72" s="16" t="s">
        <v>556</v>
      </c>
      <c r="J72" s="16">
        <f>('Tabla de mortalidad'!T51+'Tabla de mortalidad'!T52)/(2*'Tabla de mortalidad'!T47)</f>
        <v>0.98984717486604967</v>
      </c>
      <c r="K72" s="16">
        <f t="shared" si="21"/>
        <v>45.88473672061351</v>
      </c>
      <c r="L72" s="16">
        <f t="shared" si="22"/>
        <v>45.418877012371773</v>
      </c>
    </row>
    <row r="73" spans="2:12" x14ac:dyDescent="0.25">
      <c r="B73" s="16" t="s">
        <v>560</v>
      </c>
      <c r="C73" s="16">
        <f>('Tabla de mortalidad'!T13+'Tabla de mortalidad'!T14)/(2*'Tabla de mortalidad'!T9)</f>
        <v>0.98667141476318865</v>
      </c>
      <c r="D73" s="16">
        <f t="shared" si="19"/>
        <v>27.804475019812166</v>
      </c>
      <c r="E73" s="16">
        <f t="shared" si="20"/>
        <v>27.433880704545807</v>
      </c>
      <c r="I73" s="16" t="s">
        <v>560</v>
      </c>
      <c r="J73" s="16">
        <f>('Tabla de mortalidad'!T52+'Tabla de mortalidad'!T53)/(2*'Tabla de mortalidad'!T48)</f>
        <v>0.98798959063970804</v>
      </c>
      <c r="K73" s="16">
        <f t="shared" si="21"/>
        <v>23.770367196893268</v>
      </c>
      <c r="L73" s="16">
        <f t="shared" si="22"/>
        <v>23.484875356214125</v>
      </c>
    </row>
    <row r="74" spans="2:12" x14ac:dyDescent="0.25">
      <c r="B74" s="16" t="s">
        <v>557</v>
      </c>
      <c r="C74" s="16">
        <f>('Tabla de mortalidad'!T14+'Tabla de mortalidad'!T15)/(2*'Tabla de mortalidad'!T10)</f>
        <v>0.98252033348961409</v>
      </c>
      <c r="D74" s="16">
        <f t="shared" si="19"/>
        <v>8.5681331356071837</v>
      </c>
      <c r="E74" s="16">
        <f t="shared" si="20"/>
        <v>8.418365025780183</v>
      </c>
      <c r="I74" s="16" t="s">
        <v>557</v>
      </c>
      <c r="J74" s="16">
        <f>('Tabla de mortalidad'!T53+'Tabla de mortalidad'!T54)/(2*'Tabla de mortalidad'!T49)</f>
        <v>0.98322028029006758</v>
      </c>
      <c r="K74" s="16">
        <f t="shared" si="21"/>
        <v>6.4581198249638057</v>
      </c>
      <c r="L74" s="16">
        <f t="shared" si="22"/>
        <v>6.3497543844477553</v>
      </c>
    </row>
    <row r="75" spans="2:12" x14ac:dyDescent="0.25">
      <c r="B75" s="16" t="s">
        <v>558</v>
      </c>
      <c r="C75" s="16">
        <f>('Tabla de mortalidad'!T15+'Tabla de mortalidad'!T16)/(2*'Tabla de mortalidad'!T11)</f>
        <v>0.97419763427240602</v>
      </c>
      <c r="D75" s="16">
        <f t="shared" si="19"/>
        <v>1.3963230160577147</v>
      </c>
      <c r="E75" s="16">
        <f t="shared" si="20"/>
        <v>1.3602945789235366</v>
      </c>
      <c r="I75" s="16" t="s">
        <v>558</v>
      </c>
      <c r="J75" s="16">
        <f>('Tabla de mortalidad'!T54+'Tabla de mortalidad'!T55)/(2*'Tabla de mortalidad'!T50)</f>
        <v>0.97417770881398147</v>
      </c>
      <c r="K75" s="16">
        <f t="shared" si="21"/>
        <v>0.58132542196207349</v>
      </c>
      <c r="L75" s="16">
        <f t="shared" si="22"/>
        <v>0.56631426764233372</v>
      </c>
    </row>
    <row r="77" spans="2:12" x14ac:dyDescent="0.25">
      <c r="C77" s="124" t="s">
        <v>589</v>
      </c>
      <c r="D77" s="16">
        <f>5*(SUM(E69:E75))/1000</f>
        <v>1.3520826805525348</v>
      </c>
      <c r="J77" s="126" t="s">
        <v>589</v>
      </c>
      <c r="K77" s="16">
        <f>5*(SUM(L69:L75))/1000</f>
        <v>1.1614162804854942</v>
      </c>
    </row>
    <row r="80" spans="2:12" x14ac:dyDescent="0.25">
      <c r="B80" s="199" t="s">
        <v>590</v>
      </c>
      <c r="C80" s="199"/>
      <c r="D80" s="199"/>
      <c r="E80" s="199"/>
      <c r="I80" s="199" t="s">
        <v>590</v>
      </c>
      <c r="J80" s="199"/>
      <c r="K80" s="199"/>
      <c r="L80" s="199"/>
    </row>
    <row r="81" spans="2:12" x14ac:dyDescent="0.25">
      <c r="B81" s="125" t="s">
        <v>510</v>
      </c>
      <c r="C81" s="125" t="s">
        <v>591</v>
      </c>
      <c r="D81" s="125" t="s">
        <v>566</v>
      </c>
      <c r="E81" s="125" t="s">
        <v>592</v>
      </c>
      <c r="I81" s="121" t="s">
        <v>510</v>
      </c>
      <c r="J81" s="121" t="s">
        <v>591</v>
      </c>
      <c r="K81" s="121" t="s">
        <v>566</v>
      </c>
      <c r="L81" s="121" t="s">
        <v>592</v>
      </c>
    </row>
    <row r="82" spans="2:12" x14ac:dyDescent="0.25">
      <c r="B82" s="16" t="s">
        <v>561</v>
      </c>
      <c r="C82" s="16">
        <f>(15+20)/2</f>
        <v>17.5</v>
      </c>
      <c r="D82" s="16">
        <f>D30</f>
        <v>73.032601771961311</v>
      </c>
      <c r="E82" s="16">
        <f>D82*C82</f>
        <v>1278.0705310093228</v>
      </c>
      <c r="I82" s="16" t="s">
        <v>561</v>
      </c>
      <c r="J82" s="16">
        <f>(15+20)/2</f>
        <v>17.5</v>
      </c>
      <c r="K82" s="16">
        <f>K30</f>
        <v>71.507291967600764</v>
      </c>
      <c r="L82" s="16">
        <f>K82*J82</f>
        <v>1251.3776094330133</v>
      </c>
    </row>
    <row r="83" spans="2:12" x14ac:dyDescent="0.25">
      <c r="B83" s="16" t="s">
        <v>555</v>
      </c>
      <c r="C83" s="16">
        <f>(20+25)/2</f>
        <v>22.5</v>
      </c>
      <c r="D83" s="16">
        <f t="shared" ref="D83:D88" si="23">D31</f>
        <v>151.7658448269359</v>
      </c>
      <c r="E83" s="16">
        <f t="shared" ref="E83:E88" si="24">D83*C83</f>
        <v>3414.731508606058</v>
      </c>
      <c r="I83" s="16" t="s">
        <v>555</v>
      </c>
      <c r="J83" s="16">
        <f>(20+25)/2</f>
        <v>22.5</v>
      </c>
      <c r="K83" s="16">
        <f t="shared" ref="K83:K88" si="25">K31</f>
        <v>129.61568292436181</v>
      </c>
      <c r="L83" s="16">
        <f t="shared" ref="L83:L88" si="26">K83*J83</f>
        <v>2916.3528657981406</v>
      </c>
    </row>
    <row r="84" spans="2:12" x14ac:dyDescent="0.25">
      <c r="B84" s="16" t="s">
        <v>559</v>
      </c>
      <c r="C84" s="16">
        <f>(25+30)/2</f>
        <v>27.5</v>
      </c>
      <c r="D84" s="16">
        <f t="shared" si="23"/>
        <v>146.02810125198184</v>
      </c>
      <c r="E84" s="16">
        <f t="shared" si="24"/>
        <v>4015.7727844295005</v>
      </c>
      <c r="I84" s="16" t="s">
        <v>559</v>
      </c>
      <c r="J84" s="16">
        <f>(25+30)/2</f>
        <v>27.5</v>
      </c>
      <c r="K84" s="16">
        <f t="shared" si="25"/>
        <v>124.43328620874568</v>
      </c>
      <c r="L84" s="16">
        <f t="shared" si="26"/>
        <v>3421.9153707405062</v>
      </c>
    </row>
    <row r="85" spans="2:12" x14ac:dyDescent="0.25">
      <c r="B85" s="16" t="s">
        <v>556</v>
      </c>
      <c r="C85" s="16">
        <f>(30+35)/2</f>
        <v>32.5</v>
      </c>
      <c r="D85" s="16">
        <f t="shared" si="23"/>
        <v>109.28161429670395</v>
      </c>
      <c r="E85" s="16">
        <f t="shared" si="24"/>
        <v>3551.6524646428784</v>
      </c>
      <c r="I85" s="16" t="s">
        <v>556</v>
      </c>
      <c r="J85" s="16">
        <f>(30+35)/2</f>
        <v>32.5</v>
      </c>
      <c r="K85" s="16">
        <f t="shared" si="25"/>
        <v>93.641796404113975</v>
      </c>
      <c r="L85" s="16">
        <f t="shared" si="26"/>
        <v>3043.3583831337041</v>
      </c>
    </row>
    <row r="86" spans="2:12" x14ac:dyDescent="0.25">
      <c r="B86" s="16" t="s">
        <v>560</v>
      </c>
      <c r="C86" s="16">
        <f>(35+40)/2</f>
        <v>37.5</v>
      </c>
      <c r="D86" s="16">
        <f t="shared" si="23"/>
        <v>56.199099600384436</v>
      </c>
      <c r="E86" s="16">
        <f t="shared" si="24"/>
        <v>2107.4662350144163</v>
      </c>
      <c r="I86" s="16" t="s">
        <v>560</v>
      </c>
      <c r="J86" s="16">
        <f>(35+40)/2</f>
        <v>37.5</v>
      </c>
      <c r="K86" s="16">
        <f t="shared" si="25"/>
        <v>48.563412982490085</v>
      </c>
      <c r="L86" s="16">
        <f t="shared" si="26"/>
        <v>1821.1279868433783</v>
      </c>
    </row>
    <row r="87" spans="2:12" x14ac:dyDescent="0.25">
      <c r="B87" s="16" t="s">
        <v>557</v>
      </c>
      <c r="C87" s="16">
        <f>(40+45)/2</f>
        <v>42.5</v>
      </c>
      <c r="D87" s="16">
        <f t="shared" si="23"/>
        <v>18.186686439281594</v>
      </c>
      <c r="E87" s="16">
        <f t="shared" si="24"/>
        <v>772.93417366946778</v>
      </c>
      <c r="I87" s="16" t="s">
        <v>557</v>
      </c>
      <c r="J87" s="16">
        <f>(40+45)/2</f>
        <v>42.5</v>
      </c>
      <c r="K87" s="16">
        <f t="shared" si="25"/>
        <v>12.981308867307598</v>
      </c>
      <c r="L87" s="16">
        <f t="shared" si="26"/>
        <v>551.70562686057292</v>
      </c>
    </row>
    <row r="88" spans="2:12" x14ac:dyDescent="0.25">
      <c r="B88" s="16" t="s">
        <v>558</v>
      </c>
      <c r="C88" s="16">
        <f>(45+50)/2</f>
        <v>47.5</v>
      </c>
      <c r="D88" s="16">
        <f t="shared" si="23"/>
        <v>2.5340676958084454</v>
      </c>
      <c r="E88" s="16">
        <f t="shared" si="24"/>
        <v>120.36821555090116</v>
      </c>
      <c r="I88" s="16" t="s">
        <v>558</v>
      </c>
      <c r="J88" s="16">
        <f>(45+50)/2</f>
        <v>47.5</v>
      </c>
      <c r="K88" s="16">
        <f t="shared" si="25"/>
        <v>1.1225594355129696</v>
      </c>
      <c r="L88" s="16">
        <f t="shared" si="26"/>
        <v>53.321573186866054</v>
      </c>
    </row>
    <row r="90" spans="2:12" x14ac:dyDescent="0.25">
      <c r="C90" s="124"/>
      <c r="D90" s="16">
        <f>(SUM(E82:E88))/SUM(D82:D88)</f>
        <v>27.397178378414708</v>
      </c>
      <c r="J90" s="134"/>
      <c r="K90">
        <f>(SUM(L82:L88))/SUM(K82:K88)</f>
        <v>27.101263288173222</v>
      </c>
    </row>
    <row r="93" spans="2:12" x14ac:dyDescent="0.25">
      <c r="B93" s="199" t="s">
        <v>593</v>
      </c>
      <c r="C93" s="199"/>
      <c r="I93" s="199" t="s">
        <v>593</v>
      </c>
      <c r="J93" s="199"/>
    </row>
    <row r="94" spans="2:12" ht="18" x14ac:dyDescent="0.35">
      <c r="B94" s="124" t="s">
        <v>594</v>
      </c>
      <c r="C94" s="133">
        <f>(D30)/SUM(D30:D36)</f>
        <v>0.13111118236339084</v>
      </c>
      <c r="I94" s="126" t="s">
        <v>594</v>
      </c>
      <c r="J94" s="133">
        <f>(K30)/SUM(K30:K36)</f>
        <v>0.14839683664971881</v>
      </c>
    </row>
    <row r="95" spans="2:12" ht="18" x14ac:dyDescent="0.35">
      <c r="B95" s="124" t="s">
        <v>595</v>
      </c>
      <c r="C95" s="133">
        <f>(SUM(D31,D32,D33))/SUM(D30:D36)</f>
        <v>0.73079907790685217</v>
      </c>
      <c r="I95" s="126" t="s">
        <v>595</v>
      </c>
      <c r="J95" s="133">
        <f>(SUM(K31,K32,K33))/SUM(K30:K36)</f>
        <v>0.72155172316440774</v>
      </c>
    </row>
    <row r="96" spans="2:12" ht="18" x14ac:dyDescent="0.35">
      <c r="B96" s="124" t="s">
        <v>596</v>
      </c>
      <c r="C96" s="133">
        <f>(SUM(D34,D35,D36))/SUM(D30:D36)</f>
        <v>0.13808973972975724</v>
      </c>
      <c r="I96" s="126" t="s">
        <v>596</v>
      </c>
      <c r="J96" s="133">
        <f>(SUM(K34,K35,K36))/SUM(K30:K36)</f>
        <v>0.13005144018587353</v>
      </c>
    </row>
  </sheetData>
  <mergeCells count="28">
    <mergeCell ref="B2:M2"/>
    <mergeCell ref="B41:M41"/>
    <mergeCell ref="C47:D47"/>
    <mergeCell ref="C43:D43"/>
    <mergeCell ref="J43:K43"/>
    <mergeCell ref="J47:K47"/>
    <mergeCell ref="B28:F28"/>
    <mergeCell ref="I28:M28"/>
    <mergeCell ref="B10:E10"/>
    <mergeCell ref="I10:L10"/>
    <mergeCell ref="I16:K16"/>
    <mergeCell ref="B16:D16"/>
    <mergeCell ref="B4:C4"/>
    <mergeCell ref="E4:F4"/>
    <mergeCell ref="I4:J4"/>
    <mergeCell ref="L4:M4"/>
    <mergeCell ref="B5:C5"/>
    <mergeCell ref="E5:F5"/>
    <mergeCell ref="I5:J5"/>
    <mergeCell ref="L5:M5"/>
    <mergeCell ref="B54:E54"/>
    <mergeCell ref="B67:E67"/>
    <mergeCell ref="I54:L54"/>
    <mergeCell ref="I67:L67"/>
    <mergeCell ref="B80:E80"/>
    <mergeCell ref="B93:C93"/>
    <mergeCell ref="I80:L80"/>
    <mergeCell ref="I93:J9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9037-192E-4B5E-B72A-0692777EFC18}">
  <dimension ref="A1:BO96"/>
  <sheetViews>
    <sheetView topLeftCell="A22" zoomScale="25" zoomScaleNormal="25" workbookViewId="0">
      <selection activeCell="A112" sqref="A112"/>
    </sheetView>
  </sheetViews>
  <sheetFormatPr baseColWidth="10" defaultRowHeight="15" x14ac:dyDescent="0.25"/>
  <cols>
    <col min="2" max="2" width="15" customWidth="1"/>
    <col min="3" max="3" width="22.7109375" customWidth="1"/>
    <col min="4" max="4" width="18.85546875" customWidth="1"/>
    <col min="5" max="5" width="15" customWidth="1"/>
    <col min="6" max="6" width="18.7109375" customWidth="1"/>
    <col min="9" max="9" width="15.5703125" customWidth="1"/>
    <col min="10" max="10" width="21.85546875" customWidth="1"/>
    <col min="11" max="11" width="20.7109375" customWidth="1"/>
    <col min="12" max="12" width="16.85546875" customWidth="1"/>
    <col min="13" max="13" width="16.28515625" customWidth="1"/>
    <col min="14" max="14" width="17.28515625" customWidth="1"/>
    <col min="18" max="18" width="20.85546875" customWidth="1"/>
    <col min="35" max="35" width="17.85546875" customWidth="1"/>
  </cols>
  <sheetData>
    <row r="1" spans="2:54" x14ac:dyDescent="0.25">
      <c r="R1" s="83" t="s">
        <v>601</v>
      </c>
    </row>
    <row r="2" spans="2:54" ht="18.75" x14ac:dyDescent="0.3">
      <c r="B2" s="215" t="s">
        <v>573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2:54" x14ac:dyDescent="0.25">
      <c r="AK3" s="223" t="s">
        <v>107</v>
      </c>
      <c r="AL3" s="223"/>
      <c r="AM3" s="223"/>
      <c r="AN3" s="223"/>
      <c r="AO3" s="223"/>
      <c r="AP3" s="223"/>
      <c r="AQ3" s="223"/>
      <c r="AR3" s="223"/>
      <c r="AS3" s="223"/>
      <c r="AT3" s="223"/>
      <c r="AU3" s="223"/>
      <c r="AV3" s="223"/>
      <c r="AW3" s="223"/>
      <c r="AX3" s="223"/>
      <c r="AY3" s="223"/>
      <c r="AZ3" s="223"/>
      <c r="BA3" s="223"/>
      <c r="BB3" s="223"/>
    </row>
    <row r="4" spans="2:54" x14ac:dyDescent="0.25">
      <c r="B4" s="216">
        <v>2005</v>
      </c>
      <c r="C4" s="216"/>
      <c r="E4" s="216">
        <v>2005</v>
      </c>
      <c r="F4" s="216"/>
      <c r="I4" s="182">
        <v>2010</v>
      </c>
      <c r="J4" s="182"/>
      <c r="L4" s="182">
        <v>2010</v>
      </c>
      <c r="M4" s="182"/>
      <c r="R4" t="s">
        <v>597</v>
      </c>
      <c r="S4" s="83">
        <v>1995</v>
      </c>
      <c r="T4" s="83">
        <v>1996</v>
      </c>
      <c r="U4" s="83">
        <v>1997</v>
      </c>
      <c r="V4" s="83">
        <v>1998</v>
      </c>
      <c r="W4" s="83">
        <v>1999</v>
      </c>
      <c r="X4" s="83">
        <v>2000</v>
      </c>
      <c r="Y4" s="83">
        <v>2001</v>
      </c>
      <c r="Z4" s="83">
        <v>2002</v>
      </c>
      <c r="AA4" s="83">
        <v>2003</v>
      </c>
      <c r="AB4" s="83">
        <v>2004</v>
      </c>
      <c r="AC4" s="83">
        <v>2005</v>
      </c>
      <c r="AD4" s="83">
        <v>2006</v>
      </c>
      <c r="AE4" s="83">
        <v>2007</v>
      </c>
      <c r="AF4" s="83">
        <v>2008</v>
      </c>
      <c r="AG4" s="83">
        <v>2009</v>
      </c>
      <c r="AH4" s="83">
        <v>2010</v>
      </c>
      <c r="AL4" t="s">
        <v>598</v>
      </c>
    </row>
    <row r="5" spans="2:54" x14ac:dyDescent="0.25">
      <c r="B5" s="199" t="s">
        <v>1</v>
      </c>
      <c r="C5" s="199"/>
      <c r="E5" s="199" t="s">
        <v>4</v>
      </c>
      <c r="F5" s="199"/>
      <c r="I5" s="199" t="s">
        <v>1</v>
      </c>
      <c r="J5" s="199"/>
      <c r="L5" s="199" t="s">
        <v>4</v>
      </c>
      <c r="M5" s="199"/>
      <c r="R5" s="83">
        <v>1995</v>
      </c>
      <c r="S5" s="10">
        <v>27304</v>
      </c>
      <c r="T5" s="10">
        <v>8422</v>
      </c>
      <c r="U5" s="10">
        <v>1114</v>
      </c>
      <c r="V5">
        <v>496</v>
      </c>
      <c r="W5">
        <v>371</v>
      </c>
      <c r="X5">
        <v>272</v>
      </c>
      <c r="Y5">
        <v>136</v>
      </c>
      <c r="Z5">
        <v>10</v>
      </c>
      <c r="AA5">
        <v>31</v>
      </c>
      <c r="AB5">
        <v>36</v>
      </c>
      <c r="AC5">
        <v>36</v>
      </c>
      <c r="AD5">
        <v>14</v>
      </c>
      <c r="AE5">
        <v>18</v>
      </c>
      <c r="AF5">
        <v>19</v>
      </c>
      <c r="AG5">
        <v>14</v>
      </c>
      <c r="AH5">
        <v>19</v>
      </c>
      <c r="AK5" t="s">
        <v>597</v>
      </c>
      <c r="AL5" s="136">
        <v>0</v>
      </c>
      <c r="AM5" s="136">
        <v>1</v>
      </c>
      <c r="AN5" s="136">
        <v>2</v>
      </c>
      <c r="AO5" s="136">
        <v>3</v>
      </c>
      <c r="AP5" s="136">
        <v>4</v>
      </c>
      <c r="AQ5" s="136">
        <v>5</v>
      </c>
      <c r="AR5" s="136">
        <v>6</v>
      </c>
      <c r="AS5" s="136">
        <v>7</v>
      </c>
      <c r="AT5" s="136">
        <v>8</v>
      </c>
      <c r="AU5" s="136">
        <v>9</v>
      </c>
      <c r="AV5" s="136">
        <v>10</v>
      </c>
      <c r="AW5" s="136">
        <v>11</v>
      </c>
      <c r="AX5" s="136">
        <v>12</v>
      </c>
      <c r="AY5" s="136">
        <v>13</v>
      </c>
      <c r="AZ5" s="136">
        <v>14</v>
      </c>
      <c r="BA5" s="136">
        <v>15</v>
      </c>
      <c r="BB5" s="83" t="s">
        <v>600</v>
      </c>
    </row>
    <row r="6" spans="2:54" ht="18" x14ac:dyDescent="0.35">
      <c r="B6" s="16" t="s">
        <v>572</v>
      </c>
      <c r="C6" s="17">
        <f>BB39</f>
        <v>19522.899500937845</v>
      </c>
      <c r="E6" s="16" t="s">
        <v>572</v>
      </c>
      <c r="F6" s="17">
        <f>BB63</f>
        <v>18842.675034068725</v>
      </c>
      <c r="I6" s="16" t="s">
        <v>572</v>
      </c>
      <c r="J6" s="17">
        <f>BB44</f>
        <v>22744.940270077674</v>
      </c>
      <c r="L6" s="16" t="s">
        <v>572</v>
      </c>
      <c r="M6" s="17">
        <f>BB68</f>
        <v>21766.99589631816</v>
      </c>
      <c r="R6" s="83">
        <v>1996</v>
      </c>
      <c r="T6" s="10">
        <v>26435</v>
      </c>
      <c r="U6" s="10">
        <v>7715</v>
      </c>
      <c r="V6" s="10">
        <v>1033</v>
      </c>
      <c r="W6">
        <v>503</v>
      </c>
      <c r="X6">
        <v>293</v>
      </c>
      <c r="Y6">
        <v>213</v>
      </c>
      <c r="Z6">
        <v>28</v>
      </c>
      <c r="AA6">
        <v>54</v>
      </c>
      <c r="AB6">
        <v>49</v>
      </c>
      <c r="AC6">
        <v>44</v>
      </c>
      <c r="AD6">
        <v>26</v>
      </c>
      <c r="AE6">
        <v>18</v>
      </c>
      <c r="AF6">
        <v>26</v>
      </c>
      <c r="AG6">
        <v>22</v>
      </c>
      <c r="AH6">
        <v>21</v>
      </c>
      <c r="AK6" s="83">
        <v>1995</v>
      </c>
      <c r="AL6" s="10">
        <v>27304</v>
      </c>
      <c r="AM6" s="10">
        <v>8422</v>
      </c>
      <c r="AN6" s="10">
        <v>1114</v>
      </c>
      <c r="AO6" s="10">
        <v>496</v>
      </c>
      <c r="AP6" s="10">
        <v>371</v>
      </c>
      <c r="AQ6" s="10">
        <v>272</v>
      </c>
      <c r="AR6" s="10">
        <v>136</v>
      </c>
      <c r="AS6" s="10">
        <v>10</v>
      </c>
      <c r="AT6" s="10">
        <v>31</v>
      </c>
      <c r="AU6" s="10">
        <v>36</v>
      </c>
      <c r="AV6" s="10">
        <v>36</v>
      </c>
      <c r="AW6" s="10">
        <v>14</v>
      </c>
      <c r="AX6" s="10">
        <v>18</v>
      </c>
      <c r="AY6" s="10">
        <v>19</v>
      </c>
      <c r="AZ6" s="10">
        <v>14</v>
      </c>
      <c r="BA6" s="10">
        <v>19</v>
      </c>
      <c r="BB6" s="10">
        <f>SUM(AL6:BA6)</f>
        <v>38312</v>
      </c>
    </row>
    <row r="7" spans="2:54" ht="18" x14ac:dyDescent="0.35">
      <c r="B7" s="16" t="s">
        <v>571</v>
      </c>
      <c r="C7" s="16">
        <f>SUM('Tasas de crecimiento'!I11:I28)</f>
        <v>764998</v>
      </c>
      <c r="E7" s="16" t="s">
        <v>571</v>
      </c>
      <c r="F7" s="16">
        <f>SUM('Tasas de crecimiento'!X11:X28)</f>
        <v>817765</v>
      </c>
      <c r="I7" s="16" t="s">
        <v>571</v>
      </c>
      <c r="J7" s="16">
        <f>SUM('Tasas de crecimiento'!J11:J28)</f>
        <v>888702</v>
      </c>
      <c r="L7" s="16" t="s">
        <v>571</v>
      </c>
      <c r="M7" s="16">
        <f>SUM('Tasas de crecimiento'!Y11:Y28)</f>
        <v>942385</v>
      </c>
      <c r="R7" s="83">
        <v>1997</v>
      </c>
      <c r="U7" s="10">
        <v>25753</v>
      </c>
      <c r="V7" s="10">
        <v>7669</v>
      </c>
      <c r="W7" s="10">
        <v>1072</v>
      </c>
      <c r="X7">
        <v>445</v>
      </c>
      <c r="Y7">
        <v>284</v>
      </c>
      <c r="Z7">
        <v>38</v>
      </c>
      <c r="AA7">
        <v>94</v>
      </c>
      <c r="AB7">
        <v>108</v>
      </c>
      <c r="AC7">
        <v>70</v>
      </c>
      <c r="AD7">
        <v>55</v>
      </c>
      <c r="AE7">
        <v>29</v>
      </c>
      <c r="AF7">
        <v>27</v>
      </c>
      <c r="AG7">
        <v>31</v>
      </c>
      <c r="AH7">
        <v>20</v>
      </c>
      <c r="AK7" s="83">
        <v>1996</v>
      </c>
      <c r="AL7" s="10">
        <v>26435</v>
      </c>
      <c r="AM7" s="10">
        <v>7715</v>
      </c>
      <c r="AN7" s="10">
        <v>1033</v>
      </c>
      <c r="AO7" s="10">
        <v>503</v>
      </c>
      <c r="AP7" s="10">
        <v>293</v>
      </c>
      <c r="AQ7" s="10">
        <v>213</v>
      </c>
      <c r="AR7" s="10">
        <v>28</v>
      </c>
      <c r="AS7" s="10">
        <v>54</v>
      </c>
      <c r="AT7" s="10">
        <v>49</v>
      </c>
      <c r="AU7" s="10">
        <v>44</v>
      </c>
      <c r="AV7" s="10">
        <v>26</v>
      </c>
      <c r="AW7" s="10">
        <v>18</v>
      </c>
      <c r="AX7" s="10">
        <v>26</v>
      </c>
      <c r="AY7" s="10">
        <v>22</v>
      </c>
      <c r="AZ7" s="10">
        <v>21</v>
      </c>
      <c r="BA7" s="137">
        <f>AZ7*BA23</f>
        <v>28.5</v>
      </c>
      <c r="BB7" s="10">
        <f t="shared" ref="BB7:BB21" si="0">SUM(AL7:BA7)</f>
        <v>36508.5</v>
      </c>
    </row>
    <row r="8" spans="2:54" x14ac:dyDescent="0.25">
      <c r="B8" s="129" t="s">
        <v>551</v>
      </c>
      <c r="C8" s="36">
        <f>(C6/C7)*1000</f>
        <v>25.520196786054139</v>
      </c>
      <c r="E8" s="129" t="s">
        <v>551</v>
      </c>
      <c r="F8" s="16">
        <f>(F6/F7)*1000</f>
        <v>23.041674605869321</v>
      </c>
      <c r="I8" s="128" t="s">
        <v>551</v>
      </c>
      <c r="J8" s="16">
        <f>(J6/J7)*1000</f>
        <v>25.593438824350201</v>
      </c>
      <c r="L8" s="128" t="s">
        <v>551</v>
      </c>
      <c r="M8" s="16">
        <f>(M6/M7)*1000</f>
        <v>23.097774154213152</v>
      </c>
      <c r="R8" s="83">
        <v>1998</v>
      </c>
      <c r="V8" s="10">
        <v>26935</v>
      </c>
      <c r="W8" s="10">
        <v>7764</v>
      </c>
      <c r="X8">
        <v>967</v>
      </c>
      <c r="Y8">
        <v>432</v>
      </c>
      <c r="Z8">
        <v>51</v>
      </c>
      <c r="AA8">
        <v>98</v>
      </c>
      <c r="AB8">
        <v>178</v>
      </c>
      <c r="AC8">
        <v>145</v>
      </c>
      <c r="AD8">
        <v>75</v>
      </c>
      <c r="AE8">
        <v>41</v>
      </c>
      <c r="AF8">
        <v>38</v>
      </c>
      <c r="AG8">
        <v>18</v>
      </c>
      <c r="AH8">
        <v>24</v>
      </c>
      <c r="AK8" s="83">
        <v>1997</v>
      </c>
      <c r="AL8" s="10">
        <v>25753</v>
      </c>
      <c r="AM8" s="10">
        <v>7669</v>
      </c>
      <c r="AN8" s="10">
        <v>1072</v>
      </c>
      <c r="AO8" s="10">
        <v>445</v>
      </c>
      <c r="AP8" s="10">
        <v>284</v>
      </c>
      <c r="AQ8" s="10">
        <v>38</v>
      </c>
      <c r="AR8" s="10">
        <v>94</v>
      </c>
      <c r="AS8" s="10">
        <v>108</v>
      </c>
      <c r="AT8" s="10">
        <v>70</v>
      </c>
      <c r="AU8" s="10">
        <v>55</v>
      </c>
      <c r="AV8" s="10">
        <v>29</v>
      </c>
      <c r="AW8" s="10">
        <v>27</v>
      </c>
      <c r="AX8" s="10">
        <v>31</v>
      </c>
      <c r="AY8" s="10">
        <v>20</v>
      </c>
      <c r="AZ8" s="137">
        <f>AY8*AZ23</f>
        <v>17.073170731707318</v>
      </c>
      <c r="BA8" s="137">
        <f>AZ8*BA23</f>
        <v>23.170731707317074</v>
      </c>
      <c r="BB8" s="10">
        <f t="shared" si="0"/>
        <v>35735.243902439026</v>
      </c>
    </row>
    <row r="9" spans="2:54" x14ac:dyDescent="0.25">
      <c r="N9" s="10"/>
      <c r="R9" s="83">
        <v>1999</v>
      </c>
      <c r="W9" s="10">
        <v>27409</v>
      </c>
      <c r="X9" s="10">
        <v>7856</v>
      </c>
      <c r="Y9">
        <v>870</v>
      </c>
      <c r="Z9">
        <v>94</v>
      </c>
      <c r="AA9">
        <v>156</v>
      </c>
      <c r="AB9">
        <v>272</v>
      </c>
      <c r="AC9">
        <v>235</v>
      </c>
      <c r="AD9">
        <v>122</v>
      </c>
      <c r="AE9">
        <v>61</v>
      </c>
      <c r="AF9">
        <v>53</v>
      </c>
      <c r="AG9">
        <v>31</v>
      </c>
      <c r="AH9">
        <v>28</v>
      </c>
      <c r="AK9" s="83">
        <v>1998</v>
      </c>
      <c r="AL9" s="10">
        <v>26935</v>
      </c>
      <c r="AM9" s="10">
        <v>7764</v>
      </c>
      <c r="AN9" s="10">
        <v>967</v>
      </c>
      <c r="AO9" s="10">
        <v>432</v>
      </c>
      <c r="AP9" s="10">
        <v>51</v>
      </c>
      <c r="AQ9" s="10">
        <v>98</v>
      </c>
      <c r="AR9" s="10">
        <v>178</v>
      </c>
      <c r="AS9" s="10">
        <v>145</v>
      </c>
      <c r="AT9" s="10">
        <v>75</v>
      </c>
      <c r="AU9" s="10">
        <v>41</v>
      </c>
      <c r="AV9" s="10">
        <v>38</v>
      </c>
      <c r="AW9" s="10">
        <v>18</v>
      </c>
      <c r="AX9" s="10">
        <v>24</v>
      </c>
      <c r="AY9" s="137">
        <f>AX9*AY23</f>
        <v>19.52</v>
      </c>
      <c r="AZ9" s="137">
        <f>AY9*AZ23</f>
        <v>16.663414634146342</v>
      </c>
      <c r="BA9" s="137">
        <f>AZ9*BA23</f>
        <v>22.614634146341466</v>
      </c>
      <c r="BB9" s="10">
        <f t="shared" si="0"/>
        <v>36824.798048780482</v>
      </c>
    </row>
    <row r="10" spans="2:54" x14ac:dyDescent="0.25">
      <c r="B10" s="217" t="s">
        <v>570</v>
      </c>
      <c r="C10" s="218"/>
      <c r="D10" s="218"/>
      <c r="E10" s="219"/>
      <c r="I10" s="182" t="s">
        <v>570</v>
      </c>
      <c r="J10" s="182"/>
      <c r="K10" s="182"/>
      <c r="L10" s="182"/>
      <c r="R10" s="83">
        <v>2000</v>
      </c>
      <c r="X10" s="10">
        <v>28567</v>
      </c>
      <c r="Y10" s="10">
        <v>7958</v>
      </c>
      <c r="Z10">
        <v>271</v>
      </c>
      <c r="AA10">
        <v>364</v>
      </c>
      <c r="AB10">
        <v>441</v>
      </c>
      <c r="AC10">
        <v>402</v>
      </c>
      <c r="AD10">
        <v>232</v>
      </c>
      <c r="AE10">
        <v>125</v>
      </c>
      <c r="AF10">
        <v>88</v>
      </c>
      <c r="AG10">
        <v>65</v>
      </c>
      <c r="AH10">
        <v>38</v>
      </c>
      <c r="AK10" s="83">
        <v>1999</v>
      </c>
      <c r="AL10" s="10">
        <v>27409</v>
      </c>
      <c r="AM10" s="10">
        <v>7856</v>
      </c>
      <c r="AN10" s="10">
        <v>870</v>
      </c>
      <c r="AO10" s="10">
        <v>94</v>
      </c>
      <c r="AP10" s="10">
        <v>156</v>
      </c>
      <c r="AQ10" s="10">
        <v>272</v>
      </c>
      <c r="AR10" s="10">
        <v>235</v>
      </c>
      <c r="AS10" s="10">
        <v>122</v>
      </c>
      <c r="AT10" s="10">
        <v>61</v>
      </c>
      <c r="AU10" s="10">
        <v>53</v>
      </c>
      <c r="AV10" s="10">
        <v>31</v>
      </c>
      <c r="AW10" s="10">
        <v>28</v>
      </c>
      <c r="AX10" s="137">
        <f>AW10*AX23</f>
        <v>36</v>
      </c>
      <c r="AY10" s="137">
        <f>AX10*AY23</f>
        <v>29.28</v>
      </c>
      <c r="AZ10" s="137">
        <f>AY10*AZ23</f>
        <v>24.995121951219513</v>
      </c>
      <c r="BA10" s="137">
        <f>AZ10*BA23</f>
        <v>33.921951219512195</v>
      </c>
      <c r="BB10" s="10">
        <f t="shared" si="0"/>
        <v>37311.197073170733</v>
      </c>
    </row>
    <row r="11" spans="2:54" ht="18" x14ac:dyDescent="0.35">
      <c r="B11" s="16" t="s">
        <v>569</v>
      </c>
      <c r="C11" s="129" t="s">
        <v>552</v>
      </c>
      <c r="D11" s="129" t="s">
        <v>554</v>
      </c>
      <c r="E11" s="129" t="s">
        <v>580</v>
      </c>
      <c r="G11" s="10"/>
      <c r="I11" s="146" t="s">
        <v>569</v>
      </c>
      <c r="J11" s="128" t="s">
        <v>552</v>
      </c>
      <c r="K11" s="128" t="s">
        <v>554</v>
      </c>
      <c r="L11" s="128" t="s">
        <v>580</v>
      </c>
      <c r="R11" s="83">
        <v>2001</v>
      </c>
      <c r="Y11" s="10">
        <v>27185</v>
      </c>
      <c r="Z11" s="10">
        <v>8419</v>
      </c>
      <c r="AA11">
        <v>284</v>
      </c>
      <c r="AB11">
        <v>458</v>
      </c>
      <c r="AC11">
        <v>501</v>
      </c>
      <c r="AD11">
        <v>232</v>
      </c>
      <c r="AE11">
        <v>175</v>
      </c>
      <c r="AF11">
        <v>90</v>
      </c>
      <c r="AG11">
        <v>61</v>
      </c>
      <c r="AH11">
        <v>52</v>
      </c>
      <c r="AK11" s="83">
        <v>2000</v>
      </c>
      <c r="AL11" s="10">
        <v>28567</v>
      </c>
      <c r="AM11" s="10">
        <v>7958</v>
      </c>
      <c r="AN11" s="10">
        <v>271</v>
      </c>
      <c r="AO11" s="10">
        <v>364</v>
      </c>
      <c r="AP11" s="10">
        <v>441</v>
      </c>
      <c r="AQ11" s="10">
        <v>402</v>
      </c>
      <c r="AR11" s="10">
        <v>232</v>
      </c>
      <c r="AS11" s="10">
        <v>125</v>
      </c>
      <c r="AT11" s="10">
        <v>88</v>
      </c>
      <c r="AU11" s="10">
        <v>65</v>
      </c>
      <c r="AV11" s="10">
        <v>38</v>
      </c>
      <c r="AW11" s="137">
        <f>AV11*AW23</f>
        <v>24.9375</v>
      </c>
      <c r="AX11" s="137">
        <f>AW11*AX23</f>
        <v>32.0625</v>
      </c>
      <c r="AY11" s="137">
        <f>AX11*AY23</f>
        <v>26.077500000000001</v>
      </c>
      <c r="AZ11" s="137">
        <f>AY11*AZ23</f>
        <v>22.261280487804878</v>
      </c>
      <c r="BA11" s="137">
        <f>AZ11*BA23</f>
        <v>30.211737804878052</v>
      </c>
      <c r="BB11" s="10">
        <f t="shared" si="0"/>
        <v>38686.550518292686</v>
      </c>
    </row>
    <row r="12" spans="2:54" x14ac:dyDescent="0.25">
      <c r="B12" s="16">
        <f>SUM('Tasas de crecimiento'!X14:X20)</f>
        <v>453174</v>
      </c>
      <c r="C12" s="16">
        <f>((BB16)/B12)*1000</f>
        <v>84.686288898298514</v>
      </c>
      <c r="D12" s="16">
        <f>(F6/B12)*1000</f>
        <v>41.579338254332164</v>
      </c>
      <c r="E12" s="16">
        <f>C12*(100/205)</f>
        <v>41.310384828438302</v>
      </c>
      <c r="I12" s="16">
        <f>SUM('Tasas de crecimiento'!Y14:Y20)</f>
        <v>526170</v>
      </c>
      <c r="J12" s="16">
        <f>((BB21)/I12)*1000</f>
        <v>84.609173226217663</v>
      </c>
      <c r="K12" s="127">
        <f>(M6/I12)*1000</f>
        <v>41.368751347127656</v>
      </c>
      <c r="L12" s="16">
        <f>J12*(100/205)</f>
        <v>41.272767427423247</v>
      </c>
      <c r="R12" s="83">
        <v>2002</v>
      </c>
      <c r="Z12" s="10">
        <v>27508</v>
      </c>
      <c r="AA12" s="10">
        <v>8524</v>
      </c>
      <c r="AB12">
        <v>331</v>
      </c>
      <c r="AC12">
        <v>509</v>
      </c>
      <c r="AD12">
        <v>300</v>
      </c>
      <c r="AE12">
        <v>149</v>
      </c>
      <c r="AF12">
        <v>100</v>
      </c>
      <c r="AG12">
        <v>76</v>
      </c>
      <c r="AH12">
        <v>42</v>
      </c>
      <c r="AK12" s="83">
        <v>2001</v>
      </c>
      <c r="AL12" s="10">
        <v>27185</v>
      </c>
      <c r="AM12" s="10">
        <v>8419</v>
      </c>
      <c r="AN12" s="10">
        <v>284</v>
      </c>
      <c r="AO12" s="10">
        <v>458</v>
      </c>
      <c r="AP12" s="10">
        <v>501</v>
      </c>
      <c r="AQ12" s="10">
        <v>232</v>
      </c>
      <c r="AR12" s="10">
        <v>175</v>
      </c>
      <c r="AS12" s="10">
        <v>90</v>
      </c>
      <c r="AT12" s="10">
        <v>61</v>
      </c>
      <c r="AU12" s="10">
        <v>52</v>
      </c>
      <c r="AV12" s="137">
        <f t="shared" ref="AV12:BA12" si="1">AU12*AV23</f>
        <v>35.020408163265301</v>
      </c>
      <c r="AW12" s="137">
        <f t="shared" si="1"/>
        <v>22.982142857142854</v>
      </c>
      <c r="AX12" s="137">
        <f t="shared" si="1"/>
        <v>29.548469387755102</v>
      </c>
      <c r="AY12" s="137">
        <f t="shared" si="1"/>
        <v>24.032755102040817</v>
      </c>
      <c r="AZ12" s="137">
        <f t="shared" si="1"/>
        <v>20.515766550522649</v>
      </c>
      <c r="BA12" s="137">
        <f t="shared" si="1"/>
        <v>27.84282603285217</v>
      </c>
      <c r="BB12" s="10">
        <f t="shared" si="0"/>
        <v>37616.942368093572</v>
      </c>
    </row>
    <row r="13" spans="2:54" x14ac:dyDescent="0.25">
      <c r="R13" s="83">
        <v>2003</v>
      </c>
      <c r="AA13" s="10">
        <v>27588</v>
      </c>
      <c r="AB13" s="10">
        <v>8775</v>
      </c>
      <c r="AC13">
        <v>592</v>
      </c>
      <c r="AD13">
        <v>326</v>
      </c>
      <c r="AE13">
        <v>227</v>
      </c>
      <c r="AF13">
        <v>128</v>
      </c>
      <c r="AG13">
        <v>107</v>
      </c>
      <c r="AH13">
        <v>51</v>
      </c>
      <c r="AK13" s="83">
        <v>2002</v>
      </c>
      <c r="AL13" s="10">
        <v>27508</v>
      </c>
      <c r="AM13" s="10">
        <v>8524</v>
      </c>
      <c r="AN13" s="10">
        <v>331</v>
      </c>
      <c r="AO13" s="10">
        <v>509</v>
      </c>
      <c r="AP13" s="10">
        <v>300</v>
      </c>
      <c r="AQ13" s="10">
        <v>149</v>
      </c>
      <c r="AR13" s="10">
        <v>100</v>
      </c>
      <c r="AS13" s="10">
        <v>76</v>
      </c>
      <c r="AT13" s="10">
        <v>42</v>
      </c>
      <c r="AU13" s="137">
        <f t="shared" ref="AU13:BA13" si="2">AT13*AU23</f>
        <v>33.406896551724138</v>
      </c>
      <c r="AV13" s="137">
        <f t="shared" si="2"/>
        <v>22.498522167487685</v>
      </c>
      <c r="AW13" s="137">
        <f t="shared" si="2"/>
        <v>14.764655172413793</v>
      </c>
      <c r="AX13" s="137">
        <f t="shared" si="2"/>
        <v>18.983128078817735</v>
      </c>
      <c r="AY13" s="137">
        <f t="shared" si="2"/>
        <v>15.439610837438424</v>
      </c>
      <c r="AZ13" s="137">
        <f t="shared" si="2"/>
        <v>13.18015559293524</v>
      </c>
      <c r="BA13" s="137">
        <f t="shared" si="2"/>
        <v>17.88735401898354</v>
      </c>
      <c r="BB13" s="10">
        <f t="shared" si="0"/>
        <v>37675.160322419797</v>
      </c>
    </row>
    <row r="14" spans="2:54" x14ac:dyDescent="0.25">
      <c r="D14" s="51"/>
      <c r="R14" s="83">
        <v>2004</v>
      </c>
      <c r="AB14" s="10">
        <v>28117</v>
      </c>
      <c r="AC14" s="10">
        <v>8293</v>
      </c>
      <c r="AD14">
        <v>508</v>
      </c>
      <c r="AE14">
        <v>304</v>
      </c>
      <c r="AF14">
        <v>235</v>
      </c>
      <c r="AG14">
        <v>112</v>
      </c>
      <c r="AH14">
        <v>71</v>
      </c>
      <c r="AK14" s="83">
        <v>2003</v>
      </c>
      <c r="AL14" s="10">
        <v>27588</v>
      </c>
      <c r="AM14" s="10">
        <v>8775</v>
      </c>
      <c r="AN14" s="10">
        <v>592</v>
      </c>
      <c r="AO14" s="10">
        <v>326</v>
      </c>
      <c r="AP14" s="10">
        <v>227</v>
      </c>
      <c r="AQ14" s="10">
        <v>128</v>
      </c>
      <c r="AR14" s="10">
        <v>107</v>
      </c>
      <c r="AS14" s="10">
        <v>51</v>
      </c>
      <c r="AT14" s="137">
        <f t="shared" ref="AT14:BA14" si="3">AS14*AT23</f>
        <v>33.324657534246576</v>
      </c>
      <c r="AU14" s="137">
        <f t="shared" si="3"/>
        <v>26.506509211147851</v>
      </c>
      <c r="AV14" s="137">
        <f t="shared" si="3"/>
        <v>17.851322529956715</v>
      </c>
      <c r="AW14" s="137">
        <f t="shared" si="3"/>
        <v>11.714930410284094</v>
      </c>
      <c r="AX14" s="137">
        <f t="shared" si="3"/>
        <v>15.062053384650978</v>
      </c>
      <c r="AY14" s="137">
        <f t="shared" si="3"/>
        <v>12.250470086182796</v>
      </c>
      <c r="AZ14" s="137">
        <f t="shared" si="3"/>
        <v>10.457718366253607</v>
      </c>
      <c r="BA14" s="137">
        <f t="shared" si="3"/>
        <v>14.192617782772754</v>
      </c>
      <c r="BB14" s="10">
        <f t="shared" si="0"/>
        <v>37935.360279305496</v>
      </c>
    </row>
    <row r="15" spans="2:54" x14ac:dyDescent="0.25">
      <c r="C15">
        <f>SUM(C18:C26)</f>
        <v>38377.624285197533</v>
      </c>
      <c r="E15" s="10"/>
      <c r="F15" s="10"/>
      <c r="J15">
        <f>SUM(J18:J26)</f>
        <v>44518.808676438959</v>
      </c>
      <c r="L15" s="10"/>
      <c r="M15" s="10"/>
      <c r="R15" s="83">
        <v>2005</v>
      </c>
      <c r="AC15" s="10">
        <v>29679</v>
      </c>
      <c r="AD15" s="10">
        <v>7209</v>
      </c>
      <c r="AE15">
        <v>565</v>
      </c>
      <c r="AF15">
        <v>298</v>
      </c>
      <c r="AG15">
        <v>237</v>
      </c>
      <c r="AH15">
        <v>117</v>
      </c>
      <c r="AK15" s="83">
        <v>2004</v>
      </c>
      <c r="AL15" s="10">
        <v>28117</v>
      </c>
      <c r="AM15" s="10">
        <v>8293</v>
      </c>
      <c r="AN15" s="10">
        <v>508</v>
      </c>
      <c r="AO15" s="10">
        <v>304</v>
      </c>
      <c r="AP15" s="10">
        <v>235</v>
      </c>
      <c r="AQ15" s="10">
        <v>112</v>
      </c>
      <c r="AR15" s="10">
        <v>71</v>
      </c>
      <c r="AS15" s="137">
        <f t="shared" ref="AS15:BA15" si="4">AR15*AS23</f>
        <v>43.152529182879377</v>
      </c>
      <c r="AT15" s="137">
        <f t="shared" si="4"/>
        <v>28.196926603059541</v>
      </c>
      <c r="AU15" s="137">
        <f t="shared" si="4"/>
        <v>22.427900240594486</v>
      </c>
      <c r="AV15" s="137">
        <f t="shared" si="4"/>
        <v>15.104504243665673</v>
      </c>
      <c r="AW15" s="137">
        <f t="shared" si="4"/>
        <v>9.9123309099055987</v>
      </c>
      <c r="AX15" s="137">
        <f t="shared" si="4"/>
        <v>12.744425455592914</v>
      </c>
      <c r="AY15" s="137">
        <f t="shared" si="4"/>
        <v>10.365466037215571</v>
      </c>
      <c r="AZ15" s="137">
        <f t="shared" si="4"/>
        <v>8.8485685683547555</v>
      </c>
      <c r="BA15" s="137">
        <f t="shared" si="4"/>
        <v>12.008771628481455</v>
      </c>
      <c r="BB15" s="10">
        <f t="shared" si="0"/>
        <v>37802.761422869757</v>
      </c>
    </row>
    <row r="16" spans="2:54" x14ac:dyDescent="0.25">
      <c r="B16" s="199" t="s">
        <v>563</v>
      </c>
      <c r="C16" s="199"/>
      <c r="D16" s="199"/>
      <c r="E16" s="199"/>
      <c r="F16" s="199"/>
      <c r="I16" s="204" t="s">
        <v>563</v>
      </c>
      <c r="J16" s="205"/>
      <c r="K16" s="205"/>
      <c r="L16" s="205"/>
      <c r="M16" s="205"/>
      <c r="R16" s="83">
        <v>2006</v>
      </c>
      <c r="AD16" s="10">
        <v>29111</v>
      </c>
      <c r="AE16" s="10">
        <v>7861</v>
      </c>
      <c r="AF16">
        <v>564</v>
      </c>
      <c r="AG16">
        <v>289</v>
      </c>
      <c r="AH16">
        <v>221</v>
      </c>
      <c r="AK16" s="140">
        <v>2005</v>
      </c>
      <c r="AL16" s="141">
        <v>29679</v>
      </c>
      <c r="AM16" s="141">
        <v>7209</v>
      </c>
      <c r="AN16" s="141">
        <v>565</v>
      </c>
      <c r="AO16" s="141">
        <v>298</v>
      </c>
      <c r="AP16" s="141">
        <v>237</v>
      </c>
      <c r="AQ16" s="141">
        <v>117</v>
      </c>
      <c r="AR16" s="141">
        <f t="shared" ref="AR16:BA16" si="5">AQ16*AR23</f>
        <v>82.803757828810021</v>
      </c>
      <c r="AS16" s="141">
        <f t="shared" si="5"/>
        <v>50.326641917743672</v>
      </c>
      <c r="AT16" s="141">
        <f t="shared" si="5"/>
        <v>32.884668759950316</v>
      </c>
      <c r="AU16" s="141">
        <f t="shared" si="5"/>
        <v>26.156541128604157</v>
      </c>
      <c r="AV16" s="141">
        <f t="shared" si="5"/>
        <v>17.615629739672187</v>
      </c>
      <c r="AW16" s="141">
        <f t="shared" si="5"/>
        <v>11.560257016659872</v>
      </c>
      <c r="AX16" s="141">
        <f t="shared" si="5"/>
        <v>14.863187592848407</v>
      </c>
      <c r="AY16" s="141">
        <f t="shared" si="5"/>
        <v>12.088725908850037</v>
      </c>
      <c r="AZ16" s="141">
        <f t="shared" si="5"/>
        <v>10.31964406853052</v>
      </c>
      <c r="BA16" s="141">
        <f t="shared" si="5"/>
        <v>14.005231235862849</v>
      </c>
      <c r="BB16" s="142">
        <f t="shared" si="0"/>
        <v>38377.624285197533</v>
      </c>
    </row>
    <row r="17" spans="1:67" x14ac:dyDescent="0.25">
      <c r="B17" s="176" t="s">
        <v>256</v>
      </c>
      <c r="C17" s="176" t="s">
        <v>107</v>
      </c>
      <c r="D17" s="176" t="s">
        <v>4</v>
      </c>
      <c r="E17" s="176" t="s">
        <v>107</v>
      </c>
      <c r="F17" s="176" t="s">
        <v>4</v>
      </c>
      <c r="I17" s="144" t="s">
        <v>256</v>
      </c>
      <c r="J17" s="144" t="s">
        <v>107</v>
      </c>
      <c r="K17" s="144" t="s">
        <v>4</v>
      </c>
      <c r="L17" s="144" t="s">
        <v>107</v>
      </c>
      <c r="M17" s="144" t="s">
        <v>4</v>
      </c>
      <c r="R17" s="83">
        <v>2007</v>
      </c>
      <c r="AE17" s="10">
        <v>32648</v>
      </c>
      <c r="AF17" s="10">
        <v>6225</v>
      </c>
      <c r="AG17">
        <v>504</v>
      </c>
      <c r="AH17">
        <v>264</v>
      </c>
      <c r="AK17" s="83">
        <v>2006</v>
      </c>
      <c r="AL17" s="10">
        <v>29111</v>
      </c>
      <c r="AM17" s="10">
        <v>7861</v>
      </c>
      <c r="AN17" s="10">
        <v>564</v>
      </c>
      <c r="AO17" s="10">
        <v>289</v>
      </c>
      <c r="AP17" s="10">
        <v>221</v>
      </c>
      <c r="AQ17" s="137">
        <f t="shared" ref="AQ17:BA17" si="6">AP17*AQ23</f>
        <v>145.12047803617571</v>
      </c>
      <c r="AR17" s="137">
        <f t="shared" si="6"/>
        <v>102.70530700263792</v>
      </c>
      <c r="AS17" s="137">
        <f t="shared" si="6"/>
        <v>62.422447291097441</v>
      </c>
      <c r="AT17" s="137">
        <f t="shared" si="6"/>
        <v>40.788366243634904</v>
      </c>
      <c r="AU17" s="137">
        <f t="shared" si="6"/>
        <v>32.443160276546379</v>
      </c>
      <c r="AV17" s="137">
        <f t="shared" si="6"/>
        <v>21.849475288286335</v>
      </c>
      <c r="AW17" s="137">
        <f t="shared" si="6"/>
        <v>14.338718157937908</v>
      </c>
      <c r="AX17" s="137">
        <f t="shared" si="6"/>
        <v>18.435494774491598</v>
      </c>
      <c r="AY17" s="137">
        <f t="shared" si="6"/>
        <v>14.9942024165865</v>
      </c>
      <c r="AZ17" s="137">
        <f t="shared" si="6"/>
        <v>12.799928892207987</v>
      </c>
      <c r="BA17" s="137">
        <f t="shared" si="6"/>
        <v>17.371332067996555</v>
      </c>
      <c r="BB17" s="10">
        <f t="shared" si="0"/>
        <v>38529.268910447601</v>
      </c>
      <c r="BE17" s="220"/>
      <c r="BF17" s="220"/>
    </row>
    <row r="18" spans="1:67" x14ac:dyDescent="0.25">
      <c r="A18">
        <v>2.4532652961091212E-3</v>
      </c>
      <c r="B18" s="131" t="s">
        <v>582</v>
      </c>
      <c r="C18" s="17">
        <f t="shared" ref="C18:C26" si="7">$BB$16*A18</f>
        <v>94.150493805989726</v>
      </c>
      <c r="D18" s="17">
        <f t="shared" ref="D18:D26" si="8">$BB$63*A18</f>
        <v>46.226080746942557</v>
      </c>
      <c r="E18" s="132"/>
      <c r="F18" s="132"/>
      <c r="H18">
        <v>3.1426148550905372E-3</v>
      </c>
      <c r="I18" s="131" t="s">
        <v>582</v>
      </c>
      <c r="J18" s="17">
        <f t="shared" ref="J18:J26" si="9">$BB$21*H18</f>
        <v>139.90546947751054</v>
      </c>
      <c r="K18" s="17">
        <f t="shared" ref="K18:K26" si="10">$BB$68*H18</f>
        <v>68.405284654464211</v>
      </c>
      <c r="L18" s="132"/>
      <c r="M18" s="132"/>
      <c r="R18" s="83">
        <v>2008</v>
      </c>
      <c r="AF18" s="10">
        <v>33307</v>
      </c>
      <c r="AG18" s="10">
        <v>5682</v>
      </c>
      <c r="AH18">
        <v>367</v>
      </c>
      <c r="AK18" s="83">
        <v>2007</v>
      </c>
      <c r="AL18" s="10">
        <v>32648</v>
      </c>
      <c r="AM18" s="10">
        <v>6225</v>
      </c>
      <c r="AN18" s="10">
        <v>504</v>
      </c>
      <c r="AO18" s="10">
        <v>264</v>
      </c>
      <c r="AP18" s="137">
        <f t="shared" ref="AP18:BA18" si="11">AO18*AP23</f>
        <v>193.82204515272244</v>
      </c>
      <c r="AQ18" s="137">
        <f t="shared" si="11"/>
        <v>127.27397215616432</v>
      </c>
      <c r="AR18" s="137">
        <f t="shared" si="11"/>
        <v>90.074898874613169</v>
      </c>
      <c r="AS18" s="137">
        <f t="shared" si="11"/>
        <v>54.745911300445819</v>
      </c>
      <c r="AT18" s="137">
        <f t="shared" si="11"/>
        <v>35.772328342894049</v>
      </c>
      <c r="AU18" s="137">
        <f t="shared" si="11"/>
        <v>28.453392199175497</v>
      </c>
      <c r="AV18" s="137">
        <f t="shared" si="11"/>
        <v>19.162488623934518</v>
      </c>
      <c r="AW18" s="137">
        <f t="shared" si="11"/>
        <v>12.575383159457028</v>
      </c>
      <c r="AX18" s="137">
        <f t="shared" si="11"/>
        <v>16.168349776444749</v>
      </c>
      <c r="AY18" s="137">
        <f t="shared" si="11"/>
        <v>13.150257818175064</v>
      </c>
      <c r="AZ18" s="137">
        <f t="shared" si="11"/>
        <v>11.22582984478359</v>
      </c>
      <c r="BA18" s="137">
        <f t="shared" si="11"/>
        <v>15.235054789349158</v>
      </c>
      <c r="BB18" s="10">
        <f t="shared" si="0"/>
        <v>40258.659912038165</v>
      </c>
    </row>
    <row r="19" spans="1:67" x14ac:dyDescent="0.25">
      <c r="A19">
        <v>0.15224964427653206</v>
      </c>
      <c r="B19" s="16" t="s">
        <v>561</v>
      </c>
      <c r="C19" s="17">
        <f t="shared" si="7"/>
        <v>5842.979645599723</v>
      </c>
      <c r="D19" s="17">
        <f t="shared" si="8"/>
        <v>2868.7905711552553</v>
      </c>
      <c r="E19" s="17">
        <f>C19+C18</f>
        <v>5937.1301394057127</v>
      </c>
      <c r="F19" s="17">
        <f>D19+D18</f>
        <v>2915.0166519021977</v>
      </c>
      <c r="H19">
        <v>0.163540679403402</v>
      </c>
      <c r="I19" s="16" t="s">
        <v>561</v>
      </c>
      <c r="J19" s="17">
        <f t="shared" si="9"/>
        <v>7280.6362171748942</v>
      </c>
      <c r="K19" s="17">
        <f t="shared" si="10"/>
        <v>3559.789297454935</v>
      </c>
      <c r="L19" s="17">
        <f>J19+J18</f>
        <v>7420.5416866524047</v>
      </c>
      <c r="M19" s="17">
        <f>K19+K18</f>
        <v>3628.1945821093991</v>
      </c>
      <c r="R19" s="83">
        <v>2009</v>
      </c>
      <c r="AG19" s="10">
        <v>33167</v>
      </c>
      <c r="AH19" s="10">
        <v>5256</v>
      </c>
      <c r="AK19" s="83">
        <v>2008</v>
      </c>
      <c r="AL19" s="10">
        <v>33307</v>
      </c>
      <c r="AM19" s="10">
        <v>5682</v>
      </c>
      <c r="AN19" s="10">
        <v>367</v>
      </c>
      <c r="AO19" s="137">
        <f>AN19*AO23</f>
        <v>202.30478386167147</v>
      </c>
      <c r="AP19" s="137">
        <f>AO19*AP23</f>
        <v>148.52699603124486</v>
      </c>
      <c r="AQ19" s="137">
        <f>AP19*AQ23</f>
        <v>97.530808440413693</v>
      </c>
      <c r="AR19" s="137">
        <f t="shared" ref="AR19:BA19" si="12">AQ19*AR23</f>
        <v>69.024935409812613</v>
      </c>
      <c r="AS19" s="137">
        <f t="shared" si="12"/>
        <v>41.952120276314119</v>
      </c>
      <c r="AT19" s="137">
        <f t="shared" si="12"/>
        <v>27.412549824386076</v>
      </c>
      <c r="AU19" s="137">
        <f t="shared" si="12"/>
        <v>21.804005147672601</v>
      </c>
      <c r="AV19" s="137">
        <f t="shared" si="12"/>
        <v>14.68432999741216</v>
      </c>
      <c r="AW19" s="137">
        <f t="shared" si="12"/>
        <v>9.6365915608017296</v>
      </c>
      <c r="AX19" s="137">
        <f t="shared" si="12"/>
        <v>12.38990343531651</v>
      </c>
      <c r="AY19" s="137">
        <f t="shared" si="12"/>
        <v>10.077121460724095</v>
      </c>
      <c r="AZ19" s="137">
        <f t="shared" si="12"/>
        <v>8.6024207591547146</v>
      </c>
      <c r="BA19" s="137">
        <f t="shared" si="12"/>
        <v>11.674713887424256</v>
      </c>
      <c r="BB19" s="10">
        <f t="shared" si="0"/>
        <v>40031.621280092353</v>
      </c>
    </row>
    <row r="20" spans="1:67" x14ac:dyDescent="0.25">
      <c r="A20">
        <v>0.29613365389333202</v>
      </c>
      <c r="B20" s="16" t="s">
        <v>555</v>
      </c>
      <c r="C20" s="17">
        <f t="shared" si="7"/>
        <v>11364.90610732102</v>
      </c>
      <c r="D20" s="17">
        <f t="shared" si="8"/>
        <v>5579.9502069634354</v>
      </c>
      <c r="E20" s="17">
        <f>C20</f>
        <v>11364.90610732102</v>
      </c>
      <c r="F20" s="17">
        <f>D20</f>
        <v>5579.9502069634354</v>
      </c>
      <c r="H20">
        <v>0.2875991420162618</v>
      </c>
      <c r="I20" s="16" t="s">
        <v>555</v>
      </c>
      <c r="J20" s="17">
        <f t="shared" si="9"/>
        <v>12803.571178929955</v>
      </c>
      <c r="K20" s="17">
        <f t="shared" si="10"/>
        <v>6260.1693440525942</v>
      </c>
      <c r="L20" s="17">
        <f>J20</f>
        <v>12803.571178929955</v>
      </c>
      <c r="M20" s="17">
        <f>K20</f>
        <v>6260.1693440525942</v>
      </c>
      <c r="R20" s="83">
        <v>2010</v>
      </c>
      <c r="AH20" s="10">
        <v>33565</v>
      </c>
      <c r="AK20" s="83">
        <v>2009</v>
      </c>
      <c r="AL20" s="10">
        <v>33167</v>
      </c>
      <c r="AM20" s="10">
        <v>5256</v>
      </c>
      <c r="AN20" s="137">
        <f>AM20*AN23</f>
        <v>438.53349573690616</v>
      </c>
      <c r="AO20" s="137">
        <f>AN20*AO23</f>
        <v>241.73685033013086</v>
      </c>
      <c r="AP20" s="137">
        <f>AO20*AP23</f>
        <v>177.47701030213457</v>
      </c>
      <c r="AQ20" s="137">
        <f t="shared" ref="AQ20:BA20" si="13">AP20*AQ23</f>
        <v>116.54094378043915</v>
      </c>
      <c r="AR20" s="137">
        <f t="shared" si="13"/>
        <v>82.478872529371344</v>
      </c>
      <c r="AS20" s="137">
        <f t="shared" si="13"/>
        <v>50.129182447812461</v>
      </c>
      <c r="AT20" s="137">
        <f t="shared" si="13"/>
        <v>32.755643873433627</v>
      </c>
      <c r="AU20" s="137">
        <f t="shared" si="13"/>
        <v>26.053914437259849</v>
      </c>
      <c r="AV20" s="137">
        <f t="shared" si="13"/>
        <v>17.546513804685205</v>
      </c>
      <c r="AW20" s="137">
        <f t="shared" si="13"/>
        <v>11.514899684324666</v>
      </c>
      <c r="AX20" s="137">
        <f t="shared" si="13"/>
        <v>14.804871022703143</v>
      </c>
      <c r="AY20" s="137">
        <f t="shared" si="13"/>
        <v>12.041295098465223</v>
      </c>
      <c r="AZ20" s="137">
        <f t="shared" si="13"/>
        <v>10.27915435234836</v>
      </c>
      <c r="BA20" s="137">
        <f t="shared" si="13"/>
        <v>13.95028090675849</v>
      </c>
      <c r="BB20" s="10">
        <f t="shared" si="0"/>
        <v>39668.842928306774</v>
      </c>
    </row>
    <row r="21" spans="1:67" x14ac:dyDescent="0.25">
      <c r="A21">
        <v>0.26210686423629853</v>
      </c>
      <c r="B21" s="16" t="s">
        <v>559</v>
      </c>
      <c r="C21" s="17">
        <f t="shared" si="7"/>
        <v>10059.038758231944</v>
      </c>
      <c r="D21" s="17">
        <f t="shared" si="8"/>
        <v>4938.794467003343</v>
      </c>
      <c r="E21" s="17">
        <f t="shared" ref="E21:E24" si="14">C21</f>
        <v>10059.038758231944</v>
      </c>
      <c r="F21" s="17">
        <f t="shared" ref="F21:F24" si="15">D21</f>
        <v>4938.794467003343</v>
      </c>
      <c r="H21">
        <v>0.25465156881328876</v>
      </c>
      <c r="I21" s="16" t="s">
        <v>559</v>
      </c>
      <c r="J21" s="17">
        <f t="shared" si="9"/>
        <v>11336.784471153831</v>
      </c>
      <c r="K21" s="17">
        <f t="shared" si="10"/>
        <v>5542.9996533498379</v>
      </c>
      <c r="L21" s="17">
        <f t="shared" ref="L21:L24" si="16">J21</f>
        <v>11336.784471153831</v>
      </c>
      <c r="M21" s="17">
        <f t="shared" ref="M21:M24" si="17">K21</f>
        <v>5542.9996533498379</v>
      </c>
      <c r="AK21" s="138">
        <v>2010</v>
      </c>
      <c r="AL21" s="139">
        <v>33565</v>
      </c>
      <c r="AM21" s="139">
        <f>AL21*AM23</f>
        <v>8854.9076066893722</v>
      </c>
      <c r="AN21" s="139">
        <f t="shared" ref="AN21:BA21" si="18">AM21*AN23</f>
        <v>738.80776011963701</v>
      </c>
      <c r="AO21" s="139">
        <f t="shared" si="18"/>
        <v>407.25979353223101</v>
      </c>
      <c r="AP21" s="139">
        <f t="shared" si="18"/>
        <v>298.99972004125948</v>
      </c>
      <c r="AQ21" s="139">
        <f t="shared" si="18"/>
        <v>196.33928644828183</v>
      </c>
      <c r="AR21" s="139">
        <f t="shared" si="18"/>
        <v>138.95410878072556</v>
      </c>
      <c r="AS21" s="139">
        <f t="shared" si="18"/>
        <v>84.453820200581049</v>
      </c>
      <c r="AT21" s="139">
        <f t="shared" si="18"/>
        <v>55.184208542023512</v>
      </c>
      <c r="AU21" s="139">
        <f t="shared" si="18"/>
        <v>43.893646334575024</v>
      </c>
      <c r="AV21" s="139">
        <f t="shared" si="18"/>
        <v>29.561027123285218</v>
      </c>
      <c r="AW21" s="139">
        <f t="shared" si="18"/>
        <v>19.399424049655924</v>
      </c>
      <c r="AX21" s="139">
        <f t="shared" si="18"/>
        <v>24.942116635271905</v>
      </c>
      <c r="AY21" s="139">
        <f t="shared" si="18"/>
        <v>20.286254863354483</v>
      </c>
      <c r="AZ21" s="139">
        <f t="shared" si="18"/>
        <v>17.317534639448947</v>
      </c>
      <c r="BA21" s="139">
        <f t="shared" si="18"/>
        <v>23.502368439252145</v>
      </c>
      <c r="BB21" s="143">
        <f t="shared" si="0"/>
        <v>44518.808676438952</v>
      </c>
    </row>
    <row r="22" spans="1:67" x14ac:dyDescent="0.25">
      <c r="A22">
        <v>0.18122270742358079</v>
      </c>
      <c r="B22" s="16" t="s">
        <v>556</v>
      </c>
      <c r="C22" s="17">
        <f t="shared" si="7"/>
        <v>6954.8969774484613</v>
      </c>
      <c r="D22" s="17">
        <f t="shared" si="8"/>
        <v>3414.7205847766468</v>
      </c>
      <c r="E22" s="17">
        <f t="shared" si="14"/>
        <v>6954.8969774484613</v>
      </c>
      <c r="F22" s="17">
        <f t="shared" si="15"/>
        <v>3414.7205847766468</v>
      </c>
      <c r="H22">
        <v>0.18212201326881827</v>
      </c>
      <c r="I22" s="16" t="s">
        <v>556</v>
      </c>
      <c r="J22" s="17">
        <f t="shared" si="9"/>
        <v>8107.8550644823972</v>
      </c>
      <c r="K22" s="17">
        <f t="shared" si="10"/>
        <v>3964.2491154515687</v>
      </c>
      <c r="L22" s="17">
        <f t="shared" si="16"/>
        <v>8107.8550644823972</v>
      </c>
      <c r="M22" s="17">
        <f t="shared" si="17"/>
        <v>3964.2491154515687</v>
      </c>
    </row>
    <row r="23" spans="1:67" x14ac:dyDescent="0.25">
      <c r="A23">
        <v>8.1767332319317015E-2</v>
      </c>
      <c r="B23" s="16" t="s">
        <v>560</v>
      </c>
      <c r="C23" s="17">
        <f t="shared" si="7"/>
        <v>3138.035958553638</v>
      </c>
      <c r="D23" s="17">
        <f t="shared" si="8"/>
        <v>1540.7152712955956</v>
      </c>
      <c r="E23" s="17">
        <f t="shared" si="14"/>
        <v>3138.035958553638</v>
      </c>
      <c r="F23" s="17">
        <f t="shared" si="15"/>
        <v>1540.7152712955956</v>
      </c>
      <c r="H23">
        <v>8.7644036514191656E-2</v>
      </c>
      <c r="I23" s="16" t="s">
        <v>560</v>
      </c>
      <c r="J23" s="17">
        <f t="shared" si="9"/>
        <v>3901.808093206128</v>
      </c>
      <c r="K23" s="17">
        <f t="shared" si="10"/>
        <v>1907.7473831411687</v>
      </c>
      <c r="L23" s="17">
        <f t="shared" si="16"/>
        <v>3901.808093206128</v>
      </c>
      <c r="M23" s="17">
        <f t="shared" si="17"/>
        <v>1907.7473831411687</v>
      </c>
      <c r="AK23" s="135" t="s">
        <v>599</v>
      </c>
      <c r="AM23">
        <f>SUM(AM6:AM20)/SUM(AL6:AL20)</f>
        <v>0.2638137228270333</v>
      </c>
      <c r="AN23">
        <f>SUM(AN6:AN19)/SUM(AM6:AM19)</f>
        <v>8.3434835566382454E-2</v>
      </c>
      <c r="AO23">
        <f>SUM(AO6:AO18)/SUM(AN6:AN18)</f>
        <v>0.5512391930835735</v>
      </c>
      <c r="AP23">
        <f>SUM(AP6:AP17)/SUM(AO6:AO17)</f>
        <v>0.73417441345728196</v>
      </c>
      <c r="AQ23">
        <f>SUM(AQ6:AQ16)/SUM(AP6:AP16)</f>
        <v>0.65665374677002586</v>
      </c>
      <c r="AR23">
        <f>SUM(AR6:AR15)/SUM(AQ6:AQ15)</f>
        <v>0.70772442588726514</v>
      </c>
      <c r="AS23">
        <f>SUM(AS6:AS14)/SUM(AR6:AR14)</f>
        <v>0.60778210116731513</v>
      </c>
      <c r="AT23">
        <f>SUM(AT6:AT13)/SUM(AS6:AS13)</f>
        <v>0.65342465753424661</v>
      </c>
      <c r="AU23">
        <f>SUM(AU6:AU12)/SUM(AT6:AT12)</f>
        <v>0.79540229885057467</v>
      </c>
      <c r="AV23">
        <f>SUM(AV6:AV11)/SUM(AU6:AU11)</f>
        <v>0.67346938775510201</v>
      </c>
      <c r="AW23">
        <f>SUM(AW6:AW10)/SUM(AV6:AV10)</f>
        <v>0.65625</v>
      </c>
      <c r="AX23">
        <f>SUM(AX6:AX9)/SUM(AW6:AW9)</f>
        <v>1.2857142857142858</v>
      </c>
      <c r="AY23">
        <f>SUM(AY6:AY8)/SUM(AX6:AX8)</f>
        <v>0.81333333333333335</v>
      </c>
      <c r="AZ23">
        <f>SUM(AZ6:AZ7)/SUM(AY6:AY7)</f>
        <v>0.85365853658536583</v>
      </c>
      <c r="BA23">
        <f>BA6/AZ6</f>
        <v>1.3571428571428572</v>
      </c>
    </row>
    <row r="24" spans="1:67" x14ac:dyDescent="0.25">
      <c r="A24">
        <v>2.166233256464354E-2</v>
      </c>
      <c r="B24" s="16" t="s">
        <v>557</v>
      </c>
      <c r="C24" s="17">
        <f t="shared" si="7"/>
        <v>831.34886030688926</v>
      </c>
      <c r="D24" s="17">
        <f t="shared" si="8"/>
        <v>408.17629299550276</v>
      </c>
      <c r="E24" s="17">
        <f t="shared" si="14"/>
        <v>831.34886030688926</v>
      </c>
      <c r="F24" s="17">
        <f t="shared" si="15"/>
        <v>408.17629299550276</v>
      </c>
      <c r="H24">
        <v>1.9903227415573401E-2</v>
      </c>
      <c r="I24" s="16" t="s">
        <v>557</v>
      </c>
      <c r="J24" s="17">
        <f t="shared" si="9"/>
        <v>886.06797335756676</v>
      </c>
      <c r="K24" s="17">
        <f t="shared" si="10"/>
        <v>433.23346947827332</v>
      </c>
      <c r="L24" s="17">
        <f t="shared" si="16"/>
        <v>886.06797335756676</v>
      </c>
      <c r="M24" s="17">
        <f t="shared" si="17"/>
        <v>433.23346947827332</v>
      </c>
    </row>
    <row r="25" spans="1:67" x14ac:dyDescent="0.25">
      <c r="A25">
        <v>2.0362101957705704E-3</v>
      </c>
      <c r="B25" s="16" t="s">
        <v>558</v>
      </c>
      <c r="C25" s="17">
        <f t="shared" si="7"/>
        <v>78.144909858971474</v>
      </c>
      <c r="D25" s="17">
        <f t="shared" si="8"/>
        <v>38.36764701996232</v>
      </c>
      <c r="E25" s="17">
        <f>C25+C26</f>
        <v>92.26748392986994</v>
      </c>
      <c r="F25" s="17">
        <f>D25+D26</f>
        <v>45.301559132003703</v>
      </c>
      <c r="H25">
        <v>1.3218935501571308E-3</v>
      </c>
      <c r="I25" s="16" t="s">
        <v>558</v>
      </c>
      <c r="J25" s="17">
        <f t="shared" si="9"/>
        <v>58.849126050063965</v>
      </c>
      <c r="K25" s="17">
        <f t="shared" si="10"/>
        <v>28.77365148163971</v>
      </c>
      <c r="L25" s="17">
        <f>J25+J26</f>
        <v>62.180208656671361</v>
      </c>
      <c r="M25" s="17">
        <f>K25+K26</f>
        <v>30.402348735317428</v>
      </c>
    </row>
    <row r="26" spans="1:67" x14ac:dyDescent="0.25">
      <c r="A26">
        <v>3.6798979441636818E-4</v>
      </c>
      <c r="B26" s="36" t="s">
        <v>581</v>
      </c>
      <c r="C26" s="17">
        <f t="shared" si="7"/>
        <v>14.122574070898459</v>
      </c>
      <c r="D26" s="17">
        <f t="shared" si="8"/>
        <v>6.9339121120413836</v>
      </c>
      <c r="E26" s="130"/>
      <c r="F26" s="130"/>
      <c r="H26">
        <v>7.4824163216441367E-5</v>
      </c>
      <c r="I26" s="36" t="s">
        <v>581</v>
      </c>
      <c r="J26" s="17">
        <f t="shared" si="9"/>
        <v>3.331082606607394</v>
      </c>
      <c r="K26" s="17">
        <f t="shared" si="10"/>
        <v>1.6286972536777193</v>
      </c>
      <c r="L26" s="130"/>
      <c r="M26" s="130"/>
      <c r="R26" s="83" t="s">
        <v>1</v>
      </c>
      <c r="AK26" s="223" t="s">
        <v>1</v>
      </c>
      <c r="AL26" s="223"/>
      <c r="AM26" s="223"/>
      <c r="AN26" s="223"/>
      <c r="AO26" s="223"/>
      <c r="AP26" s="223"/>
      <c r="AQ26" s="223"/>
      <c r="AR26" s="223"/>
      <c r="AS26" s="223"/>
      <c r="AT26" s="223"/>
      <c r="AU26" s="223"/>
      <c r="AV26" s="223"/>
      <c r="AW26" s="223"/>
      <c r="AX26" s="223"/>
      <c r="AY26" s="223"/>
      <c r="AZ26" s="223"/>
      <c r="BA26" s="223"/>
      <c r="BB26" s="223"/>
    </row>
    <row r="27" spans="1:67" x14ac:dyDescent="0.25">
      <c r="E27" s="10"/>
      <c r="AL27" t="s">
        <v>598</v>
      </c>
    </row>
    <row r="28" spans="1:67" x14ac:dyDescent="0.25">
      <c r="B28" s="217" t="s">
        <v>565</v>
      </c>
      <c r="C28" s="218"/>
      <c r="D28" s="218"/>
      <c r="E28" s="218"/>
      <c r="F28" s="219"/>
      <c r="I28" s="182" t="s">
        <v>565</v>
      </c>
      <c r="J28" s="182"/>
      <c r="K28" s="182"/>
      <c r="L28" s="182"/>
      <c r="M28" s="182"/>
      <c r="S28">
        <v>1995</v>
      </c>
      <c r="T28">
        <v>1996</v>
      </c>
      <c r="U28">
        <v>1997</v>
      </c>
      <c r="V28">
        <v>1998</v>
      </c>
      <c r="W28">
        <v>1999</v>
      </c>
      <c r="X28">
        <v>2000</v>
      </c>
      <c r="Y28">
        <v>2001</v>
      </c>
      <c r="Z28">
        <v>2002</v>
      </c>
      <c r="AA28">
        <v>2003</v>
      </c>
      <c r="AB28">
        <v>2004</v>
      </c>
      <c r="AC28">
        <v>2005</v>
      </c>
      <c r="AD28">
        <v>2006</v>
      </c>
      <c r="AE28">
        <v>2007</v>
      </c>
      <c r="AF28">
        <v>2008</v>
      </c>
      <c r="AG28">
        <v>2009</v>
      </c>
      <c r="AH28">
        <v>2010</v>
      </c>
      <c r="AK28" t="s">
        <v>602</v>
      </c>
      <c r="AL28" s="136">
        <v>0</v>
      </c>
      <c r="AM28" s="136">
        <v>1</v>
      </c>
      <c r="AN28" s="136">
        <v>2</v>
      </c>
      <c r="AO28" s="136">
        <v>3</v>
      </c>
      <c r="AP28" s="136">
        <v>4</v>
      </c>
      <c r="AQ28" s="136">
        <v>5</v>
      </c>
      <c r="AR28" s="136">
        <v>6</v>
      </c>
      <c r="AS28" s="136">
        <v>7</v>
      </c>
      <c r="AT28" s="136">
        <v>8</v>
      </c>
      <c r="AU28" s="136">
        <v>9</v>
      </c>
      <c r="AV28" s="136">
        <v>10</v>
      </c>
      <c r="AW28" s="136">
        <v>11</v>
      </c>
      <c r="AX28" s="136">
        <v>12</v>
      </c>
      <c r="AY28" s="136">
        <v>13</v>
      </c>
      <c r="AZ28" s="136">
        <v>14</v>
      </c>
      <c r="BA28" s="136">
        <v>15</v>
      </c>
      <c r="BB28" s="148" t="s">
        <v>600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ht="17.25" x14ac:dyDescent="0.25">
      <c r="B29" s="145" t="s">
        <v>510</v>
      </c>
      <c r="C29" s="145" t="s">
        <v>564</v>
      </c>
      <c r="D29" s="129" t="s">
        <v>566</v>
      </c>
      <c r="E29" s="129" t="s">
        <v>567</v>
      </c>
      <c r="F29" s="129" t="s">
        <v>568</v>
      </c>
      <c r="I29" s="145" t="s">
        <v>510</v>
      </c>
      <c r="J29" s="145" t="s">
        <v>564</v>
      </c>
      <c r="K29" s="128" t="s">
        <v>566</v>
      </c>
      <c r="L29" s="128" t="s">
        <v>567</v>
      </c>
      <c r="M29" s="128" t="s">
        <v>568</v>
      </c>
      <c r="R29">
        <v>1995</v>
      </c>
      <c r="S29" s="10">
        <v>14109</v>
      </c>
      <c r="T29" s="10">
        <v>4230</v>
      </c>
      <c r="U29">
        <v>514</v>
      </c>
      <c r="V29">
        <v>254</v>
      </c>
      <c r="W29">
        <v>175</v>
      </c>
      <c r="X29">
        <v>143</v>
      </c>
      <c r="Y29">
        <v>65</v>
      </c>
      <c r="Z29">
        <v>5</v>
      </c>
      <c r="AA29">
        <v>13</v>
      </c>
      <c r="AB29">
        <v>12</v>
      </c>
      <c r="AC29">
        <v>17</v>
      </c>
      <c r="AD29">
        <v>6</v>
      </c>
      <c r="AE29">
        <v>9</v>
      </c>
      <c r="AF29">
        <v>12</v>
      </c>
      <c r="AG29">
        <v>9</v>
      </c>
      <c r="AH29">
        <v>10</v>
      </c>
      <c r="AK29" s="83">
        <v>1995</v>
      </c>
      <c r="AL29" s="10">
        <v>14109</v>
      </c>
      <c r="AM29" s="10">
        <v>4230</v>
      </c>
      <c r="AN29" s="10">
        <v>514</v>
      </c>
      <c r="AO29" s="10">
        <v>254</v>
      </c>
      <c r="AP29" s="10">
        <v>175</v>
      </c>
      <c r="AQ29" s="10">
        <v>143</v>
      </c>
      <c r="AR29" s="10">
        <v>65</v>
      </c>
      <c r="AS29" s="10">
        <v>5</v>
      </c>
      <c r="AT29" s="10">
        <v>13</v>
      </c>
      <c r="AU29" s="10">
        <v>12</v>
      </c>
      <c r="AV29" s="10">
        <v>17</v>
      </c>
      <c r="AW29" s="10">
        <v>6</v>
      </c>
      <c r="AX29" s="10">
        <v>9</v>
      </c>
      <c r="AY29" s="10">
        <v>12</v>
      </c>
      <c r="AZ29" s="10">
        <v>9</v>
      </c>
      <c r="BA29" s="10">
        <v>10</v>
      </c>
      <c r="BB29" s="149">
        <f>SUM(AL29:BA29)</f>
        <v>19583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x14ac:dyDescent="0.25">
      <c r="B30" s="16" t="s">
        <v>561</v>
      </c>
      <c r="C30" s="16">
        <f>'Tasas de crecimiento'!X14</f>
        <v>86345</v>
      </c>
      <c r="D30" s="16">
        <f>((E19)/C30)*1000</f>
        <v>68.7605552076636</v>
      </c>
      <c r="E30" s="16">
        <f>((F19)/C30)*1000</f>
        <v>33.760109466699845</v>
      </c>
      <c r="F30" s="16">
        <f>D30*(100/205)</f>
        <v>33.541734247640782</v>
      </c>
      <c r="I30" s="16" t="s">
        <v>561</v>
      </c>
      <c r="J30" s="16">
        <f>'Tasas de crecimiento'!Y14</f>
        <v>93459</v>
      </c>
      <c r="K30" s="16">
        <f>((L19)/J30)*1000</f>
        <v>79.39889883962384</v>
      </c>
      <c r="L30" s="16">
        <f>((M19)/J30)*1000</f>
        <v>38.821243348520731</v>
      </c>
      <c r="M30" s="16">
        <f>K30*(100/205)</f>
        <v>38.731170165670164</v>
      </c>
      <c r="R30">
        <v>1996</v>
      </c>
      <c r="T30" s="10">
        <v>13494</v>
      </c>
      <c r="U30" s="10">
        <v>3890</v>
      </c>
      <c r="V30">
        <v>501</v>
      </c>
      <c r="W30">
        <v>236</v>
      </c>
      <c r="X30">
        <v>151</v>
      </c>
      <c r="Y30">
        <v>114</v>
      </c>
      <c r="Z30">
        <v>11</v>
      </c>
      <c r="AA30">
        <v>23</v>
      </c>
      <c r="AB30">
        <v>21</v>
      </c>
      <c r="AC30">
        <v>17</v>
      </c>
      <c r="AD30">
        <v>10</v>
      </c>
      <c r="AE30">
        <v>11</v>
      </c>
      <c r="AF30">
        <v>13</v>
      </c>
      <c r="AG30">
        <v>12</v>
      </c>
      <c r="AH30">
        <v>13</v>
      </c>
      <c r="AK30" s="83">
        <v>1996</v>
      </c>
      <c r="AL30" s="10">
        <v>13494</v>
      </c>
      <c r="AM30" s="10">
        <v>3890</v>
      </c>
      <c r="AN30" s="10">
        <v>501</v>
      </c>
      <c r="AO30" s="10">
        <v>236</v>
      </c>
      <c r="AP30" s="10">
        <v>151</v>
      </c>
      <c r="AQ30" s="10">
        <v>114</v>
      </c>
      <c r="AR30" s="10">
        <v>11</v>
      </c>
      <c r="AS30" s="10">
        <v>23</v>
      </c>
      <c r="AT30" s="10">
        <v>21</v>
      </c>
      <c r="AU30" s="10">
        <v>17</v>
      </c>
      <c r="AV30" s="10">
        <v>10</v>
      </c>
      <c r="AW30" s="10">
        <v>11</v>
      </c>
      <c r="AX30" s="10">
        <v>13</v>
      </c>
      <c r="AY30" s="10">
        <v>12</v>
      </c>
      <c r="AZ30" s="10">
        <v>13</v>
      </c>
      <c r="BA30" s="137">
        <f>AZ30*BA46</f>
        <v>14.444444444444445</v>
      </c>
      <c r="BB30" s="149">
        <f t="shared" ref="BB30:BB44" si="19">SUM(AL30:BA30)</f>
        <v>18531.444444444445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25">
      <c r="B31" s="16" t="s">
        <v>555</v>
      </c>
      <c r="C31" s="16">
        <f>'Tasas de crecimiento'!X15</f>
        <v>79537</v>
      </c>
      <c r="D31" s="16">
        <f t="shared" ref="D31:D36" si="20">((E20)/C31)*1000</f>
        <v>142.88829233339226</v>
      </c>
      <c r="E31" s="16">
        <f t="shared" ref="E31:E36" si="21">((F20)/C31)*1000</f>
        <v>70.155401975978918</v>
      </c>
      <c r="F31" s="16">
        <f t="shared" ref="F31:F36" si="22">D31*(100/205)</f>
        <v>69.701606016288906</v>
      </c>
      <c r="I31" s="16" t="s">
        <v>555</v>
      </c>
      <c r="J31" s="16">
        <f>'Tasas de crecimiento'!Y15</f>
        <v>88963</v>
      </c>
      <c r="K31" s="16">
        <f t="shared" ref="K31:K36" si="23">((L20)/J31)*1000</f>
        <v>143.92018231096023</v>
      </c>
      <c r="L31" s="16">
        <f t="shared" ref="L31:L36" si="24">((M20)/J31)*1000</f>
        <v>70.368235604156709</v>
      </c>
      <c r="M31" s="16">
        <f t="shared" ref="M31:M36" si="25">K31*(100/205)</f>
        <v>70.204966980956215</v>
      </c>
      <c r="R31">
        <v>1997</v>
      </c>
      <c r="U31" s="10">
        <v>13167</v>
      </c>
      <c r="V31" s="10">
        <v>3909</v>
      </c>
      <c r="W31">
        <v>531</v>
      </c>
      <c r="X31">
        <v>228</v>
      </c>
      <c r="Y31">
        <v>132</v>
      </c>
      <c r="Z31">
        <v>21</v>
      </c>
      <c r="AA31">
        <v>54</v>
      </c>
      <c r="AB31">
        <v>47</v>
      </c>
      <c r="AC31">
        <v>35</v>
      </c>
      <c r="AD31">
        <v>20</v>
      </c>
      <c r="AE31">
        <v>17</v>
      </c>
      <c r="AF31">
        <v>15</v>
      </c>
      <c r="AG31">
        <v>16</v>
      </c>
      <c r="AH31">
        <v>16</v>
      </c>
      <c r="AK31" s="83">
        <v>1997</v>
      </c>
      <c r="AL31" s="10">
        <v>13167</v>
      </c>
      <c r="AM31" s="10">
        <v>3909</v>
      </c>
      <c r="AN31" s="10">
        <v>531</v>
      </c>
      <c r="AO31" s="10">
        <v>228</v>
      </c>
      <c r="AP31" s="10">
        <v>132</v>
      </c>
      <c r="AQ31" s="10">
        <v>21</v>
      </c>
      <c r="AR31" s="10">
        <v>54</v>
      </c>
      <c r="AS31" s="10">
        <v>47</v>
      </c>
      <c r="AT31" s="10">
        <v>35</v>
      </c>
      <c r="AU31" s="10">
        <v>20</v>
      </c>
      <c r="AV31" s="10">
        <v>17</v>
      </c>
      <c r="AW31" s="10">
        <v>15</v>
      </c>
      <c r="AX31" s="10">
        <v>16</v>
      </c>
      <c r="AY31" s="10">
        <v>16</v>
      </c>
      <c r="AZ31" s="137">
        <f>AY31*AZ46</f>
        <v>14.666666666666666</v>
      </c>
      <c r="BA31" s="137">
        <f>AZ31*BA46</f>
        <v>16.296296296296298</v>
      </c>
      <c r="BB31" s="149">
        <f t="shared" si="19"/>
        <v>18238.962962962964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25">
      <c r="B32" s="16" t="s">
        <v>559</v>
      </c>
      <c r="C32" s="16">
        <f>'Tasas de crecimiento'!X16</f>
        <v>73164</v>
      </c>
      <c r="D32" s="16">
        <f t="shared" si="20"/>
        <v>137.48617842425159</v>
      </c>
      <c r="E32" s="16">
        <f t="shared" si="21"/>
        <v>67.503067997968159</v>
      </c>
      <c r="F32" s="16">
        <f t="shared" si="22"/>
        <v>67.066428499634924</v>
      </c>
      <c r="I32" s="16" t="s">
        <v>559</v>
      </c>
      <c r="J32" s="16">
        <f>'Tasas de crecimiento'!Y16</f>
        <v>82052</v>
      </c>
      <c r="K32" s="16">
        <f t="shared" si="23"/>
        <v>138.16585179098414</v>
      </c>
      <c r="L32" s="16">
        <f t="shared" si="24"/>
        <v>67.554717171425906</v>
      </c>
      <c r="M32" s="16">
        <f t="shared" si="25"/>
        <v>67.397976483406893</v>
      </c>
      <c r="R32">
        <v>1998</v>
      </c>
      <c r="V32" s="10">
        <v>13870</v>
      </c>
      <c r="W32" s="10">
        <v>3979</v>
      </c>
      <c r="X32">
        <v>492</v>
      </c>
      <c r="Y32">
        <v>214</v>
      </c>
      <c r="Z32">
        <v>27</v>
      </c>
      <c r="AA32">
        <v>48</v>
      </c>
      <c r="AB32">
        <v>87</v>
      </c>
      <c r="AC32">
        <v>71</v>
      </c>
      <c r="AD32">
        <v>32</v>
      </c>
      <c r="AE32">
        <v>22</v>
      </c>
      <c r="AF32">
        <v>18</v>
      </c>
      <c r="AG32">
        <v>10</v>
      </c>
      <c r="AH32">
        <v>16</v>
      </c>
      <c r="AK32" s="83">
        <v>1998</v>
      </c>
      <c r="AL32" s="10">
        <v>13870</v>
      </c>
      <c r="AM32" s="10">
        <v>3979</v>
      </c>
      <c r="AN32" s="10">
        <v>492</v>
      </c>
      <c r="AO32" s="10">
        <v>214</v>
      </c>
      <c r="AP32" s="10">
        <v>27</v>
      </c>
      <c r="AQ32" s="10">
        <v>48</v>
      </c>
      <c r="AR32" s="10">
        <v>87</v>
      </c>
      <c r="AS32" s="10">
        <v>71</v>
      </c>
      <c r="AT32" s="10">
        <v>32</v>
      </c>
      <c r="AU32" s="10">
        <v>22</v>
      </c>
      <c r="AV32" s="10">
        <v>18</v>
      </c>
      <c r="AW32" s="10">
        <v>10</v>
      </c>
      <c r="AX32" s="10">
        <v>16</v>
      </c>
      <c r="AY32" s="137">
        <f>AX32*AY46</f>
        <v>16.842105263157894</v>
      </c>
      <c r="AZ32" s="137">
        <f t="shared" ref="AZ32:BA32" si="26">AY32*AZ46</f>
        <v>15.438596491228068</v>
      </c>
      <c r="BA32" s="137">
        <f t="shared" si="26"/>
        <v>17.15399610136452</v>
      </c>
      <c r="BB32" s="149">
        <f t="shared" si="19"/>
        <v>18935.434697855751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2:67" x14ac:dyDescent="0.25">
      <c r="B33" s="16" t="s">
        <v>556</v>
      </c>
      <c r="C33" s="16">
        <f>'Tasas de crecimiento'!X17</f>
        <v>67596</v>
      </c>
      <c r="D33" s="16">
        <f t="shared" si="20"/>
        <v>102.88917949950384</v>
      </c>
      <c r="E33" s="16">
        <f t="shared" si="21"/>
        <v>50.516607266356694</v>
      </c>
      <c r="F33" s="16">
        <f t="shared" si="22"/>
        <v>50.189843658294556</v>
      </c>
      <c r="I33" s="16" t="s">
        <v>556</v>
      </c>
      <c r="J33" s="16">
        <f>'Tasas de crecimiento'!Y17</f>
        <v>77978</v>
      </c>
      <c r="K33" s="16">
        <f t="shared" si="23"/>
        <v>103.9761864177383</v>
      </c>
      <c r="L33" s="16">
        <f t="shared" si="24"/>
        <v>50.838045544276191</v>
      </c>
      <c r="M33" s="16">
        <f t="shared" si="25"/>
        <v>50.720090935482098</v>
      </c>
      <c r="R33">
        <v>1999</v>
      </c>
      <c r="W33" s="10">
        <v>13952</v>
      </c>
      <c r="X33" s="10">
        <v>3970</v>
      </c>
      <c r="Y33">
        <v>410</v>
      </c>
      <c r="Z33">
        <v>42</v>
      </c>
      <c r="AA33">
        <v>78</v>
      </c>
      <c r="AB33">
        <v>137</v>
      </c>
      <c r="AC33">
        <v>106</v>
      </c>
      <c r="AD33">
        <v>53</v>
      </c>
      <c r="AE33">
        <v>29</v>
      </c>
      <c r="AF33">
        <v>28</v>
      </c>
      <c r="AG33">
        <v>13</v>
      </c>
      <c r="AH33">
        <v>15</v>
      </c>
      <c r="AK33" s="83">
        <v>1999</v>
      </c>
      <c r="AL33" s="10">
        <v>13952</v>
      </c>
      <c r="AM33" s="10">
        <v>3970</v>
      </c>
      <c r="AN33" s="10">
        <v>410</v>
      </c>
      <c r="AO33" s="10">
        <v>42</v>
      </c>
      <c r="AP33" s="10">
        <v>78</v>
      </c>
      <c r="AQ33" s="10">
        <v>137</v>
      </c>
      <c r="AR33" s="10">
        <v>106</v>
      </c>
      <c r="AS33" s="10">
        <v>53</v>
      </c>
      <c r="AT33" s="10">
        <v>29</v>
      </c>
      <c r="AU33" s="10">
        <v>28</v>
      </c>
      <c r="AV33" s="10">
        <v>13</v>
      </c>
      <c r="AW33" s="10">
        <v>15</v>
      </c>
      <c r="AX33" s="137">
        <f>AW33*AX46</f>
        <v>19.285714285714288</v>
      </c>
      <c r="AY33" s="137">
        <f t="shared" ref="AY33:BA33" si="27">AX33*AY46</f>
        <v>20.300751879699249</v>
      </c>
      <c r="AZ33" s="137">
        <f t="shared" si="27"/>
        <v>18.609022556390975</v>
      </c>
      <c r="BA33" s="137">
        <f t="shared" si="27"/>
        <v>20.676691729323306</v>
      </c>
      <c r="BB33" s="149">
        <f t="shared" si="19"/>
        <v>18911.872180451126</v>
      </c>
      <c r="BC33" s="37"/>
      <c r="BD33" s="37"/>
      <c r="BE33" s="220"/>
      <c r="BF33" s="220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2:67" x14ac:dyDescent="0.25">
      <c r="B34" s="16" t="s">
        <v>560</v>
      </c>
      <c r="C34" s="16">
        <f>'Tasas de crecimiento'!X18</f>
        <v>59307</v>
      </c>
      <c r="D34" s="16">
        <f t="shared" si="20"/>
        <v>52.91172978828196</v>
      </c>
      <c r="E34" s="16">
        <f t="shared" si="21"/>
        <v>25.978641160328387</v>
      </c>
      <c r="F34" s="16">
        <f t="shared" si="22"/>
        <v>25.810599896722906</v>
      </c>
      <c r="I34" s="16" t="s">
        <v>560</v>
      </c>
      <c r="J34" s="16">
        <f>'Tasas de crecimiento'!Y18</f>
        <v>72359</v>
      </c>
      <c r="K34" s="16">
        <f t="shared" si="23"/>
        <v>53.922913434488152</v>
      </c>
      <c r="L34" s="16">
        <f t="shared" si="24"/>
        <v>26.36503245126617</v>
      </c>
      <c r="M34" s="16">
        <f t="shared" si="25"/>
        <v>26.303860211945437</v>
      </c>
      <c r="R34">
        <v>2000</v>
      </c>
      <c r="X34" s="10">
        <v>14644</v>
      </c>
      <c r="Y34" s="10">
        <v>3974</v>
      </c>
      <c r="Z34">
        <v>141</v>
      </c>
      <c r="AA34">
        <v>175</v>
      </c>
      <c r="AB34">
        <v>225</v>
      </c>
      <c r="AC34">
        <v>212</v>
      </c>
      <c r="AD34">
        <v>123</v>
      </c>
      <c r="AE34">
        <v>55</v>
      </c>
      <c r="AF34">
        <v>47</v>
      </c>
      <c r="AG34">
        <v>32</v>
      </c>
      <c r="AH34">
        <v>16</v>
      </c>
      <c r="AK34" s="83">
        <v>2000</v>
      </c>
      <c r="AL34" s="10">
        <v>14644</v>
      </c>
      <c r="AM34" s="10">
        <v>3974</v>
      </c>
      <c r="AN34" s="10">
        <v>141</v>
      </c>
      <c r="AO34" s="10">
        <v>175</v>
      </c>
      <c r="AP34" s="10">
        <v>225</v>
      </c>
      <c r="AQ34" s="10">
        <v>212</v>
      </c>
      <c r="AR34" s="10">
        <v>123</v>
      </c>
      <c r="AS34" s="10">
        <v>55</v>
      </c>
      <c r="AT34" s="10">
        <v>47</v>
      </c>
      <c r="AU34" s="10">
        <v>32</v>
      </c>
      <c r="AV34" s="10">
        <v>16</v>
      </c>
      <c r="AW34" s="137">
        <f>AV34*AW46</f>
        <v>12.16</v>
      </c>
      <c r="AX34" s="137">
        <f t="shared" ref="AX34:BA34" si="28">AW34*AX46</f>
        <v>15.634285714285715</v>
      </c>
      <c r="AY34" s="137">
        <f t="shared" si="28"/>
        <v>16.457142857142856</v>
      </c>
      <c r="AZ34" s="137">
        <f t="shared" si="28"/>
        <v>15.085714285714284</v>
      </c>
      <c r="BA34" s="137">
        <f t="shared" si="28"/>
        <v>16.761904761904759</v>
      </c>
      <c r="BB34" s="149">
        <f t="shared" si="19"/>
        <v>19720.099047619045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2:67" x14ac:dyDescent="0.25">
      <c r="B35" s="16" t="s">
        <v>557</v>
      </c>
      <c r="C35" s="16">
        <f>'Tasas de crecimiento'!X19</f>
        <v>48552</v>
      </c>
      <c r="D35" s="16">
        <f t="shared" si="20"/>
        <v>17.122855089530592</v>
      </c>
      <c r="E35" s="16">
        <f t="shared" si="21"/>
        <v>8.406992358615561</v>
      </c>
      <c r="F35" s="16">
        <f t="shared" si="22"/>
        <v>8.3526122387954107</v>
      </c>
      <c r="I35" s="16" t="s">
        <v>557</v>
      </c>
      <c r="J35" s="16">
        <f>'Tasas de crecimiento'!Y19</f>
        <v>61473</v>
      </c>
      <c r="K35" s="16">
        <f t="shared" si="23"/>
        <v>14.413937392962223</v>
      </c>
      <c r="L35" s="16">
        <f t="shared" si="24"/>
        <v>7.0475407004420365</v>
      </c>
      <c r="M35" s="16">
        <f t="shared" si="25"/>
        <v>7.031188972176694</v>
      </c>
      <c r="R35">
        <v>2001</v>
      </c>
      <c r="Y35" s="10">
        <v>13819</v>
      </c>
      <c r="Z35" s="10">
        <v>4263</v>
      </c>
      <c r="AA35">
        <v>144</v>
      </c>
      <c r="AB35">
        <v>230</v>
      </c>
      <c r="AC35">
        <v>266</v>
      </c>
      <c r="AD35">
        <v>114</v>
      </c>
      <c r="AE35">
        <v>90</v>
      </c>
      <c r="AF35">
        <v>42</v>
      </c>
      <c r="AG35">
        <v>29</v>
      </c>
      <c r="AH35">
        <v>28</v>
      </c>
      <c r="AK35" s="83">
        <v>2001</v>
      </c>
      <c r="AL35" s="10">
        <v>13819</v>
      </c>
      <c r="AM35" s="10">
        <v>4263</v>
      </c>
      <c r="AN35" s="10">
        <v>144</v>
      </c>
      <c r="AO35" s="10">
        <v>230</v>
      </c>
      <c r="AP35" s="10">
        <v>266</v>
      </c>
      <c r="AQ35" s="10">
        <v>114</v>
      </c>
      <c r="AR35" s="10">
        <v>90</v>
      </c>
      <c r="AS35" s="10">
        <v>42</v>
      </c>
      <c r="AT35" s="10">
        <v>29</v>
      </c>
      <c r="AU35" s="10">
        <v>28</v>
      </c>
      <c r="AV35" s="137">
        <f>AU35*AV46</f>
        <v>19.450381679389313</v>
      </c>
      <c r="AW35" s="137">
        <f t="shared" ref="AW35:BA35" si="29">AV35*AW46</f>
        <v>14.782290076335878</v>
      </c>
      <c r="AX35" s="137">
        <f t="shared" si="29"/>
        <v>19.005801526717558</v>
      </c>
      <c r="AY35" s="137">
        <f t="shared" si="29"/>
        <v>20.006106870229008</v>
      </c>
      <c r="AZ35" s="137">
        <f t="shared" si="29"/>
        <v>18.338931297709923</v>
      </c>
      <c r="BA35" s="137">
        <f t="shared" si="29"/>
        <v>20.376590330788805</v>
      </c>
      <c r="BB35" s="149">
        <f t="shared" si="19"/>
        <v>19136.960101781169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2:67" x14ac:dyDescent="0.25">
      <c r="B36" s="16" t="s">
        <v>558</v>
      </c>
      <c r="C36" s="16">
        <f>'Tasas de crecimiento'!X20</f>
        <v>38673</v>
      </c>
      <c r="D36" s="16">
        <f t="shared" si="20"/>
        <v>2.3858372489817166</v>
      </c>
      <c r="E36" s="16">
        <f t="shared" si="21"/>
        <v>1.1714001792465984</v>
      </c>
      <c r="F36" s="16">
        <f t="shared" si="22"/>
        <v>1.1638230482837641</v>
      </c>
      <c r="I36" s="16" t="s">
        <v>558</v>
      </c>
      <c r="J36" s="16">
        <f>'Tasas de crecimiento'!Y20</f>
        <v>49886</v>
      </c>
      <c r="K36" s="16">
        <f t="shared" si="23"/>
        <v>1.2464460701734226</v>
      </c>
      <c r="L36" s="16">
        <f t="shared" si="24"/>
        <v>0.60943648990332822</v>
      </c>
      <c r="M36" s="16">
        <f t="shared" si="25"/>
        <v>0.6080224732553281</v>
      </c>
      <c r="R36">
        <v>2002</v>
      </c>
      <c r="Z36" s="10">
        <v>14078</v>
      </c>
      <c r="AA36" s="10">
        <v>4299</v>
      </c>
      <c r="AB36">
        <v>148</v>
      </c>
      <c r="AC36">
        <v>266</v>
      </c>
      <c r="AD36">
        <v>154</v>
      </c>
      <c r="AE36">
        <v>70</v>
      </c>
      <c r="AF36">
        <v>51</v>
      </c>
      <c r="AG36">
        <v>37</v>
      </c>
      <c r="AH36">
        <v>17</v>
      </c>
      <c r="AK36" s="83">
        <v>2002</v>
      </c>
      <c r="AL36" s="10">
        <v>14078</v>
      </c>
      <c r="AM36" s="10">
        <v>4299</v>
      </c>
      <c r="AN36" s="10">
        <v>148</v>
      </c>
      <c r="AO36" s="10">
        <v>266</v>
      </c>
      <c r="AP36" s="10">
        <v>154</v>
      </c>
      <c r="AQ36" s="10">
        <v>70</v>
      </c>
      <c r="AR36" s="10">
        <v>51</v>
      </c>
      <c r="AS36" s="10">
        <v>37</v>
      </c>
      <c r="AT36" s="10">
        <v>17</v>
      </c>
      <c r="AU36" s="137">
        <f>AT36*AU46</f>
        <v>13.121359223300971</v>
      </c>
      <c r="AV36" s="137">
        <f t="shared" ref="AV36:BA36" si="30">AU36*AV46</f>
        <v>9.1148373230564008</v>
      </c>
      <c r="AW36" s="137">
        <f t="shared" si="30"/>
        <v>6.9272763655228644</v>
      </c>
      <c r="AX36" s="137">
        <f t="shared" si="30"/>
        <v>8.9064981842436843</v>
      </c>
      <c r="AY36" s="137">
        <f t="shared" si="30"/>
        <v>9.3752612465722986</v>
      </c>
      <c r="AZ36" s="137">
        <f t="shared" si="30"/>
        <v>8.5939894760246069</v>
      </c>
      <c r="BA36" s="137">
        <f t="shared" si="30"/>
        <v>9.5488771955828966</v>
      </c>
      <c r="BB36" s="149">
        <f t="shared" si="19"/>
        <v>19185.588099014301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2:67" x14ac:dyDescent="0.25">
      <c r="R37">
        <v>2003</v>
      </c>
      <c r="AA37" s="10">
        <v>13957</v>
      </c>
      <c r="AB37" s="10">
        <v>4426</v>
      </c>
      <c r="AC37">
        <v>309</v>
      </c>
      <c r="AD37">
        <v>157</v>
      </c>
      <c r="AE37">
        <v>108</v>
      </c>
      <c r="AF37">
        <v>59</v>
      </c>
      <c r="AG37">
        <v>56</v>
      </c>
      <c r="AH37">
        <v>25</v>
      </c>
      <c r="AK37" s="83">
        <v>2003</v>
      </c>
      <c r="AL37" s="10">
        <v>13957</v>
      </c>
      <c r="AM37" s="10">
        <v>4426</v>
      </c>
      <c r="AN37" s="10">
        <v>309</v>
      </c>
      <c r="AO37" s="10">
        <v>157</v>
      </c>
      <c r="AP37" s="10">
        <v>108</v>
      </c>
      <c r="AQ37" s="10">
        <v>59</v>
      </c>
      <c r="AR37" s="10">
        <v>56</v>
      </c>
      <c r="AS37" s="10">
        <v>25</v>
      </c>
      <c r="AT37" s="137">
        <f>AS37*AT46</f>
        <v>16.741741741741741</v>
      </c>
      <c r="AU37" s="137">
        <f t="shared" ref="AU37:BA37" si="31">AT37*AU46</f>
        <v>12.922023965713285</v>
      </c>
      <c r="AV37" s="137">
        <f t="shared" si="31"/>
        <v>8.9763677929764043</v>
      </c>
      <c r="AW37" s="137">
        <f t="shared" si="31"/>
        <v>6.8220395226620676</v>
      </c>
      <c r="AX37" s="137">
        <f t="shared" si="31"/>
        <v>8.7711936719940873</v>
      </c>
      <c r="AY37" s="137">
        <f t="shared" si="31"/>
        <v>9.2328354442043015</v>
      </c>
      <c r="AZ37" s="137">
        <f t="shared" si="31"/>
        <v>8.46343249052061</v>
      </c>
      <c r="BA37" s="137">
        <f t="shared" si="31"/>
        <v>9.4038138783562335</v>
      </c>
      <c r="BB37" s="149">
        <f t="shared" si="19"/>
        <v>19178.333448508169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2:67" x14ac:dyDescent="0.25">
      <c r="R38">
        <v>2004</v>
      </c>
      <c r="AB38" s="10">
        <v>14434</v>
      </c>
      <c r="AC38" s="10">
        <v>4199</v>
      </c>
      <c r="AD38">
        <v>244</v>
      </c>
      <c r="AE38">
        <v>161</v>
      </c>
      <c r="AF38">
        <v>124</v>
      </c>
      <c r="AG38">
        <v>49</v>
      </c>
      <c r="AH38">
        <v>36</v>
      </c>
      <c r="AK38" s="83">
        <v>2004</v>
      </c>
      <c r="AL38" s="10">
        <v>14434</v>
      </c>
      <c r="AM38" s="10">
        <v>4199</v>
      </c>
      <c r="AN38" s="10">
        <v>244</v>
      </c>
      <c r="AO38" s="10">
        <v>161</v>
      </c>
      <c r="AP38" s="10">
        <v>124</v>
      </c>
      <c r="AQ38" s="10">
        <v>49</v>
      </c>
      <c r="AR38" s="10">
        <v>36</v>
      </c>
      <c r="AS38" s="137">
        <f>AR38*AS46</f>
        <v>20.043545878693621</v>
      </c>
      <c r="AT38" s="137">
        <f t="shared" ref="AT38:BA38" si="32">AS38*AT46</f>
        <v>13.422554747593626</v>
      </c>
      <c r="AU38" s="137">
        <f t="shared" si="32"/>
        <v>10.360127208094109</v>
      </c>
      <c r="AV38" s="137">
        <f t="shared" si="32"/>
        <v>7.1967295873020154</v>
      </c>
      <c r="AW38" s="137">
        <f t="shared" si="32"/>
        <v>5.4695144863495315</v>
      </c>
      <c r="AX38" s="137">
        <f t="shared" si="32"/>
        <v>7.0322329110208264</v>
      </c>
      <c r="AY38" s="137">
        <f t="shared" si="32"/>
        <v>7.4023504326535008</v>
      </c>
      <c r="AZ38" s="137">
        <f t="shared" si="32"/>
        <v>6.7854878965990419</v>
      </c>
      <c r="BA38" s="137">
        <f t="shared" si="32"/>
        <v>7.5394309962211583</v>
      </c>
      <c r="BB38" s="149">
        <f t="shared" si="19"/>
        <v>19332.251974144529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2:67" x14ac:dyDescent="0.25">
      <c r="R39">
        <v>2005</v>
      </c>
      <c r="AC39" s="10">
        <v>15135</v>
      </c>
      <c r="AD39" s="10">
        <v>3635</v>
      </c>
      <c r="AE39">
        <v>271</v>
      </c>
      <c r="AF39">
        <v>159</v>
      </c>
      <c r="AG39">
        <v>121</v>
      </c>
      <c r="AH39">
        <v>60</v>
      </c>
      <c r="AK39" s="140">
        <v>2005</v>
      </c>
      <c r="AL39" s="141">
        <v>15135</v>
      </c>
      <c r="AM39" s="141">
        <v>3635</v>
      </c>
      <c r="AN39" s="141">
        <v>271</v>
      </c>
      <c r="AO39" s="141">
        <v>159</v>
      </c>
      <c r="AP39" s="141">
        <v>121</v>
      </c>
      <c r="AQ39" s="141">
        <v>60</v>
      </c>
      <c r="AR39" s="141">
        <f>AQ39*AR46</f>
        <v>42.130299896587388</v>
      </c>
      <c r="AS39" s="141">
        <f>AR39*AS46</f>
        <v>23.456683301676957</v>
      </c>
      <c r="AT39" s="141">
        <f t="shared" ref="AT39:BA39" si="33">AS39*AT46</f>
        <v>15.708229358180064</v>
      </c>
      <c r="AU39" s="141">
        <f t="shared" si="33"/>
        <v>12.124312951216652</v>
      </c>
      <c r="AV39" s="141">
        <f t="shared" si="33"/>
        <v>8.4222326607688203</v>
      </c>
      <c r="AW39" s="141">
        <f t="shared" si="33"/>
        <v>6.4008968221843032</v>
      </c>
      <c r="AX39" s="141">
        <f t="shared" si="33"/>
        <v>8.2297244856655336</v>
      </c>
      <c r="AY39" s="141">
        <f t="shared" si="33"/>
        <v>8.6628678796479299</v>
      </c>
      <c r="AZ39" s="141">
        <f t="shared" si="33"/>
        <v>7.9409622230106018</v>
      </c>
      <c r="BA39" s="141">
        <f t="shared" si="33"/>
        <v>8.8232913589006685</v>
      </c>
      <c r="BB39" s="141">
        <f t="shared" si="19"/>
        <v>19522.899500937845</v>
      </c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</row>
    <row r="40" spans="2:67" x14ac:dyDescent="0.25">
      <c r="R40">
        <v>2006</v>
      </c>
      <c r="AD40" s="10">
        <v>14898</v>
      </c>
      <c r="AE40" s="10">
        <v>3985</v>
      </c>
      <c r="AF40">
        <v>294</v>
      </c>
      <c r="AG40">
        <v>135</v>
      </c>
      <c r="AH40">
        <v>104</v>
      </c>
      <c r="AK40" s="83">
        <v>2006</v>
      </c>
      <c r="AL40" s="10">
        <v>14898</v>
      </c>
      <c r="AM40" s="10">
        <v>3985</v>
      </c>
      <c r="AN40" s="10">
        <v>294</v>
      </c>
      <c r="AO40" s="10">
        <v>135</v>
      </c>
      <c r="AP40" s="10">
        <v>104</v>
      </c>
      <c r="AQ40" s="137">
        <f>AP40*AQ46</f>
        <v>68.422805893657909</v>
      </c>
      <c r="AR40" s="137">
        <f t="shared" ref="AR40:BA40" si="34">AQ40*AR46</f>
        <v>48.044555534429911</v>
      </c>
      <c r="AS40" s="137">
        <f t="shared" si="34"/>
        <v>26.749534807660819</v>
      </c>
      <c r="AT40" s="137">
        <f t="shared" si="34"/>
        <v>17.913352138463551</v>
      </c>
      <c r="AU40" s="137">
        <f t="shared" si="34"/>
        <v>13.826325194250993</v>
      </c>
      <c r="AV40" s="137">
        <f t="shared" si="34"/>
        <v>9.604546508983514</v>
      </c>
      <c r="AW40" s="137">
        <f t="shared" si="34"/>
        <v>7.2994553468274708</v>
      </c>
      <c r="AX40" s="137">
        <f t="shared" si="34"/>
        <v>9.3850140173496062</v>
      </c>
      <c r="AY40" s="137">
        <f t="shared" si="34"/>
        <v>9.8789621235259002</v>
      </c>
      <c r="AZ40" s="137">
        <f t="shared" si="34"/>
        <v>9.0557152798987417</v>
      </c>
      <c r="BA40" s="137">
        <f t="shared" si="34"/>
        <v>10.061905866554158</v>
      </c>
      <c r="BB40" s="149">
        <f t="shared" si="19"/>
        <v>19646.242172711602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</row>
    <row r="41" spans="2:67" ht="18.75" x14ac:dyDescent="0.3">
      <c r="B41" s="215" t="s">
        <v>574</v>
      </c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R41">
        <v>2007</v>
      </c>
      <c r="AE41" s="10">
        <v>16669</v>
      </c>
      <c r="AF41" s="10">
        <v>3183</v>
      </c>
      <c r="AG41">
        <v>250</v>
      </c>
      <c r="AH41">
        <v>139</v>
      </c>
      <c r="AK41" s="83">
        <v>2007</v>
      </c>
      <c r="AL41" s="10">
        <v>16669</v>
      </c>
      <c r="AM41" s="10">
        <v>3183</v>
      </c>
      <c r="AN41" s="10">
        <v>250</v>
      </c>
      <c r="AO41" s="10">
        <v>139</v>
      </c>
      <c r="AP41" s="137">
        <f>AO41*AP46</f>
        <v>102.54098360655739</v>
      </c>
      <c r="AQ41" s="137">
        <f t="shared" ref="AQ41:BA41" si="35">AP41*AQ46</f>
        <v>67.462902090925326</v>
      </c>
      <c r="AR41" s="137">
        <f t="shared" si="35"/>
        <v>47.370538283079938</v>
      </c>
      <c r="AS41" s="137">
        <f t="shared" si="35"/>
        <v>26.374265482647925</v>
      </c>
      <c r="AT41" s="137">
        <f t="shared" si="35"/>
        <v>17.662045653545007</v>
      </c>
      <c r="AU41" s="137">
        <f t="shared" si="35"/>
        <v>13.632355625794448</v>
      </c>
      <c r="AV41" s="137">
        <f t="shared" si="35"/>
        <v>9.4698042896740056</v>
      </c>
      <c r="AW41" s="137">
        <f t="shared" si="35"/>
        <v>7.1970512601522447</v>
      </c>
      <c r="AX41" s="137">
        <f t="shared" si="35"/>
        <v>9.253351620195744</v>
      </c>
      <c r="AY41" s="137">
        <f t="shared" si="35"/>
        <v>9.7403701265218352</v>
      </c>
      <c r="AZ41" s="137">
        <f t="shared" si="35"/>
        <v>8.928672615978348</v>
      </c>
      <c r="BA41" s="137">
        <f t="shared" si="35"/>
        <v>9.9207473510870532</v>
      </c>
      <c r="BB41" s="149">
        <f t="shared" si="19"/>
        <v>20570.553088006163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2:67" x14ac:dyDescent="0.25">
      <c r="R42">
        <v>2008</v>
      </c>
      <c r="AF42" s="10">
        <v>16951</v>
      </c>
      <c r="AG42" s="10">
        <v>2820</v>
      </c>
      <c r="AH42">
        <v>192</v>
      </c>
      <c r="AK42" s="83">
        <v>2008</v>
      </c>
      <c r="AL42" s="10">
        <v>16951</v>
      </c>
      <c r="AM42" s="10">
        <v>2820</v>
      </c>
      <c r="AN42" s="10">
        <v>192</v>
      </c>
      <c r="AO42" s="137">
        <f>AN42*AO46</f>
        <v>108.26829842315838</v>
      </c>
      <c r="AP42" s="137">
        <f t="shared" ref="AP42:BA42" si="36">AO42*AP46</f>
        <v>79.87005621380537</v>
      </c>
      <c r="AQ42" s="137">
        <f t="shared" si="36"/>
        <v>52.547436086853367</v>
      </c>
      <c r="AR42" s="137">
        <f t="shared" si="36"/>
        <v>36.897320685598181</v>
      </c>
      <c r="AS42" s="137">
        <f t="shared" si="36"/>
        <v>20.54314277674051</v>
      </c>
      <c r="AT42" s="137">
        <f t="shared" si="36"/>
        <v>13.757119637276677</v>
      </c>
      <c r="AU42" s="137">
        <f t="shared" si="36"/>
        <v>10.618359331684426</v>
      </c>
      <c r="AV42" s="137">
        <f t="shared" si="36"/>
        <v>7.376112207505976</v>
      </c>
      <c r="AW42" s="137">
        <f t="shared" si="36"/>
        <v>5.6058452777045416</v>
      </c>
      <c r="AX42" s="137">
        <f t="shared" si="36"/>
        <v>7.2075153570486972</v>
      </c>
      <c r="AY42" s="137">
        <f t="shared" si="36"/>
        <v>7.5868582705775758</v>
      </c>
      <c r="AZ42" s="137">
        <f t="shared" si="36"/>
        <v>6.9546200813627772</v>
      </c>
      <c r="BA42" s="137">
        <f t="shared" si="36"/>
        <v>7.7273556459586414</v>
      </c>
      <c r="BB42" s="149">
        <f t="shared" si="19"/>
        <v>20327.960039995272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2:67" x14ac:dyDescent="0.25">
      <c r="C43" s="216" t="s">
        <v>562</v>
      </c>
      <c r="D43" s="216"/>
      <c r="J43" s="182" t="s">
        <v>562</v>
      </c>
      <c r="K43" s="182"/>
      <c r="R43">
        <v>2009</v>
      </c>
      <c r="AG43" s="10">
        <v>16984</v>
      </c>
      <c r="AH43" s="10">
        <v>2724</v>
      </c>
      <c r="AK43" s="83">
        <v>2009</v>
      </c>
      <c r="AL43" s="10">
        <v>16984</v>
      </c>
      <c r="AM43" s="10">
        <v>2724</v>
      </c>
      <c r="AN43" s="137">
        <f>AM43*AN46</f>
        <v>220.90654103210255</v>
      </c>
      <c r="AO43" s="137">
        <f t="shared" ref="AO43:BA43" si="37">AN43*AO46</f>
        <v>124.56862139630917</v>
      </c>
      <c r="AP43" s="137">
        <f t="shared" si="37"/>
        <v>91.894884636621526</v>
      </c>
      <c r="AQ43" s="137">
        <f t="shared" si="37"/>
        <v>60.458710135688854</v>
      </c>
      <c r="AR43" s="137">
        <f t="shared" si="37"/>
        <v>42.452393156290313</v>
      </c>
      <c r="AS43" s="137">
        <f t="shared" si="37"/>
        <v>23.636013608012334</v>
      </c>
      <c r="AT43" s="137">
        <f t="shared" si="37"/>
        <v>15.828321425185438</v>
      </c>
      <c r="AU43" s="137">
        <f t="shared" si="37"/>
        <v>12.21700537186643</v>
      </c>
      <c r="AV43" s="137">
        <f t="shared" si="37"/>
        <v>8.4866220522125584</v>
      </c>
      <c r="AW43" s="137">
        <f t="shared" si="37"/>
        <v>6.4498327596815441</v>
      </c>
      <c r="AX43" s="137">
        <f t="shared" si="37"/>
        <v>8.2926421195905569</v>
      </c>
      <c r="AY43" s="137">
        <f t="shared" si="37"/>
        <v>8.7290969679900599</v>
      </c>
      <c r="AZ43" s="137">
        <f t="shared" si="37"/>
        <v>8.0016722206575537</v>
      </c>
      <c r="BA43" s="137">
        <f t="shared" si="37"/>
        <v>8.8907469118417275</v>
      </c>
      <c r="BB43" s="149">
        <f t="shared" si="19"/>
        <v>20348.813103794047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2:67" x14ac:dyDescent="0.25">
      <c r="C44" s="16" t="s">
        <v>575</v>
      </c>
      <c r="D44" s="16">
        <f>SUM(D30:D36)</f>
        <v>524.44462759160558</v>
      </c>
      <c r="J44" s="16" t="s">
        <v>575</v>
      </c>
      <c r="K44" s="16">
        <f>SUM(K30:K36)</f>
        <v>535.04441625693028</v>
      </c>
      <c r="R44">
        <v>2010</v>
      </c>
      <c r="AH44" s="10">
        <v>17198</v>
      </c>
      <c r="AK44" s="138">
        <v>2010</v>
      </c>
      <c r="AL44" s="139">
        <v>17198</v>
      </c>
      <c r="AM44" s="139">
        <f>AL44*AM46</f>
        <v>4490.5511330344607</v>
      </c>
      <c r="AN44" s="139">
        <f t="shared" ref="AN44:BA44" si="38">AM44*AN46</f>
        <v>364.16744424612034</v>
      </c>
      <c r="AO44" s="139">
        <f t="shared" si="38"/>
        <v>205.35307046686381</v>
      </c>
      <c r="AP44" s="139">
        <f t="shared" si="38"/>
        <v>151.48997001653888</v>
      </c>
      <c r="AQ44" s="139">
        <f t="shared" si="38"/>
        <v>99.66700781997784</v>
      </c>
      <c r="AR44" s="139">
        <f t="shared" si="38"/>
        <v>69.983348820853109</v>
      </c>
      <c r="AS44" s="139">
        <f t="shared" si="38"/>
        <v>38.964290634316349</v>
      </c>
      <c r="AT44" s="139">
        <f t="shared" si="38"/>
        <v>26.093203637995632</v>
      </c>
      <c r="AU44" s="139">
        <f t="shared" si="38"/>
        <v>20.139899895346144</v>
      </c>
      <c r="AV44" s="139">
        <f t="shared" si="38"/>
        <v>13.990312141041979</v>
      </c>
      <c r="AW44" s="139">
        <f t="shared" si="38"/>
        <v>10.632637227191905</v>
      </c>
      <c r="AX44" s="139">
        <f t="shared" si="38"/>
        <v>13.670533577818166</v>
      </c>
      <c r="AY44" s="139">
        <f t="shared" si="38"/>
        <v>14.390035345071752</v>
      </c>
      <c r="AZ44" s="139">
        <f t="shared" si="38"/>
        <v>13.190865732982438</v>
      </c>
      <c r="BA44" s="139">
        <f t="shared" si="38"/>
        <v>14.656517481091598</v>
      </c>
      <c r="BB44" s="139">
        <f t="shared" si="19"/>
        <v>22744.940270077674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2:67" x14ac:dyDescent="0.25">
      <c r="C45" s="124" t="s">
        <v>553</v>
      </c>
      <c r="D45" s="16">
        <f>5*D44/1000</f>
        <v>2.6222231379580281</v>
      </c>
      <c r="J45" s="126" t="s">
        <v>553</v>
      </c>
      <c r="K45" s="16">
        <f>5*K44/1000</f>
        <v>2.6752220812846512</v>
      </c>
    </row>
    <row r="46" spans="2:67" x14ac:dyDescent="0.25">
      <c r="AK46" t="s">
        <v>599</v>
      </c>
      <c r="AM46">
        <f>SUM(AM29:AM43)/SUM(AL29:AL43)</f>
        <v>0.26110891574802075</v>
      </c>
      <c r="AN46">
        <f>SUM(AN29:AN42)/SUM(AM29:AM42)</f>
        <v>8.1096380701946608E-2</v>
      </c>
      <c r="AO46">
        <f>SUM(AO29:AO41)/SUM(AN29:AN41)</f>
        <v>0.56389738762061659</v>
      </c>
      <c r="AP46">
        <f>SUM(AP29:AP40)/SUM(AO29:AO40)</f>
        <v>0.73770491803278693</v>
      </c>
      <c r="AQ46">
        <f>SUM(AQ29:AQ39)/SUM(AP29:AP39)</f>
        <v>0.65791159513132602</v>
      </c>
      <c r="AR46">
        <f>SUM(AR29:AR38)/SUM(AQ29:AQ38)</f>
        <v>0.70217166494312311</v>
      </c>
      <c r="AS46">
        <f>SUM(AS29:AS37)/SUM(AR29:AR37)</f>
        <v>0.55676516329704506</v>
      </c>
      <c r="AT46">
        <f>SUM(AT29:AT36)/SUM(AS29:AS36)</f>
        <v>0.66966966966966968</v>
      </c>
      <c r="AU46">
        <f>SUM(AU29:AU35)/SUM(AT29:AT35)</f>
        <v>0.77184466019417475</v>
      </c>
      <c r="AV46">
        <f>SUM(AV29:AV34)/SUM(AU29:AU34)</f>
        <v>0.69465648854961837</v>
      </c>
      <c r="AW46">
        <f>SUM(AW29:AW33)/SUM(AV29:AV33)</f>
        <v>0.76</v>
      </c>
      <c r="AX46">
        <f>SUM(AX29:AX32)/SUM(AW29:AW32)</f>
        <v>1.2857142857142858</v>
      </c>
      <c r="AY46">
        <f>SUM(AY29:AY31)/SUM(AX29:AX31)</f>
        <v>1.0526315789473684</v>
      </c>
      <c r="AZ46">
        <f>SUM(AZ29:AZ30)/SUM(AY29:AY30)</f>
        <v>0.91666666666666663</v>
      </c>
      <c r="BA46">
        <f>BA29/AZ29</f>
        <v>1.1111111111111112</v>
      </c>
    </row>
    <row r="47" spans="2:67" x14ac:dyDescent="0.25">
      <c r="C47" s="216" t="s">
        <v>576</v>
      </c>
      <c r="D47" s="216"/>
      <c r="J47" s="182" t="s">
        <v>576</v>
      </c>
      <c r="K47" s="182"/>
    </row>
    <row r="48" spans="2:67" ht="17.25" x14ac:dyDescent="0.25">
      <c r="C48" s="16" t="s">
        <v>577</v>
      </c>
      <c r="D48" s="16">
        <f>SUM(E30:E36)</f>
        <v>257.49222040519413</v>
      </c>
      <c r="J48" s="16" t="s">
        <v>577</v>
      </c>
      <c r="K48" s="16">
        <f>SUM(L30:L36)</f>
        <v>261.60425130999101</v>
      </c>
    </row>
    <row r="49" spans="2:67" x14ac:dyDescent="0.25">
      <c r="C49" s="124" t="s">
        <v>578</v>
      </c>
      <c r="D49" s="16">
        <f>5*D48/1000</f>
        <v>1.2874611020259705</v>
      </c>
      <c r="J49" s="126" t="s">
        <v>578</v>
      </c>
      <c r="K49" s="16">
        <f>5*K48/1000</f>
        <v>1.3080212565499552</v>
      </c>
    </row>
    <row r="50" spans="2:67" x14ac:dyDescent="0.25">
      <c r="R50" s="83" t="s">
        <v>4</v>
      </c>
      <c r="AK50" s="223" t="s">
        <v>4</v>
      </c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3"/>
      <c r="AX50" s="223"/>
      <c r="AY50" s="223"/>
      <c r="AZ50" s="223"/>
      <c r="BA50" s="223"/>
      <c r="BB50" s="223"/>
    </row>
    <row r="51" spans="2:67" x14ac:dyDescent="0.25">
      <c r="C51" s="124" t="s">
        <v>579</v>
      </c>
      <c r="D51" s="36">
        <f>D45*(100/205)</f>
        <v>1.2791332380283063</v>
      </c>
      <c r="J51" s="126" t="s">
        <v>579</v>
      </c>
      <c r="K51" s="36">
        <f>K45*(100/205)</f>
        <v>1.304986381114464</v>
      </c>
      <c r="AL51" t="s">
        <v>598</v>
      </c>
    </row>
    <row r="52" spans="2:67" x14ac:dyDescent="0.25">
      <c r="S52">
        <v>1995</v>
      </c>
      <c r="T52">
        <v>1996</v>
      </c>
      <c r="U52">
        <v>1997</v>
      </c>
      <c r="V52">
        <v>1998</v>
      </c>
      <c r="W52">
        <v>1999</v>
      </c>
      <c r="X52">
        <v>2000</v>
      </c>
      <c r="Y52">
        <v>2001</v>
      </c>
      <c r="Z52">
        <v>2002</v>
      </c>
      <c r="AA52">
        <v>2003</v>
      </c>
      <c r="AB52">
        <v>2004</v>
      </c>
      <c r="AC52">
        <v>2005</v>
      </c>
      <c r="AD52">
        <v>2006</v>
      </c>
      <c r="AE52">
        <v>2007</v>
      </c>
      <c r="AF52">
        <v>2008</v>
      </c>
      <c r="AG52">
        <v>2009</v>
      </c>
      <c r="AH52">
        <v>2010</v>
      </c>
      <c r="AK52" t="s">
        <v>603</v>
      </c>
      <c r="AL52" s="136">
        <v>0</v>
      </c>
      <c r="AM52" s="136">
        <v>1</v>
      </c>
      <c r="AN52" s="136">
        <v>2</v>
      </c>
      <c r="AO52" s="136">
        <v>3</v>
      </c>
      <c r="AP52" s="136">
        <v>4</v>
      </c>
      <c r="AQ52" s="136">
        <v>5</v>
      </c>
      <c r="AR52" s="136">
        <v>6</v>
      </c>
      <c r="AS52" s="136">
        <v>7</v>
      </c>
      <c r="AT52" s="136">
        <v>8</v>
      </c>
      <c r="AU52" s="136">
        <v>9</v>
      </c>
      <c r="AV52" s="136">
        <v>10</v>
      </c>
      <c r="AW52" s="136">
        <v>11</v>
      </c>
      <c r="AX52" s="136">
        <v>12</v>
      </c>
      <c r="AY52" s="136">
        <v>13</v>
      </c>
      <c r="AZ52" s="136">
        <v>14</v>
      </c>
      <c r="BA52" s="136">
        <v>15</v>
      </c>
      <c r="BB52" s="148" t="s">
        <v>600</v>
      </c>
    </row>
    <row r="53" spans="2:67" x14ac:dyDescent="0.25">
      <c r="R53">
        <v>1995</v>
      </c>
      <c r="S53" s="10">
        <v>13188</v>
      </c>
      <c r="T53" s="10">
        <v>4190</v>
      </c>
      <c r="U53">
        <v>598</v>
      </c>
      <c r="V53">
        <v>242</v>
      </c>
      <c r="W53">
        <v>196</v>
      </c>
      <c r="X53">
        <v>129</v>
      </c>
      <c r="Y53">
        <v>71</v>
      </c>
      <c r="Z53">
        <v>5</v>
      </c>
      <c r="AA53">
        <v>18</v>
      </c>
      <c r="AB53">
        <v>24</v>
      </c>
      <c r="AC53">
        <v>19</v>
      </c>
      <c r="AD53">
        <v>8</v>
      </c>
      <c r="AE53">
        <v>9</v>
      </c>
      <c r="AF53">
        <v>7</v>
      </c>
      <c r="AG53">
        <v>5</v>
      </c>
      <c r="AH53">
        <v>9</v>
      </c>
      <c r="AK53" s="83">
        <v>1995</v>
      </c>
      <c r="AL53" s="10">
        <v>13188</v>
      </c>
      <c r="AM53" s="10">
        <v>4190</v>
      </c>
      <c r="AN53" s="10">
        <v>598</v>
      </c>
      <c r="AO53" s="10">
        <v>242</v>
      </c>
      <c r="AP53" s="10">
        <v>196</v>
      </c>
      <c r="AQ53" s="10">
        <v>129</v>
      </c>
      <c r="AR53" s="10">
        <v>71</v>
      </c>
      <c r="AS53" s="10">
        <v>5</v>
      </c>
      <c r="AT53" s="10">
        <v>18</v>
      </c>
      <c r="AU53" s="10">
        <v>24</v>
      </c>
      <c r="AV53" s="10">
        <v>19</v>
      </c>
      <c r="AW53" s="10">
        <v>8</v>
      </c>
      <c r="AX53" s="10">
        <v>9</v>
      </c>
      <c r="AY53" s="10">
        <v>7</v>
      </c>
      <c r="AZ53" s="10">
        <v>5</v>
      </c>
      <c r="BA53" s="10">
        <v>9</v>
      </c>
      <c r="BB53" s="149">
        <f>SUM(AL53:BA53)</f>
        <v>18718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</row>
    <row r="54" spans="2:67" x14ac:dyDescent="0.25">
      <c r="B54" s="199" t="s">
        <v>583</v>
      </c>
      <c r="C54" s="199"/>
      <c r="D54" s="199"/>
      <c r="E54" s="199"/>
      <c r="I54" s="199" t="s">
        <v>583</v>
      </c>
      <c r="J54" s="199"/>
      <c r="K54" s="199"/>
      <c r="L54" s="199"/>
      <c r="R54">
        <v>1996</v>
      </c>
      <c r="T54" s="10">
        <v>12938</v>
      </c>
      <c r="U54" s="10">
        <v>3817</v>
      </c>
      <c r="V54">
        <v>532</v>
      </c>
      <c r="W54">
        <v>267</v>
      </c>
      <c r="X54">
        <v>142</v>
      </c>
      <c r="Y54">
        <v>99</v>
      </c>
      <c r="Z54">
        <v>17</v>
      </c>
      <c r="AA54">
        <v>31</v>
      </c>
      <c r="AB54">
        <v>28</v>
      </c>
      <c r="AC54">
        <v>27</v>
      </c>
      <c r="AD54">
        <v>16</v>
      </c>
      <c r="AE54">
        <v>7</v>
      </c>
      <c r="AF54">
        <v>13</v>
      </c>
      <c r="AG54">
        <v>10</v>
      </c>
      <c r="AH54">
        <v>8</v>
      </c>
      <c r="AK54" s="83">
        <v>1996</v>
      </c>
      <c r="AL54" s="10">
        <v>12938</v>
      </c>
      <c r="AM54" s="10">
        <v>3817</v>
      </c>
      <c r="AN54" s="10">
        <v>532</v>
      </c>
      <c r="AO54" s="10">
        <v>267</v>
      </c>
      <c r="AP54" s="10">
        <v>142</v>
      </c>
      <c r="AQ54" s="10">
        <v>99</v>
      </c>
      <c r="AR54" s="10">
        <v>17</v>
      </c>
      <c r="AS54" s="10">
        <v>31</v>
      </c>
      <c r="AT54" s="10">
        <v>28</v>
      </c>
      <c r="AU54" s="10">
        <v>27</v>
      </c>
      <c r="AV54" s="10">
        <v>16</v>
      </c>
      <c r="AW54" s="10">
        <v>7</v>
      </c>
      <c r="AX54" s="10">
        <v>13</v>
      </c>
      <c r="AY54" s="10">
        <v>10</v>
      </c>
      <c r="AZ54" s="10">
        <v>8</v>
      </c>
      <c r="BA54" s="137">
        <f>AZ54*BA70</f>
        <v>14.4</v>
      </c>
      <c r="BB54" s="149">
        <f t="shared" ref="BB54:BB68" si="39">SUM(AL54:BA54)</f>
        <v>17966.400000000001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</row>
    <row r="55" spans="2:67" x14ac:dyDescent="0.25">
      <c r="B55" s="147" t="s">
        <v>510</v>
      </c>
      <c r="C55" s="147" t="s">
        <v>584</v>
      </c>
      <c r="D55" s="147" t="s">
        <v>566</v>
      </c>
      <c r="E55" s="147" t="s">
        <v>588</v>
      </c>
      <c r="I55" s="144" t="s">
        <v>510</v>
      </c>
      <c r="J55" s="144" t="s">
        <v>584</v>
      </c>
      <c r="K55" s="144" t="s">
        <v>566</v>
      </c>
      <c r="L55" s="144" t="s">
        <v>588</v>
      </c>
      <c r="R55">
        <v>1997</v>
      </c>
      <c r="U55" s="10">
        <v>12574</v>
      </c>
      <c r="V55" s="10">
        <v>3760</v>
      </c>
      <c r="W55">
        <v>541</v>
      </c>
      <c r="X55">
        <v>217</v>
      </c>
      <c r="Y55">
        <v>152</v>
      </c>
      <c r="Z55">
        <v>17</v>
      </c>
      <c r="AA55">
        <v>40</v>
      </c>
      <c r="AB55">
        <v>61</v>
      </c>
      <c r="AC55">
        <v>35</v>
      </c>
      <c r="AD55">
        <v>35</v>
      </c>
      <c r="AE55">
        <v>12</v>
      </c>
      <c r="AF55">
        <v>12</v>
      </c>
      <c r="AG55">
        <v>15</v>
      </c>
      <c r="AH55">
        <v>4</v>
      </c>
      <c r="AK55" s="83">
        <v>1997</v>
      </c>
      <c r="AL55" s="10">
        <v>12574</v>
      </c>
      <c r="AM55" s="10">
        <v>3760</v>
      </c>
      <c r="AN55" s="10">
        <v>541</v>
      </c>
      <c r="AO55" s="10">
        <v>217</v>
      </c>
      <c r="AP55" s="10">
        <v>152</v>
      </c>
      <c r="AQ55" s="10">
        <v>17</v>
      </c>
      <c r="AR55" s="10">
        <v>40</v>
      </c>
      <c r="AS55" s="10">
        <v>61</v>
      </c>
      <c r="AT55" s="10">
        <v>35</v>
      </c>
      <c r="AU55" s="10">
        <v>35</v>
      </c>
      <c r="AV55" s="10">
        <v>12</v>
      </c>
      <c r="AW55" s="10">
        <v>12</v>
      </c>
      <c r="AX55" s="10">
        <v>15</v>
      </c>
      <c r="AY55" s="10">
        <v>4</v>
      </c>
      <c r="AZ55" s="137">
        <f>AY55*AZ70</f>
        <v>3.0588235294117645</v>
      </c>
      <c r="BA55" s="137">
        <f>AZ55*BA70</f>
        <v>5.5058823529411764</v>
      </c>
      <c r="BB55" s="149">
        <f t="shared" si="39"/>
        <v>17483.564705882352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</row>
    <row r="56" spans="2:67" x14ac:dyDescent="0.25">
      <c r="B56" s="16" t="s">
        <v>561</v>
      </c>
      <c r="C56" s="16">
        <f>('Tabla de mortalidad'!T9+'Tabla de mortalidad'!T10)/(2*'Tabla de mortalidad'!$T$5)</f>
        <v>0.98199499999999995</v>
      </c>
      <c r="D56" s="16">
        <f>D30</f>
        <v>68.7605552076636</v>
      </c>
      <c r="E56" s="16">
        <f>C56*D56</f>
        <v>67.522521411149611</v>
      </c>
      <c r="I56" s="16" t="s">
        <v>561</v>
      </c>
      <c r="J56" s="16">
        <f>('Tabla de mortalidad'!T48+'Tabla de mortalidad'!T49)/(2*'Tabla de mortalidad'!$T$44)</f>
        <v>0.98278500000000002</v>
      </c>
      <c r="K56" s="16">
        <f>K30</f>
        <v>79.39889883962384</v>
      </c>
      <c r="L56" s="16">
        <f>J56*K56</f>
        <v>78.032046796099721</v>
      </c>
      <c r="R56">
        <v>1998</v>
      </c>
      <c r="V56" s="10">
        <v>13064</v>
      </c>
      <c r="W56" s="10">
        <v>3782</v>
      </c>
      <c r="X56">
        <v>475</v>
      </c>
      <c r="Y56">
        <v>218</v>
      </c>
      <c r="Z56">
        <v>24</v>
      </c>
      <c r="AA56">
        <v>50</v>
      </c>
      <c r="AB56">
        <v>91</v>
      </c>
      <c r="AC56">
        <v>74</v>
      </c>
      <c r="AD56">
        <v>43</v>
      </c>
      <c r="AE56">
        <v>19</v>
      </c>
      <c r="AF56">
        <v>20</v>
      </c>
      <c r="AG56">
        <v>8</v>
      </c>
      <c r="AH56">
        <v>8</v>
      </c>
      <c r="AK56" s="83">
        <v>1998</v>
      </c>
      <c r="AL56" s="10">
        <v>13064</v>
      </c>
      <c r="AM56" s="10">
        <v>3782</v>
      </c>
      <c r="AN56" s="10">
        <v>475</v>
      </c>
      <c r="AO56" s="10">
        <v>218</v>
      </c>
      <c r="AP56" s="10">
        <v>24</v>
      </c>
      <c r="AQ56" s="10">
        <v>50</v>
      </c>
      <c r="AR56" s="10">
        <v>91</v>
      </c>
      <c r="AS56" s="10">
        <v>74</v>
      </c>
      <c r="AT56" s="10">
        <v>43</v>
      </c>
      <c r="AU56" s="10">
        <v>19</v>
      </c>
      <c r="AV56" s="10">
        <v>20</v>
      </c>
      <c r="AW56" s="10">
        <v>8</v>
      </c>
      <c r="AX56" s="10">
        <v>8</v>
      </c>
      <c r="AY56" s="137">
        <f>AX56*AY70</f>
        <v>4.5405405405405403</v>
      </c>
      <c r="AZ56" s="137">
        <f t="shared" ref="AZ56:BA56" si="40">AY56*AZ70</f>
        <v>3.4721780604133543</v>
      </c>
      <c r="BA56" s="137">
        <f t="shared" si="40"/>
        <v>6.2499205087440375</v>
      </c>
      <c r="BB56" s="149">
        <f t="shared" si="39"/>
        <v>17890.262639109696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</row>
    <row r="57" spans="2:67" x14ac:dyDescent="0.25">
      <c r="B57" s="16" t="s">
        <v>555</v>
      </c>
      <c r="C57" s="16">
        <f>('Tabla de mortalidad'!T10+'Tabla de mortalidad'!T11)/(2*'Tabla de mortalidad'!$T$5)</f>
        <v>0.98006000000000004</v>
      </c>
      <c r="D57" s="16">
        <f t="shared" ref="D57:D62" si="41">D31</f>
        <v>142.88829233339226</v>
      </c>
      <c r="E57" s="16">
        <f t="shared" ref="E57:E62" si="42">C57*D57</f>
        <v>140.03909978426441</v>
      </c>
      <c r="I57" s="16" t="s">
        <v>555</v>
      </c>
      <c r="J57" s="16">
        <f>('Tabla de mortalidad'!T49+'Tabla de mortalidad'!T50)/(2*'Tabla de mortalidad'!$T$44)</f>
        <v>0.98070999999999997</v>
      </c>
      <c r="K57" s="16">
        <f t="shared" ref="K57:K62" si="43">K31</f>
        <v>143.92018231096023</v>
      </c>
      <c r="L57" s="16">
        <f t="shared" ref="L57:L62" si="44">J57*K57</f>
        <v>141.14396199418181</v>
      </c>
      <c r="R57">
        <v>1999</v>
      </c>
      <c r="W57" s="10">
        <v>13433</v>
      </c>
      <c r="X57" s="10">
        <v>3882</v>
      </c>
      <c r="Y57">
        <v>460</v>
      </c>
      <c r="Z57">
        <v>52</v>
      </c>
      <c r="AA57">
        <v>78</v>
      </c>
      <c r="AB57">
        <v>134</v>
      </c>
      <c r="AC57">
        <v>129</v>
      </c>
      <c r="AD57">
        <v>69</v>
      </c>
      <c r="AE57">
        <v>32</v>
      </c>
      <c r="AF57">
        <v>25</v>
      </c>
      <c r="AG57">
        <v>18</v>
      </c>
      <c r="AH57">
        <v>13</v>
      </c>
      <c r="AK57" s="83">
        <v>1999</v>
      </c>
      <c r="AL57" s="10">
        <v>13433</v>
      </c>
      <c r="AM57" s="10">
        <v>3882</v>
      </c>
      <c r="AN57" s="10">
        <v>460</v>
      </c>
      <c r="AO57" s="10">
        <v>52</v>
      </c>
      <c r="AP57" s="10">
        <v>78</v>
      </c>
      <c r="AQ57" s="10">
        <v>134</v>
      </c>
      <c r="AR57" s="10">
        <v>129</v>
      </c>
      <c r="AS57" s="10">
        <v>69</v>
      </c>
      <c r="AT57" s="10">
        <v>32</v>
      </c>
      <c r="AU57" s="10">
        <v>25</v>
      </c>
      <c r="AV57" s="10">
        <v>18</v>
      </c>
      <c r="AW57" s="10">
        <v>13</v>
      </c>
      <c r="AX57" s="137">
        <f>AW57*AX70</f>
        <v>16.714285714285715</v>
      </c>
      <c r="AY57" s="137">
        <f t="shared" ref="AY57:BA57" si="45">AX57*AY70</f>
        <v>9.486486486486486</v>
      </c>
      <c r="AZ57" s="137">
        <f t="shared" si="45"/>
        <v>7.2543720190779002</v>
      </c>
      <c r="BA57" s="137">
        <f t="shared" si="45"/>
        <v>13.057869634340221</v>
      </c>
      <c r="BB57" s="149">
        <f t="shared" si="39"/>
        <v>18371.51301385419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</row>
    <row r="58" spans="2:67" x14ac:dyDescent="0.25">
      <c r="B58" s="16" t="s">
        <v>559</v>
      </c>
      <c r="C58" s="16">
        <f>('Tabla de mortalidad'!T11+'Tabla de mortalidad'!T12)/(2*'Tabla de mortalidad'!$T$5)</f>
        <v>0.97744500000000001</v>
      </c>
      <c r="D58" s="16">
        <f t="shared" si="41"/>
        <v>137.48617842425159</v>
      </c>
      <c r="E58" s="16">
        <f t="shared" si="42"/>
        <v>134.38517766989258</v>
      </c>
      <c r="I58" s="16" t="s">
        <v>559</v>
      </c>
      <c r="J58" s="16">
        <f>('Tabla de mortalidad'!T50+'Tabla de mortalidad'!T51)/(2*'Tabla de mortalidad'!$T$44)</f>
        <v>0.97821000000000002</v>
      </c>
      <c r="K58" s="16">
        <f t="shared" si="43"/>
        <v>138.16585179098414</v>
      </c>
      <c r="L58" s="16">
        <f t="shared" si="44"/>
        <v>135.15521788045859</v>
      </c>
      <c r="R58">
        <v>2000</v>
      </c>
      <c r="X58" s="10">
        <v>13919</v>
      </c>
      <c r="Y58" s="10">
        <v>3984</v>
      </c>
      <c r="Z58">
        <v>130</v>
      </c>
      <c r="AA58">
        <v>189</v>
      </c>
      <c r="AB58">
        <v>216</v>
      </c>
      <c r="AC58">
        <v>190</v>
      </c>
      <c r="AD58">
        <v>109</v>
      </c>
      <c r="AE58">
        <v>70</v>
      </c>
      <c r="AF58">
        <v>41</v>
      </c>
      <c r="AG58">
        <v>33</v>
      </c>
      <c r="AH58">
        <v>22</v>
      </c>
      <c r="AK58" s="83">
        <v>2000</v>
      </c>
      <c r="AL58" s="10">
        <v>13919</v>
      </c>
      <c r="AM58" s="10">
        <v>3984</v>
      </c>
      <c r="AN58" s="10">
        <v>130</v>
      </c>
      <c r="AO58" s="10">
        <v>189</v>
      </c>
      <c r="AP58" s="10">
        <v>216</v>
      </c>
      <c r="AQ58" s="10">
        <v>190</v>
      </c>
      <c r="AR58" s="10">
        <v>109</v>
      </c>
      <c r="AS58" s="10">
        <v>70</v>
      </c>
      <c r="AT58" s="10">
        <v>41</v>
      </c>
      <c r="AU58" s="10">
        <v>33</v>
      </c>
      <c r="AV58" s="10">
        <v>22</v>
      </c>
      <c r="AW58" s="137">
        <f>AV58*AW70</f>
        <v>12.423529411764706</v>
      </c>
      <c r="AX58" s="137">
        <f t="shared" ref="AX58:BA58" si="46">AW58*AX70</f>
        <v>15.973109243697481</v>
      </c>
      <c r="AY58" s="137">
        <f t="shared" si="46"/>
        <v>9.0658187599364073</v>
      </c>
      <c r="AZ58" s="137">
        <f t="shared" si="46"/>
        <v>6.9326849340690169</v>
      </c>
      <c r="BA58" s="137">
        <f t="shared" si="46"/>
        <v>12.47883288132423</v>
      </c>
      <c r="BB58" s="149">
        <f t="shared" si="39"/>
        <v>18959.873975230788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</row>
    <row r="59" spans="2:67" x14ac:dyDescent="0.25">
      <c r="B59" s="16" t="s">
        <v>556</v>
      </c>
      <c r="C59" s="16">
        <f>('Tabla de mortalidad'!T12+'Tabla de mortalidad'!T13)/(2*'Tabla de mortalidad'!$T$5)</f>
        <v>0.97375</v>
      </c>
      <c r="D59" s="16">
        <f t="shared" si="41"/>
        <v>102.88917949950384</v>
      </c>
      <c r="E59" s="16">
        <f t="shared" si="42"/>
        <v>100.18833853764187</v>
      </c>
      <c r="I59" s="16" t="s">
        <v>556</v>
      </c>
      <c r="J59" s="16">
        <f>('Tabla de mortalidad'!T51+'Tabla de mortalidad'!T52)/(2*'Tabla de mortalidad'!$T$44)</f>
        <v>0.97543500000000005</v>
      </c>
      <c r="K59" s="16">
        <f t="shared" si="43"/>
        <v>103.9761864177383</v>
      </c>
      <c r="L59" s="16">
        <f t="shared" si="44"/>
        <v>101.42201139838657</v>
      </c>
      <c r="R59">
        <v>2001</v>
      </c>
      <c r="Y59" s="10">
        <v>13366</v>
      </c>
      <c r="Z59" s="10">
        <v>4156</v>
      </c>
      <c r="AA59">
        <v>140</v>
      </c>
      <c r="AB59">
        <v>228</v>
      </c>
      <c r="AC59">
        <v>234</v>
      </c>
      <c r="AD59">
        <v>118</v>
      </c>
      <c r="AE59">
        <v>85</v>
      </c>
      <c r="AF59">
        <v>48</v>
      </c>
      <c r="AG59">
        <v>32</v>
      </c>
      <c r="AH59">
        <v>24</v>
      </c>
      <c r="AK59" s="83">
        <v>2001</v>
      </c>
      <c r="AL59" s="10">
        <v>13366</v>
      </c>
      <c r="AM59" s="10">
        <v>4156</v>
      </c>
      <c r="AN59" s="10">
        <v>140</v>
      </c>
      <c r="AO59" s="10">
        <v>228</v>
      </c>
      <c r="AP59" s="10">
        <v>234</v>
      </c>
      <c r="AQ59" s="10">
        <v>118</v>
      </c>
      <c r="AR59" s="10">
        <v>85</v>
      </c>
      <c r="AS59" s="10">
        <v>48</v>
      </c>
      <c r="AT59" s="10">
        <v>32</v>
      </c>
      <c r="AU59" s="10">
        <v>24</v>
      </c>
      <c r="AV59" s="137">
        <f>AU59*AV70</f>
        <v>15.754601226993865</v>
      </c>
      <c r="AW59" s="137">
        <f t="shared" ref="AW59:BA59" si="47">AV59*AW70</f>
        <v>8.8967159870082995</v>
      </c>
      <c r="AX59" s="137">
        <f t="shared" si="47"/>
        <v>11.438634840439242</v>
      </c>
      <c r="AY59" s="137">
        <f t="shared" si="47"/>
        <v>6.4921981526817314</v>
      </c>
      <c r="AZ59" s="137">
        <f t="shared" si="47"/>
        <v>4.964622116756618</v>
      </c>
      <c r="BA59" s="137">
        <f t="shared" si="47"/>
        <v>8.9363198101619119</v>
      </c>
      <c r="BB59" s="149">
        <f t="shared" si="39"/>
        <v>18487.483092134044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</row>
    <row r="60" spans="2:67" x14ac:dyDescent="0.25">
      <c r="B60" s="16" t="s">
        <v>560</v>
      </c>
      <c r="C60" s="16">
        <f>('Tabla de mortalidad'!T13+'Tabla de mortalidad'!T14)/(2*'Tabla de mortalidad'!$T$5)</f>
        <v>0.96975</v>
      </c>
      <c r="D60" s="16">
        <f t="shared" si="41"/>
        <v>52.91172978828196</v>
      </c>
      <c r="E60" s="16">
        <f t="shared" si="42"/>
        <v>51.311149962186434</v>
      </c>
      <c r="I60" s="16" t="s">
        <v>560</v>
      </c>
      <c r="J60" s="16">
        <f>('Tabla de mortalidad'!T52+'Tabla de mortalidad'!T53)/(2*'Tabla de mortalidad'!$T$44)</f>
        <v>0.97191499999999997</v>
      </c>
      <c r="K60" s="16">
        <f t="shared" si="43"/>
        <v>53.922913434488152</v>
      </c>
      <c r="L60" s="16">
        <f t="shared" si="44"/>
        <v>52.408488410680548</v>
      </c>
      <c r="R60">
        <v>2002</v>
      </c>
      <c r="Z60" s="10">
        <v>13430</v>
      </c>
      <c r="AA60" s="10">
        <v>4224</v>
      </c>
      <c r="AB60">
        <v>183</v>
      </c>
      <c r="AC60">
        <v>243</v>
      </c>
      <c r="AD60">
        <v>146</v>
      </c>
      <c r="AE60">
        <v>79</v>
      </c>
      <c r="AF60">
        <v>49</v>
      </c>
      <c r="AG60">
        <v>39</v>
      </c>
      <c r="AH60">
        <v>25</v>
      </c>
      <c r="AK60" s="83">
        <v>2002</v>
      </c>
      <c r="AL60" s="10">
        <v>13430</v>
      </c>
      <c r="AM60" s="10">
        <v>4224</v>
      </c>
      <c r="AN60" s="10">
        <v>183</v>
      </c>
      <c r="AO60" s="10">
        <v>243</v>
      </c>
      <c r="AP60" s="10">
        <v>146</v>
      </c>
      <c r="AQ60" s="10">
        <v>79</v>
      </c>
      <c r="AR60" s="10">
        <v>49</v>
      </c>
      <c r="AS60" s="10">
        <v>39</v>
      </c>
      <c r="AT60" s="10">
        <v>25</v>
      </c>
      <c r="AU60" s="137">
        <f>AT60*AU70</f>
        <v>20.414847161572052</v>
      </c>
      <c r="AV60" s="137">
        <f t="shared" ref="AV60:BA60" si="48">AU60*AV70</f>
        <v>13.401157339191469</v>
      </c>
      <c r="AW60" s="137">
        <f t="shared" si="48"/>
        <v>7.5677123797787118</v>
      </c>
      <c r="AX60" s="137">
        <f t="shared" si="48"/>
        <v>9.729915916858344</v>
      </c>
      <c r="AY60" s="137">
        <f t="shared" si="48"/>
        <v>5.5223847095682492</v>
      </c>
      <c r="AZ60" s="137">
        <f t="shared" si="48"/>
        <v>4.2230000720227787</v>
      </c>
      <c r="BA60" s="137">
        <f t="shared" si="48"/>
        <v>7.6014001296410019</v>
      </c>
      <c r="BB60" s="149">
        <f t="shared" si="39"/>
        <v>18486.460417708637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</row>
    <row r="61" spans="2:67" x14ac:dyDescent="0.25">
      <c r="B61" s="16" t="s">
        <v>557</v>
      </c>
      <c r="C61" s="16">
        <f>('Tabla de mortalidad'!T14+'Tabla de mortalidad'!T15)/(2*'Tabla de mortalidad'!$T$5)</f>
        <v>0.96399000000000001</v>
      </c>
      <c r="D61" s="16">
        <f t="shared" si="41"/>
        <v>17.122855089530592</v>
      </c>
      <c r="E61" s="16">
        <f t="shared" si="42"/>
        <v>16.506261077756594</v>
      </c>
      <c r="I61" s="16" t="s">
        <v>557</v>
      </c>
      <c r="J61" s="16">
        <f>('Tabla de mortalidad'!T53+'Tabla de mortalidad'!T54)/(2*'Tabla de mortalidad'!$T$44)</f>
        <v>0.96536500000000003</v>
      </c>
      <c r="K61" s="16">
        <f t="shared" si="43"/>
        <v>14.413937392962223</v>
      </c>
      <c r="L61" s="16">
        <f t="shared" si="44"/>
        <v>13.914710671356977</v>
      </c>
      <c r="R61">
        <v>2003</v>
      </c>
      <c r="AA61" s="10">
        <v>13624</v>
      </c>
      <c r="AB61" s="10">
        <v>4348</v>
      </c>
      <c r="AC61">
        <v>283</v>
      </c>
      <c r="AD61">
        <v>169</v>
      </c>
      <c r="AE61">
        <v>119</v>
      </c>
      <c r="AF61">
        <v>69</v>
      </c>
      <c r="AG61">
        <v>51</v>
      </c>
      <c r="AH61">
        <v>26</v>
      </c>
      <c r="AK61" s="83">
        <v>2003</v>
      </c>
      <c r="AL61" s="10">
        <v>13624</v>
      </c>
      <c r="AM61" s="10">
        <v>4348</v>
      </c>
      <c r="AN61" s="10">
        <v>283</v>
      </c>
      <c r="AO61" s="10">
        <v>169</v>
      </c>
      <c r="AP61" s="10">
        <v>119</v>
      </c>
      <c r="AQ61" s="10">
        <v>69</v>
      </c>
      <c r="AR61" s="10">
        <v>51</v>
      </c>
      <c r="AS61" s="10">
        <v>26</v>
      </c>
      <c r="AT61" s="137">
        <f>AS61*AT70</f>
        <v>16.634760705289672</v>
      </c>
      <c r="AU61" s="137">
        <f t="shared" ref="AU61:BA61" si="49">AT61*AU70</f>
        <v>13.583843894712528</v>
      </c>
      <c r="AV61" s="137">
        <f t="shared" si="49"/>
        <v>8.9170018204554626</v>
      </c>
      <c r="AW61" s="137">
        <f t="shared" si="49"/>
        <v>5.0354833809630843</v>
      </c>
      <c r="AX61" s="137">
        <f t="shared" si="49"/>
        <v>6.4741929183811093</v>
      </c>
      <c r="AY61" s="137">
        <f t="shared" si="49"/>
        <v>3.6745419266487374</v>
      </c>
      <c r="AZ61" s="137">
        <f t="shared" si="49"/>
        <v>2.809943826260799</v>
      </c>
      <c r="BA61" s="137">
        <f t="shared" si="49"/>
        <v>5.0578988872694381</v>
      </c>
      <c r="BB61" s="149">
        <f t="shared" si="39"/>
        <v>18751.18766735998</v>
      </c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</row>
    <row r="62" spans="2:67" x14ac:dyDescent="0.25">
      <c r="B62" s="16" t="s">
        <v>558</v>
      </c>
      <c r="C62" s="16">
        <f>('Tabla de mortalidad'!T15+'Tabla de mortalidad'!T16)/(2*'Tabla de mortalidad'!$T$5)</f>
        <v>0.95372000000000001</v>
      </c>
      <c r="D62" s="16">
        <f t="shared" si="41"/>
        <v>2.3858372489817166</v>
      </c>
      <c r="E62" s="16">
        <f t="shared" si="42"/>
        <v>2.2754207010988425</v>
      </c>
      <c r="I62" s="16" t="s">
        <v>558</v>
      </c>
      <c r="J62" s="16">
        <f>('Tabla de mortalidad'!T54+'Tabla de mortalidad'!T55)/(2*'Tabla de mortalidad'!$T$44)</f>
        <v>0.95428500000000005</v>
      </c>
      <c r="K62" s="16">
        <f t="shared" si="43"/>
        <v>1.2464460701734226</v>
      </c>
      <c r="L62" s="16">
        <f t="shared" si="44"/>
        <v>1.1894647880754445</v>
      </c>
      <c r="R62">
        <v>2004</v>
      </c>
      <c r="AB62" s="10">
        <v>13679</v>
      </c>
      <c r="AC62" s="10">
        <v>4092</v>
      </c>
      <c r="AD62">
        <v>264</v>
      </c>
      <c r="AE62">
        <v>143</v>
      </c>
      <c r="AF62">
        <v>111</v>
      </c>
      <c r="AG62">
        <v>63</v>
      </c>
      <c r="AH62">
        <v>35</v>
      </c>
      <c r="AK62" s="83">
        <v>2004</v>
      </c>
      <c r="AL62" s="10">
        <v>13679</v>
      </c>
      <c r="AM62" s="10">
        <v>4092</v>
      </c>
      <c r="AN62" s="10">
        <v>264</v>
      </c>
      <c r="AO62" s="10">
        <v>143</v>
      </c>
      <c r="AP62" s="10">
        <v>111</v>
      </c>
      <c r="AQ62" s="10">
        <v>63</v>
      </c>
      <c r="AR62" s="10">
        <v>35</v>
      </c>
      <c r="AS62" s="137">
        <f>AR62*AS70</f>
        <v>23.060747663551403</v>
      </c>
      <c r="AT62" s="137">
        <f t="shared" ref="AT62:BA62" si="50">AS62*AT70</f>
        <v>14.754231502624828</v>
      </c>
      <c r="AU62" s="137">
        <f t="shared" si="50"/>
        <v>12.048215244501497</v>
      </c>
      <c r="AV62" s="137">
        <f t="shared" si="50"/>
        <v>7.9089511114212279</v>
      </c>
      <c r="AW62" s="137">
        <f t="shared" si="50"/>
        <v>4.4662312158613995</v>
      </c>
      <c r="AX62" s="137">
        <f t="shared" si="50"/>
        <v>5.7422972775360854</v>
      </c>
      <c r="AY62" s="137">
        <f t="shared" si="50"/>
        <v>3.2591416980610215</v>
      </c>
      <c r="AZ62" s="137">
        <f t="shared" si="50"/>
        <v>2.4922848279290162</v>
      </c>
      <c r="BA62" s="137">
        <f t="shared" si="50"/>
        <v>4.486112690272229</v>
      </c>
      <c r="BB62" s="149">
        <f t="shared" si="39"/>
        <v>18465.218213231758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</row>
    <row r="63" spans="2:67" x14ac:dyDescent="0.25">
      <c r="R63">
        <v>2005</v>
      </c>
      <c r="AC63" s="10">
        <v>14532</v>
      </c>
      <c r="AD63" s="10">
        <v>3573</v>
      </c>
      <c r="AE63">
        <v>294</v>
      </c>
      <c r="AF63">
        <v>139</v>
      </c>
      <c r="AG63">
        <v>116</v>
      </c>
      <c r="AH63">
        <v>57</v>
      </c>
      <c r="AK63" s="140">
        <v>2005</v>
      </c>
      <c r="AL63" s="141">
        <v>14532</v>
      </c>
      <c r="AM63" s="141">
        <v>3573</v>
      </c>
      <c r="AN63" s="141">
        <v>294</v>
      </c>
      <c r="AO63" s="141">
        <v>139</v>
      </c>
      <c r="AP63" s="141">
        <v>116</v>
      </c>
      <c r="AQ63" s="141">
        <v>57</v>
      </c>
      <c r="AR63" s="141">
        <f>AQ63*AR70</f>
        <v>40.705696202531648</v>
      </c>
      <c r="AS63" s="141">
        <f t="shared" ref="AS63:BA63" si="51">AR63*AS70</f>
        <v>26.820108245593282</v>
      </c>
      <c r="AT63" s="141">
        <f t="shared" si="51"/>
        <v>17.15946472136195</v>
      </c>
      <c r="AU63" s="141">
        <f t="shared" si="51"/>
        <v>14.01231398643967</v>
      </c>
      <c r="AV63" s="141">
        <f t="shared" si="51"/>
        <v>9.1982674634910708</v>
      </c>
      <c r="AW63" s="141">
        <f t="shared" si="51"/>
        <v>5.1943157440890753</v>
      </c>
      <c r="AX63" s="141">
        <f t="shared" si="51"/>
        <v>6.6784059566859542</v>
      </c>
      <c r="AY63" s="141">
        <f t="shared" si="51"/>
        <v>3.7904466240650008</v>
      </c>
      <c r="AZ63" s="141">
        <f t="shared" si="51"/>
        <v>2.8985768301673533</v>
      </c>
      <c r="BA63" s="141">
        <f t="shared" si="51"/>
        <v>5.2174382943012363</v>
      </c>
      <c r="BB63" s="141">
        <f t="shared" si="39"/>
        <v>18842.675034068725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</row>
    <row r="64" spans="2:67" x14ac:dyDescent="0.25">
      <c r="C64" s="124" t="s">
        <v>585</v>
      </c>
      <c r="D64" s="16">
        <f>5*(SUM(E56:E62))/1000</f>
        <v>2.5611398457199521</v>
      </c>
      <c r="J64" s="126" t="s">
        <v>585</v>
      </c>
      <c r="K64" s="16">
        <f>5*(SUM(L56:L62))/1000</f>
        <v>2.6163295096961985</v>
      </c>
      <c r="R64">
        <v>2006</v>
      </c>
      <c r="AD64" s="10">
        <v>14208</v>
      </c>
      <c r="AE64" s="10">
        <v>3876</v>
      </c>
      <c r="AF64">
        <v>270</v>
      </c>
      <c r="AG64">
        <v>154</v>
      </c>
      <c r="AH64">
        <v>117</v>
      </c>
      <c r="AK64" s="83">
        <v>2006</v>
      </c>
      <c r="AL64" s="10">
        <v>14208</v>
      </c>
      <c r="AM64" s="10">
        <v>3876</v>
      </c>
      <c r="AN64" s="10">
        <v>270</v>
      </c>
      <c r="AO64" s="10">
        <v>154</v>
      </c>
      <c r="AP64" s="10">
        <v>117</v>
      </c>
      <c r="AQ64" s="137">
        <f>AP64*AQ70</f>
        <v>76.652542372881356</v>
      </c>
      <c r="AR64" s="137">
        <f t="shared" ref="AR64:BA64" si="52">AQ64*AR70</f>
        <v>54.740264964599874</v>
      </c>
      <c r="AS64" s="137">
        <f t="shared" si="52"/>
        <v>36.067183925273753</v>
      </c>
      <c r="AT64" s="137">
        <f t="shared" si="52"/>
        <v>23.075729765792278</v>
      </c>
      <c r="AU64" s="137">
        <f t="shared" si="52"/>
        <v>18.84349985241553</v>
      </c>
      <c r="AV64" s="137">
        <f t="shared" si="52"/>
        <v>12.36965941232185</v>
      </c>
      <c r="AW64" s="137">
        <f t="shared" si="52"/>
        <v>6.9852194328405739</v>
      </c>
      <c r="AX64" s="137">
        <f t="shared" si="52"/>
        <v>8.9809964136521678</v>
      </c>
      <c r="AY64" s="137">
        <f t="shared" si="52"/>
        <v>5.0973222888296084</v>
      </c>
      <c r="AZ64" s="137">
        <f t="shared" si="52"/>
        <v>3.8979523385167592</v>
      </c>
      <c r="BA64" s="137">
        <f t="shared" si="52"/>
        <v>7.0163142093301669</v>
      </c>
      <c r="BB64" s="149">
        <f t="shared" si="39"/>
        <v>18878.726684976453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</row>
    <row r="65" spans="2:67" x14ac:dyDescent="0.25">
      <c r="R65">
        <v>2007</v>
      </c>
      <c r="AE65" s="10">
        <v>15979</v>
      </c>
      <c r="AF65" s="10">
        <v>3042</v>
      </c>
      <c r="AG65">
        <v>254</v>
      </c>
      <c r="AH65">
        <v>125</v>
      </c>
      <c r="AK65" s="83">
        <v>2007</v>
      </c>
      <c r="AL65" s="10">
        <v>15979</v>
      </c>
      <c r="AM65" s="10">
        <v>3042</v>
      </c>
      <c r="AN65" s="10">
        <v>254</v>
      </c>
      <c r="AO65" s="10">
        <v>125</v>
      </c>
      <c r="AP65" s="137">
        <f>AO65*AP70</f>
        <v>91.27598407784167</v>
      </c>
      <c r="AQ65" s="137">
        <f t="shared" ref="AQ65:BA65" si="53">AP65*AQ70</f>
        <v>59.799455018403442</v>
      </c>
      <c r="AR65" s="137">
        <f t="shared" si="53"/>
        <v>42.704885071159417</v>
      </c>
      <c r="AS65" s="137">
        <f t="shared" si="53"/>
        <v>28.137330817913448</v>
      </c>
      <c r="AT65" s="137">
        <f t="shared" si="53"/>
        <v>18.002221732367801</v>
      </c>
      <c r="AU65" s="137">
        <f t="shared" si="53"/>
        <v>14.700504209400782</v>
      </c>
      <c r="AV65" s="137">
        <f t="shared" si="53"/>
        <v>9.6500242356189183</v>
      </c>
      <c r="AW65" s="137">
        <f t="shared" si="53"/>
        <v>5.4494254507024475</v>
      </c>
      <c r="AX65" s="137">
        <f t="shared" si="53"/>
        <v>7.0064041509031476</v>
      </c>
      <c r="AY65" s="137">
        <f t="shared" si="53"/>
        <v>3.9766077613234079</v>
      </c>
      <c r="AZ65" s="137">
        <f t="shared" si="53"/>
        <v>3.0409353468943707</v>
      </c>
      <c r="BA65" s="137">
        <f t="shared" si="53"/>
        <v>5.4736836244098672</v>
      </c>
      <c r="BB65" s="149">
        <f t="shared" si="39"/>
        <v>19689.217461496937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</row>
    <row r="66" spans="2:67" x14ac:dyDescent="0.25">
      <c r="R66">
        <v>2008</v>
      </c>
      <c r="AF66" s="10">
        <v>16353</v>
      </c>
      <c r="AG66" s="10">
        <v>2862</v>
      </c>
      <c r="AH66">
        <v>175</v>
      </c>
      <c r="AK66" s="83">
        <v>2008</v>
      </c>
      <c r="AL66" s="10">
        <v>16353</v>
      </c>
      <c r="AM66" s="10">
        <v>2862</v>
      </c>
      <c r="AN66" s="10">
        <v>175</v>
      </c>
      <c r="AO66" s="137">
        <f>AN66*AO70</f>
        <v>94.382911392405049</v>
      </c>
      <c r="AP66" s="137">
        <f t="shared" ref="AP66:BA66" si="54">AO66*AP70</f>
        <v>68.91914493978804</v>
      </c>
      <c r="AQ66" s="137">
        <f t="shared" si="54"/>
        <v>45.152373314528667</v>
      </c>
      <c r="AR66" s="137">
        <f t="shared" si="54"/>
        <v>32.244891069552644</v>
      </c>
      <c r="AS66" s="137">
        <f t="shared" si="54"/>
        <v>21.245465611247305</v>
      </c>
      <c r="AT66" s="137">
        <f t="shared" si="54"/>
        <v>13.59281678905999</v>
      </c>
      <c r="AU66" s="137">
        <f t="shared" si="54"/>
        <v>11.099811089756411</v>
      </c>
      <c r="AV66" s="137">
        <f t="shared" si="54"/>
        <v>7.2863790589198523</v>
      </c>
      <c r="AW66" s="137">
        <f t="shared" si="54"/>
        <v>4.1146611156253279</v>
      </c>
      <c r="AX66" s="137">
        <f t="shared" si="54"/>
        <v>5.2902785772325647</v>
      </c>
      <c r="AY66" s="137">
        <f t="shared" si="54"/>
        <v>3.0025905438346987</v>
      </c>
      <c r="AZ66" s="137">
        <f t="shared" si="54"/>
        <v>2.2960986511677106</v>
      </c>
      <c r="BA66" s="137">
        <f t="shared" si="54"/>
        <v>4.1329775721018791</v>
      </c>
      <c r="BB66" s="149">
        <f t="shared" si="39"/>
        <v>19702.760399725215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</row>
    <row r="67" spans="2:67" x14ac:dyDescent="0.25">
      <c r="B67" s="199" t="s">
        <v>586</v>
      </c>
      <c r="C67" s="199"/>
      <c r="D67" s="199"/>
      <c r="E67" s="199"/>
      <c r="I67" s="199" t="s">
        <v>586</v>
      </c>
      <c r="J67" s="199"/>
      <c r="K67" s="199"/>
      <c r="L67" s="199"/>
      <c r="R67">
        <v>2009</v>
      </c>
      <c r="AG67" s="10">
        <v>16181</v>
      </c>
      <c r="AH67" s="10">
        <v>2531</v>
      </c>
      <c r="AK67" s="83">
        <v>2009</v>
      </c>
      <c r="AL67" s="10">
        <v>16181</v>
      </c>
      <c r="AM67" s="10">
        <v>2531</v>
      </c>
      <c r="AN67" s="137">
        <f>AM67*AN70</f>
        <v>217.21409643950136</v>
      </c>
      <c r="AO67" s="137">
        <f t="shared" ref="AO67:BA67" si="55">AN67*AO70</f>
        <v>117.15027895674733</v>
      </c>
      <c r="AP67" s="137">
        <f t="shared" si="55"/>
        <v>85.544055974166227</v>
      </c>
      <c r="AQ67" s="137">
        <f t="shared" si="55"/>
        <v>56.044182694939408</v>
      </c>
      <c r="AR67" s="137">
        <f t="shared" si="55"/>
        <v>40.023113591217275</v>
      </c>
      <c r="AS67" s="137">
        <f t="shared" si="55"/>
        <v>26.370369235334746</v>
      </c>
      <c r="AT67" s="137">
        <f t="shared" si="55"/>
        <v>16.871722382304853</v>
      </c>
      <c r="AU67" s="137">
        <f t="shared" si="55"/>
        <v>13.777345351489116</v>
      </c>
      <c r="AV67" s="137">
        <f t="shared" si="55"/>
        <v>9.044024249137026</v>
      </c>
      <c r="AW67" s="137">
        <f t="shared" si="55"/>
        <v>5.1072136936303201</v>
      </c>
      <c r="AX67" s="137">
        <f t="shared" si="55"/>
        <v>6.5664176060961266</v>
      </c>
      <c r="AY67" s="137">
        <f t="shared" si="55"/>
        <v>3.7268856683248286</v>
      </c>
      <c r="AZ67" s="137">
        <f t="shared" si="55"/>
        <v>2.8499713934248687</v>
      </c>
      <c r="BA67" s="137">
        <f t="shared" si="55"/>
        <v>5.1299485081647642</v>
      </c>
      <c r="BB67" s="149">
        <f t="shared" si="39"/>
        <v>19317.419625744478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</row>
    <row r="68" spans="2:67" ht="17.25" x14ac:dyDescent="0.25">
      <c r="B68" s="147" t="s">
        <v>510</v>
      </c>
      <c r="C68" s="147" t="s">
        <v>584</v>
      </c>
      <c r="D68" s="147" t="s">
        <v>567</v>
      </c>
      <c r="E68" s="147" t="s">
        <v>587</v>
      </c>
      <c r="I68" s="144" t="s">
        <v>510</v>
      </c>
      <c r="J68" s="144" t="s">
        <v>584</v>
      </c>
      <c r="K68" s="144" t="s">
        <v>567</v>
      </c>
      <c r="L68" s="144" t="s">
        <v>587</v>
      </c>
      <c r="R68">
        <v>2010</v>
      </c>
      <c r="AH68" s="10">
        <v>16361</v>
      </c>
      <c r="AK68" s="138">
        <v>2010</v>
      </c>
      <c r="AL68" s="139">
        <v>16361</v>
      </c>
      <c r="AM68" s="139">
        <f>AL68*AM70</f>
        <v>4362.4824628922215</v>
      </c>
      <c r="AN68" s="139">
        <f t="shared" ref="AN68:BA68" si="56">AM68*AN70</f>
        <v>374.39458175041659</v>
      </c>
      <c r="AO68" s="139">
        <f t="shared" si="56"/>
        <v>201.92257505797784</v>
      </c>
      <c r="AP68" s="139">
        <f t="shared" si="56"/>
        <v>147.4454539675902</v>
      </c>
      <c r="AQ68" s="139">
        <f t="shared" si="56"/>
        <v>96.598879555037897</v>
      </c>
      <c r="AR68" s="139">
        <f t="shared" si="56"/>
        <v>68.984642888988034</v>
      </c>
      <c r="AS68" s="139">
        <f t="shared" si="56"/>
        <v>45.452498352090245</v>
      </c>
      <c r="AT68" s="139">
        <f t="shared" si="56"/>
        <v>29.080439751715172</v>
      </c>
      <c r="AU68" s="139">
        <f t="shared" si="56"/>
        <v>23.746909316902784</v>
      </c>
      <c r="AV68" s="139">
        <f t="shared" si="56"/>
        <v>15.588461944224527</v>
      </c>
      <c r="AW68" s="139">
        <f t="shared" si="56"/>
        <v>8.8028961567385569</v>
      </c>
      <c r="AX68" s="139">
        <f t="shared" si="56"/>
        <v>11.318009344378146</v>
      </c>
      <c r="AY68" s="139">
        <f t="shared" si="56"/>
        <v>6.4237350332957037</v>
      </c>
      <c r="AZ68" s="139">
        <f t="shared" si="56"/>
        <v>4.9122679666378906</v>
      </c>
      <c r="BA68" s="139">
        <f t="shared" si="56"/>
        <v>8.8420823399482025</v>
      </c>
      <c r="BB68" s="139">
        <f t="shared" si="39"/>
        <v>21766.99589631816</v>
      </c>
    </row>
    <row r="69" spans="2:67" x14ac:dyDescent="0.25">
      <c r="B69" s="16" t="s">
        <v>561</v>
      </c>
      <c r="C69" s="16">
        <f>('Tabla de mortalidad'!T9+'Tabla de mortalidad'!T10)/(2*'Tabla de mortalidad'!T5)</f>
        <v>0.98199499999999995</v>
      </c>
      <c r="D69" s="16">
        <f>E30</f>
        <v>33.760109466699845</v>
      </c>
      <c r="E69" s="16">
        <f>C69*D69</f>
        <v>33.152258695751911</v>
      </c>
      <c r="I69" s="16" t="s">
        <v>561</v>
      </c>
      <c r="J69" s="16">
        <f>('Tabla de mortalidad'!T48+'Tabla de mortalidad'!T49)/(2*'Tabla de mortalidad'!T44)</f>
        <v>0.98278500000000002</v>
      </c>
      <c r="K69" s="16">
        <f>L30</f>
        <v>38.821243348520731</v>
      </c>
      <c r="L69" s="16">
        <f>J69*K69</f>
        <v>38.152935644275949</v>
      </c>
      <c r="BB69" s="149"/>
    </row>
    <row r="70" spans="2:67" x14ac:dyDescent="0.25">
      <c r="B70" s="16" t="s">
        <v>555</v>
      </c>
      <c r="C70" s="16">
        <f>('Tabla de mortalidad'!T10+'Tabla de mortalidad'!T11)/(2*'Tabla de mortalidad'!T6)</f>
        <v>0.99172265846353114</v>
      </c>
      <c r="D70" s="16">
        <f t="shared" ref="D70:D75" si="57">E31</f>
        <v>70.155401975978918</v>
      </c>
      <c r="E70" s="16">
        <f t="shared" ref="E70:E75" si="58">C70*D70</f>
        <v>69.574701753195484</v>
      </c>
      <c r="I70" s="16" t="s">
        <v>555</v>
      </c>
      <c r="J70" s="16">
        <f>('Tabla de mortalidad'!T49+'Tabla de mortalidad'!T50)/(2*'Tabla de mortalidad'!T45)</f>
        <v>0.99176821560398443</v>
      </c>
      <c r="K70" s="16">
        <f t="shared" ref="K70:K75" si="59">L31</f>
        <v>70.368235604156709</v>
      </c>
      <c r="L70" s="16">
        <f t="shared" ref="L70:L75" si="60">J70*K70</f>
        <v>69.78897946033527</v>
      </c>
      <c r="AK70" t="s">
        <v>599</v>
      </c>
      <c r="AM70">
        <f>SUM(AM53:AM67)/SUM(AL53:AL67)</f>
        <v>0.2666391090332022</v>
      </c>
      <c r="AN70">
        <f>SUM(AN53:AN66)/SUM(AM53:AM66)</f>
        <v>8.5821452564006862E-2</v>
      </c>
      <c r="AO70">
        <f>SUM(AO53:AO65)/SUM(AN53:AN65)</f>
        <v>0.5393309222423146</v>
      </c>
      <c r="AP70">
        <f>SUM(AP53:AP64)/SUM(AO53:AO64)</f>
        <v>0.73020787262273334</v>
      </c>
      <c r="AQ70">
        <f>SUM(AQ53:AQ63)/SUM(AP53:AP63)</f>
        <v>0.65514993481095174</v>
      </c>
      <c r="AR70">
        <f>SUM(AR53:AR62)/SUM(AQ53:AQ62)</f>
        <v>0.71413502109704641</v>
      </c>
      <c r="AS70">
        <f>SUM(AS53:AS61)/SUM(AR53:AR61)</f>
        <v>0.65887850467289721</v>
      </c>
      <c r="AT70">
        <f>SUM(AT53:AT60)/SUM(AS53:AS60)</f>
        <v>0.63979848866498745</v>
      </c>
      <c r="AU70">
        <f>SUM(AU53:AU59)/SUM(AT53:AT59)</f>
        <v>0.81659388646288211</v>
      </c>
      <c r="AV70">
        <f>SUM(AV53:AV58)/SUM(AU53:AU58)</f>
        <v>0.65644171779141103</v>
      </c>
      <c r="AW70">
        <f>SUM(AW53:AW57)/SUM(AV53:AV57)</f>
        <v>0.56470588235294117</v>
      </c>
      <c r="AX70">
        <f>SUM(AX53:AX56)/SUM(AW53:AW56)</f>
        <v>1.2857142857142858</v>
      </c>
      <c r="AY70">
        <f>SUM(AY53:AY55)/SUM(AX53:AX55)</f>
        <v>0.56756756756756754</v>
      </c>
      <c r="AZ70">
        <f>SUM(AZ53:AZ54)/SUM(AY53:AY54)</f>
        <v>0.76470588235294112</v>
      </c>
      <c r="BA70">
        <f>BA53/AZ53</f>
        <v>1.8</v>
      </c>
    </row>
    <row r="71" spans="2:67" x14ac:dyDescent="0.25">
      <c r="B71" s="16" t="s">
        <v>559</v>
      </c>
      <c r="C71" s="16">
        <f>('Tabla de mortalidad'!T11+'Tabla de mortalidad'!T12)/(2*'Tabla de mortalidad'!T7)</f>
        <v>0.99136374700799224</v>
      </c>
      <c r="D71" s="16">
        <f t="shared" si="57"/>
        <v>67.503067997968159</v>
      </c>
      <c r="E71" s="16">
        <f t="shared" si="58"/>
        <v>66.920094425000997</v>
      </c>
      <c r="I71" s="16" t="s">
        <v>559</v>
      </c>
      <c r="J71" s="16">
        <f>('Tabla de mortalidad'!T50+'Tabla de mortalidad'!T51)/(2*'Tabla de mortalidad'!T46)</f>
        <v>0.99157645055346066</v>
      </c>
      <c r="K71" s="16">
        <f t="shared" si="59"/>
        <v>67.554717171425906</v>
      </c>
      <c r="L71" s="16">
        <f t="shared" si="60"/>
        <v>66.985666670985424</v>
      </c>
    </row>
    <row r="72" spans="2:67" x14ac:dyDescent="0.25">
      <c r="B72" s="16" t="s">
        <v>556</v>
      </c>
      <c r="C72" s="16">
        <f>('Tabla de mortalidad'!T12+'Tabla de mortalidad'!T13)/(2*'Tabla de mortalidad'!T8)</f>
        <v>0.98930182468403305</v>
      </c>
      <c r="D72" s="16">
        <f t="shared" si="57"/>
        <v>50.516607266356694</v>
      </c>
      <c r="E72" s="16">
        <f t="shared" si="58"/>
        <v>49.976171745453357</v>
      </c>
      <c r="I72" s="16" t="s">
        <v>556</v>
      </c>
      <c r="J72" s="16">
        <f>('Tabla de mortalidad'!T51+'Tabla de mortalidad'!T52)/(2*'Tabla de mortalidad'!T47)</f>
        <v>0.98984717486604967</v>
      </c>
      <c r="K72" s="16">
        <f t="shared" si="59"/>
        <v>50.838045544276191</v>
      </c>
      <c r="L72" s="16">
        <f t="shared" si="60"/>
        <v>50.321895757713349</v>
      </c>
    </row>
    <row r="73" spans="2:67" x14ac:dyDescent="0.25">
      <c r="B73" s="16" t="s">
        <v>560</v>
      </c>
      <c r="C73" s="16">
        <f>('Tabla de mortalidad'!T13+'Tabla de mortalidad'!T14)/(2*'Tabla de mortalidad'!T9)</f>
        <v>0.98667141476318865</v>
      </c>
      <c r="D73" s="16">
        <f t="shared" si="57"/>
        <v>25.978641160328387</v>
      </c>
      <c r="E73" s="16">
        <f t="shared" si="58"/>
        <v>25.632382627286415</v>
      </c>
      <c r="I73" s="16" t="s">
        <v>560</v>
      </c>
      <c r="J73" s="16">
        <f>('Tabla de mortalidad'!T52+'Tabla de mortalidad'!T53)/(2*'Tabla de mortalidad'!T48)</f>
        <v>0.98798959063970804</v>
      </c>
      <c r="K73" s="16">
        <f t="shared" si="59"/>
        <v>26.36503245126617</v>
      </c>
      <c r="L73" s="16">
        <f t="shared" si="60"/>
        <v>26.048377618729081</v>
      </c>
    </row>
    <row r="74" spans="2:67" x14ac:dyDescent="0.25">
      <c r="B74" s="16" t="s">
        <v>557</v>
      </c>
      <c r="C74" s="16">
        <f>('Tabla de mortalidad'!T14+'Tabla de mortalidad'!T15)/(2*'Tabla de mortalidad'!T10)</f>
        <v>0.98252033348961409</v>
      </c>
      <c r="D74" s="16">
        <f t="shared" si="57"/>
        <v>8.406992358615561</v>
      </c>
      <c r="E74" s="16">
        <f t="shared" si="58"/>
        <v>8.2600409358315989</v>
      </c>
      <c r="I74" s="16" t="s">
        <v>557</v>
      </c>
      <c r="J74" s="16">
        <f>('Tabla de mortalidad'!T53+'Tabla de mortalidad'!T54)/(2*'Tabla de mortalidad'!T49)</f>
        <v>0.98322028029006758</v>
      </c>
      <c r="K74" s="16">
        <f t="shared" si="59"/>
        <v>7.0475407004420365</v>
      </c>
      <c r="L74" s="16">
        <f t="shared" si="60"/>
        <v>6.9292849428442782</v>
      </c>
    </row>
    <row r="75" spans="2:67" x14ac:dyDescent="0.25">
      <c r="B75" s="16" t="s">
        <v>558</v>
      </c>
      <c r="C75" s="16">
        <f>('Tabla de mortalidad'!T15+'Tabla de mortalidad'!T16)/(2*'Tabla de mortalidad'!T11)</f>
        <v>0.97419763427240602</v>
      </c>
      <c r="D75" s="16">
        <f t="shared" si="57"/>
        <v>1.1714001792465984</v>
      </c>
      <c r="E75" s="16">
        <f t="shared" si="58"/>
        <v>1.1411752834083086</v>
      </c>
      <c r="I75" s="16" t="s">
        <v>558</v>
      </c>
      <c r="J75" s="16">
        <f>('Tabla de mortalidad'!T54+'Tabla de mortalidad'!T55)/(2*'Tabla de mortalidad'!T50)</f>
        <v>0.97417770881398147</v>
      </c>
      <c r="K75" s="16">
        <f t="shared" si="59"/>
        <v>0.60943648990332822</v>
      </c>
      <c r="L75" s="16">
        <f t="shared" si="60"/>
        <v>0.59369944340165948</v>
      </c>
    </row>
    <row r="77" spans="2:67" x14ac:dyDescent="0.25">
      <c r="C77" s="124" t="s">
        <v>589</v>
      </c>
      <c r="D77" s="16">
        <f>5*(SUM(E69:E75))/1000</f>
        <v>1.2732841273296402</v>
      </c>
      <c r="J77" s="126" t="s">
        <v>589</v>
      </c>
      <c r="K77" s="16">
        <f>5*(SUM(L69:L75))/1000</f>
        <v>1.2941041976914254</v>
      </c>
    </row>
    <row r="80" spans="2:67" x14ac:dyDescent="0.25">
      <c r="B80" s="199" t="s">
        <v>590</v>
      </c>
      <c r="C80" s="199"/>
      <c r="D80" s="199"/>
      <c r="E80" s="199"/>
      <c r="I80" s="199" t="s">
        <v>590</v>
      </c>
      <c r="J80" s="199"/>
      <c r="K80" s="199"/>
      <c r="L80" s="199"/>
    </row>
    <row r="81" spans="2:12" x14ac:dyDescent="0.25">
      <c r="B81" s="147" t="s">
        <v>510</v>
      </c>
      <c r="C81" s="147" t="s">
        <v>591</v>
      </c>
      <c r="D81" s="147" t="s">
        <v>566</v>
      </c>
      <c r="E81" s="147" t="s">
        <v>592</v>
      </c>
      <c r="I81" s="144" t="s">
        <v>510</v>
      </c>
      <c r="J81" s="144" t="s">
        <v>591</v>
      </c>
      <c r="K81" s="144" t="s">
        <v>566</v>
      </c>
      <c r="L81" s="144" t="s">
        <v>592</v>
      </c>
    </row>
    <row r="82" spans="2:12" x14ac:dyDescent="0.25">
      <c r="B82" s="16" t="s">
        <v>561</v>
      </c>
      <c r="C82" s="16">
        <f>(15+20)/2</f>
        <v>17.5</v>
      </c>
      <c r="D82" s="16">
        <f>D30</f>
        <v>68.7605552076636</v>
      </c>
      <c r="E82" s="16">
        <f>D82*C82</f>
        <v>1203.3097161341129</v>
      </c>
      <c r="I82" s="16" t="s">
        <v>561</v>
      </c>
      <c r="J82" s="16">
        <f>(15+20)/2</f>
        <v>17.5</v>
      </c>
      <c r="K82" s="16">
        <f>K30</f>
        <v>79.39889883962384</v>
      </c>
      <c r="L82" s="16">
        <f>K82*J82</f>
        <v>1389.4807296934173</v>
      </c>
    </row>
    <row r="83" spans="2:12" x14ac:dyDescent="0.25">
      <c r="B83" s="16" t="s">
        <v>555</v>
      </c>
      <c r="C83" s="16">
        <f>(20+25)/2</f>
        <v>22.5</v>
      </c>
      <c r="D83" s="16">
        <f t="shared" ref="D83:D88" si="61">D31</f>
        <v>142.88829233339226</v>
      </c>
      <c r="E83" s="16">
        <f t="shared" ref="E83:E88" si="62">D83*C83</f>
        <v>3214.9865775013259</v>
      </c>
      <c r="I83" s="16" t="s">
        <v>555</v>
      </c>
      <c r="J83" s="16">
        <f>(20+25)/2</f>
        <v>22.5</v>
      </c>
      <c r="K83" s="16">
        <f t="shared" ref="K83:K88" si="63">K31</f>
        <v>143.92018231096023</v>
      </c>
      <c r="L83" s="16">
        <f t="shared" ref="L83:L88" si="64">K83*J83</f>
        <v>3238.204101996605</v>
      </c>
    </row>
    <row r="84" spans="2:12" x14ac:dyDescent="0.25">
      <c r="B84" s="16" t="s">
        <v>559</v>
      </c>
      <c r="C84" s="16">
        <f>(25+30)/2</f>
        <v>27.5</v>
      </c>
      <c r="D84" s="16">
        <f t="shared" si="61"/>
        <v>137.48617842425159</v>
      </c>
      <c r="E84" s="16">
        <f t="shared" si="62"/>
        <v>3780.8699066669187</v>
      </c>
      <c r="I84" s="16" t="s">
        <v>559</v>
      </c>
      <c r="J84" s="16">
        <f>(25+30)/2</f>
        <v>27.5</v>
      </c>
      <c r="K84" s="16">
        <f t="shared" si="63"/>
        <v>138.16585179098414</v>
      </c>
      <c r="L84" s="16">
        <f t="shared" si="64"/>
        <v>3799.5609242520636</v>
      </c>
    </row>
    <row r="85" spans="2:12" x14ac:dyDescent="0.25">
      <c r="B85" s="16" t="s">
        <v>556</v>
      </c>
      <c r="C85" s="16">
        <f>(30+35)/2</f>
        <v>32.5</v>
      </c>
      <c r="D85" s="16">
        <f t="shared" si="61"/>
        <v>102.88917949950384</v>
      </c>
      <c r="E85" s="16">
        <f t="shared" si="62"/>
        <v>3343.898333733875</v>
      </c>
      <c r="I85" s="16" t="s">
        <v>556</v>
      </c>
      <c r="J85" s="16">
        <f>(30+35)/2</f>
        <v>32.5</v>
      </c>
      <c r="K85" s="16">
        <f t="shared" si="63"/>
        <v>103.9761864177383</v>
      </c>
      <c r="L85" s="16">
        <f t="shared" si="64"/>
        <v>3379.2260585764948</v>
      </c>
    </row>
    <row r="86" spans="2:12" x14ac:dyDescent="0.25">
      <c r="B86" s="16" t="s">
        <v>560</v>
      </c>
      <c r="C86" s="16">
        <f>(35+40)/2</f>
        <v>37.5</v>
      </c>
      <c r="D86" s="16">
        <f t="shared" si="61"/>
        <v>52.91172978828196</v>
      </c>
      <c r="E86" s="16">
        <f t="shared" si="62"/>
        <v>1984.1898670605735</v>
      </c>
      <c r="I86" s="16" t="s">
        <v>560</v>
      </c>
      <c r="J86" s="16">
        <f>(35+40)/2</f>
        <v>37.5</v>
      </c>
      <c r="K86" s="16">
        <f t="shared" si="63"/>
        <v>53.922913434488152</v>
      </c>
      <c r="L86" s="16">
        <f t="shared" si="64"/>
        <v>2022.1092537933057</v>
      </c>
    </row>
    <row r="87" spans="2:12" x14ac:dyDescent="0.25">
      <c r="B87" s="16" t="s">
        <v>557</v>
      </c>
      <c r="C87" s="16">
        <f>(40+45)/2</f>
        <v>42.5</v>
      </c>
      <c r="D87" s="16">
        <f t="shared" si="61"/>
        <v>17.122855089530592</v>
      </c>
      <c r="E87" s="16">
        <f t="shared" si="62"/>
        <v>727.72134130505015</v>
      </c>
      <c r="I87" s="16" t="s">
        <v>557</v>
      </c>
      <c r="J87" s="16">
        <f>(40+45)/2</f>
        <v>42.5</v>
      </c>
      <c r="K87" s="16">
        <f t="shared" si="63"/>
        <v>14.413937392962223</v>
      </c>
      <c r="L87" s="16">
        <f t="shared" si="64"/>
        <v>612.59233920089446</v>
      </c>
    </row>
    <row r="88" spans="2:12" x14ac:dyDescent="0.25">
      <c r="B88" s="16" t="s">
        <v>558</v>
      </c>
      <c r="C88" s="16">
        <f>(45+50)/2</f>
        <v>47.5</v>
      </c>
      <c r="D88" s="16">
        <f t="shared" si="61"/>
        <v>2.3858372489817166</v>
      </c>
      <c r="E88" s="16">
        <f t="shared" si="62"/>
        <v>113.32726932663154</v>
      </c>
      <c r="I88" s="16" t="s">
        <v>558</v>
      </c>
      <c r="J88" s="16">
        <f>(45+50)/2</f>
        <v>47.5</v>
      </c>
      <c r="K88" s="16">
        <f t="shared" si="63"/>
        <v>1.2464460701734226</v>
      </c>
      <c r="L88" s="16">
        <f t="shared" si="64"/>
        <v>59.20618833323757</v>
      </c>
    </row>
    <row r="90" spans="2:12" x14ac:dyDescent="0.25">
      <c r="C90" s="124"/>
      <c r="D90" s="16">
        <f>(SUM(E82:E88))/SUM(D82:D88)</f>
        <v>27.397178378414701</v>
      </c>
      <c r="J90" s="126"/>
      <c r="K90" s="16">
        <f>(SUM(L82:L88))/SUM(K82:K88)</f>
        <v>27.101263288173222</v>
      </c>
    </row>
    <row r="92" spans="2:12" x14ac:dyDescent="0.25">
      <c r="B92" s="221">
        <v>2005</v>
      </c>
      <c r="C92" s="221"/>
      <c r="I92" s="222">
        <v>2010</v>
      </c>
      <c r="J92" s="222"/>
    </row>
    <row r="93" spans="2:12" x14ac:dyDescent="0.25">
      <c r="B93" s="199" t="s">
        <v>593</v>
      </c>
      <c r="C93" s="199"/>
      <c r="I93" s="199" t="s">
        <v>593</v>
      </c>
      <c r="J93" s="199"/>
    </row>
    <row r="94" spans="2:12" ht="18" x14ac:dyDescent="0.35">
      <c r="B94" s="124" t="s">
        <v>594</v>
      </c>
      <c r="C94" s="133">
        <f>(D30)/SUM(D30:D36)</f>
        <v>0.13111118236339084</v>
      </c>
      <c r="I94" s="126" t="s">
        <v>594</v>
      </c>
      <c r="J94" s="133">
        <f>(K30)/SUM(K30:K36)</f>
        <v>0.14839683664971881</v>
      </c>
    </row>
    <row r="95" spans="2:12" ht="18" x14ac:dyDescent="0.35">
      <c r="B95" s="124" t="s">
        <v>595</v>
      </c>
      <c r="C95" s="133">
        <f>(SUM(D31,D32,D33))/SUM(D30:D36)</f>
        <v>0.73079907790685183</v>
      </c>
      <c r="I95" s="126" t="s">
        <v>595</v>
      </c>
      <c r="J95" s="133">
        <f>(SUM(K31,K32,K33))/SUM(K30:K36)</f>
        <v>0.72155172316440774</v>
      </c>
    </row>
    <row r="96" spans="2:12" ht="18" x14ac:dyDescent="0.35">
      <c r="B96" s="124" t="s">
        <v>596</v>
      </c>
      <c r="C96" s="133">
        <f>(SUM(D34,D35,D36))/SUM(D30:D36)</f>
        <v>0.13808973972975722</v>
      </c>
      <c r="I96" s="126" t="s">
        <v>596</v>
      </c>
      <c r="J96" s="133">
        <f>(SUM(K34,K35,K36))/SUM(K30:K36)</f>
        <v>0.13005144018587356</v>
      </c>
    </row>
  </sheetData>
  <mergeCells count="35">
    <mergeCell ref="B2:M2"/>
    <mergeCell ref="B4:C4"/>
    <mergeCell ref="E4:F4"/>
    <mergeCell ref="I4:J4"/>
    <mergeCell ref="L4:M4"/>
    <mergeCell ref="B93:C93"/>
    <mergeCell ref="I93:J93"/>
    <mergeCell ref="B54:E54"/>
    <mergeCell ref="I54:L54"/>
    <mergeCell ref="B10:E10"/>
    <mergeCell ref="I10:L10"/>
    <mergeCell ref="B28:F28"/>
    <mergeCell ref="I28:M28"/>
    <mergeCell ref="AK3:BB3"/>
    <mergeCell ref="B16:F16"/>
    <mergeCell ref="I16:M16"/>
    <mergeCell ref="B41:M41"/>
    <mergeCell ref="C43:D43"/>
    <mergeCell ref="J43:K43"/>
    <mergeCell ref="B5:C5"/>
    <mergeCell ref="E5:F5"/>
    <mergeCell ref="I5:J5"/>
    <mergeCell ref="L5:M5"/>
    <mergeCell ref="BE33:BF33"/>
    <mergeCell ref="BE17:BF17"/>
    <mergeCell ref="B92:C92"/>
    <mergeCell ref="I92:J92"/>
    <mergeCell ref="AK50:BB50"/>
    <mergeCell ref="AK26:BB26"/>
    <mergeCell ref="C47:D47"/>
    <mergeCell ref="J47:K47"/>
    <mergeCell ref="B67:E67"/>
    <mergeCell ref="I67:L67"/>
    <mergeCell ref="B80:E80"/>
    <mergeCell ref="I80:L8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75ED-4B7A-47E9-9571-3F8ABAC451BD}">
  <dimension ref="A1:AH40"/>
  <sheetViews>
    <sheetView zoomScale="68" zoomScaleNormal="50" workbookViewId="0">
      <selection activeCell="J35" sqref="J35"/>
    </sheetView>
  </sheetViews>
  <sheetFormatPr baseColWidth="10" defaultRowHeight="15" x14ac:dyDescent="0.25"/>
  <cols>
    <col min="1" max="1" width="24.28515625" customWidth="1"/>
    <col min="2" max="2" width="15.7109375" customWidth="1"/>
    <col min="3" max="3" width="16" customWidth="1"/>
    <col min="4" max="4" width="20" customWidth="1"/>
    <col min="6" max="6" width="15.5703125" customWidth="1"/>
    <col min="12" max="12" width="13.7109375" customWidth="1"/>
    <col min="20" max="20" width="13.140625" customWidth="1"/>
    <col min="24" max="24" width="14.28515625" customWidth="1"/>
    <col min="25" max="25" width="16.7109375" customWidth="1"/>
    <col min="29" max="29" width="12.85546875" customWidth="1"/>
  </cols>
  <sheetData>
    <row r="1" spans="1:34" ht="34.9" customHeight="1" x14ac:dyDescent="0.25">
      <c r="A1" s="157" t="s">
        <v>617</v>
      </c>
      <c r="B1" s="157" t="s">
        <v>618</v>
      </c>
      <c r="C1" s="157" t="s">
        <v>619</v>
      </c>
      <c r="D1" s="157" t="s">
        <v>620</v>
      </c>
      <c r="E1" s="157" t="s">
        <v>621</v>
      </c>
      <c r="F1" s="157" t="s">
        <v>652</v>
      </c>
      <c r="G1" s="157" t="s">
        <v>623</v>
      </c>
      <c r="H1" s="157" t="s">
        <v>624</v>
      </c>
      <c r="I1" s="157" t="s">
        <v>625</v>
      </c>
      <c r="J1" s="157" t="s">
        <v>626</v>
      </c>
      <c r="K1" s="157" t="s">
        <v>627</v>
      </c>
      <c r="L1" s="157" t="s">
        <v>628</v>
      </c>
      <c r="M1" s="157" t="s">
        <v>629</v>
      </c>
      <c r="N1" s="157" t="s">
        <v>630</v>
      </c>
      <c r="O1" s="157" t="s">
        <v>631</v>
      </c>
      <c r="P1" s="157" t="s">
        <v>632</v>
      </c>
      <c r="Q1" s="157" t="s">
        <v>651</v>
      </c>
      <c r="R1" s="157" t="s">
        <v>634</v>
      </c>
      <c r="S1" s="157" t="s">
        <v>635</v>
      </c>
      <c r="T1" s="157" t="s">
        <v>636</v>
      </c>
      <c r="U1" s="157" t="s">
        <v>637</v>
      </c>
      <c r="V1" s="157" t="s">
        <v>638</v>
      </c>
      <c r="W1" s="163" t="s">
        <v>639</v>
      </c>
      <c r="X1" s="157" t="s">
        <v>640</v>
      </c>
      <c r="Y1" s="157" t="s">
        <v>641</v>
      </c>
      <c r="Z1" s="157" t="s">
        <v>642</v>
      </c>
      <c r="AA1" s="157" t="s">
        <v>643</v>
      </c>
      <c r="AB1" s="157" t="s">
        <v>644</v>
      </c>
      <c r="AC1" s="157" t="s">
        <v>645</v>
      </c>
      <c r="AD1" s="157" t="s">
        <v>646</v>
      </c>
      <c r="AE1" s="157" t="s">
        <v>650</v>
      </c>
      <c r="AF1" s="157" t="s">
        <v>647</v>
      </c>
      <c r="AG1" s="157" t="s">
        <v>648</v>
      </c>
      <c r="AH1" s="157" t="s">
        <v>649</v>
      </c>
    </row>
    <row r="2" spans="1:34" x14ac:dyDescent="0.25">
      <c r="A2" s="158" t="s">
        <v>618</v>
      </c>
      <c r="B2" s="158"/>
      <c r="C2" s="158">
        <v>288</v>
      </c>
      <c r="D2" s="158">
        <v>35</v>
      </c>
      <c r="E2" s="158">
        <v>5</v>
      </c>
      <c r="F2" s="158">
        <v>324</v>
      </c>
      <c r="G2" s="158">
        <v>88</v>
      </c>
      <c r="H2" s="158">
        <v>117</v>
      </c>
      <c r="I2" s="158">
        <v>357</v>
      </c>
      <c r="J2" s="159">
        <v>3427</v>
      </c>
      <c r="K2" s="158">
        <v>247</v>
      </c>
      <c r="L2" s="158">
        <v>924</v>
      </c>
      <c r="M2" s="158">
        <v>133</v>
      </c>
      <c r="N2" s="158">
        <v>265</v>
      </c>
      <c r="O2" s="159">
        <v>2966</v>
      </c>
      <c r="P2" s="159">
        <v>2590</v>
      </c>
      <c r="Q2" s="158">
        <v>375</v>
      </c>
      <c r="R2" s="158">
        <v>193</v>
      </c>
      <c r="S2" s="158">
        <v>101</v>
      </c>
      <c r="T2" s="158">
        <v>357</v>
      </c>
      <c r="U2" s="158">
        <v>172</v>
      </c>
      <c r="V2" s="158">
        <v>284</v>
      </c>
      <c r="W2" s="161">
        <v>281</v>
      </c>
      <c r="X2" s="158">
        <v>71</v>
      </c>
      <c r="Y2" s="158">
        <v>651</v>
      </c>
      <c r="Z2" s="158">
        <v>154</v>
      </c>
      <c r="AA2" s="158">
        <v>136</v>
      </c>
      <c r="AB2" s="158">
        <v>58</v>
      </c>
      <c r="AC2" s="158">
        <v>191</v>
      </c>
      <c r="AD2" s="158">
        <v>45</v>
      </c>
      <c r="AE2" s="158">
        <v>442</v>
      </c>
      <c r="AF2" s="158">
        <v>45</v>
      </c>
      <c r="AG2" s="159">
        <v>2350</v>
      </c>
      <c r="AH2" s="160">
        <v>5963</v>
      </c>
    </row>
    <row r="3" spans="1:34" x14ac:dyDescent="0.25">
      <c r="A3" s="158" t="s">
        <v>619</v>
      </c>
      <c r="B3" s="158">
        <v>313</v>
      </c>
      <c r="C3" s="158"/>
      <c r="D3" s="159">
        <v>1582</v>
      </c>
      <c r="E3" s="158">
        <v>131</v>
      </c>
      <c r="F3" s="158">
        <v>441</v>
      </c>
      <c r="G3" s="158">
        <v>824</v>
      </c>
      <c r="H3" s="159">
        <v>8602</v>
      </c>
      <c r="I3" s="159">
        <v>1074</v>
      </c>
      <c r="J3" s="159">
        <v>3804</v>
      </c>
      <c r="K3" s="159">
        <v>1837</v>
      </c>
      <c r="L3" s="159">
        <v>1787</v>
      </c>
      <c r="M3" s="159">
        <v>3848</v>
      </c>
      <c r="N3" s="158">
        <v>652</v>
      </c>
      <c r="O3" s="159">
        <v>5969</v>
      </c>
      <c r="P3" s="159">
        <v>4018</v>
      </c>
      <c r="Q3" s="159">
        <v>4307</v>
      </c>
      <c r="R3" s="158">
        <v>816</v>
      </c>
      <c r="S3" s="159">
        <v>4018</v>
      </c>
      <c r="T3" s="158">
        <v>539</v>
      </c>
      <c r="U3" s="159">
        <v>3528</v>
      </c>
      <c r="V3" s="159">
        <v>1939</v>
      </c>
      <c r="W3" s="161">
        <v>338</v>
      </c>
      <c r="X3" s="158">
        <v>235</v>
      </c>
      <c r="Y3" s="158">
        <v>227</v>
      </c>
      <c r="Z3" s="159">
        <v>19221</v>
      </c>
      <c r="AA3" s="159">
        <v>9494</v>
      </c>
      <c r="AB3" s="158">
        <v>868</v>
      </c>
      <c r="AC3" s="158">
        <v>405</v>
      </c>
      <c r="AD3" s="158">
        <v>304</v>
      </c>
      <c r="AE3" s="159">
        <v>6100</v>
      </c>
      <c r="AF3" s="158">
        <v>155</v>
      </c>
      <c r="AG3" s="158">
        <v>587</v>
      </c>
      <c r="AH3" s="160">
        <v>25571</v>
      </c>
    </row>
    <row r="4" spans="1:34" x14ac:dyDescent="0.25">
      <c r="A4" s="158" t="s">
        <v>620</v>
      </c>
      <c r="B4" s="158">
        <v>55</v>
      </c>
      <c r="C4" s="159">
        <v>1556</v>
      </c>
      <c r="D4" s="158"/>
      <c r="E4" s="158">
        <v>81</v>
      </c>
      <c r="F4" s="158">
        <v>153</v>
      </c>
      <c r="G4" s="158">
        <v>103</v>
      </c>
      <c r="H4" s="158">
        <v>930</v>
      </c>
      <c r="I4" s="158">
        <v>220</v>
      </c>
      <c r="J4" s="159">
        <v>1280</v>
      </c>
      <c r="K4" s="158">
        <v>361</v>
      </c>
      <c r="L4" s="158">
        <v>249</v>
      </c>
      <c r="M4" s="159">
        <v>3286</v>
      </c>
      <c r="N4" s="158">
        <v>72</v>
      </c>
      <c r="O4" s="159">
        <v>1276</v>
      </c>
      <c r="P4" s="159">
        <v>1282</v>
      </c>
      <c r="Q4" s="158">
        <v>365</v>
      </c>
      <c r="R4" s="158">
        <v>154</v>
      </c>
      <c r="S4" s="158">
        <v>342</v>
      </c>
      <c r="T4" s="158">
        <v>158</v>
      </c>
      <c r="U4" s="159">
        <v>1309</v>
      </c>
      <c r="V4" s="158">
        <v>683</v>
      </c>
      <c r="W4" s="161">
        <v>82</v>
      </c>
      <c r="X4" s="158">
        <v>263</v>
      </c>
      <c r="Y4" s="158">
        <v>66</v>
      </c>
      <c r="Z4" s="159">
        <v>4680</v>
      </c>
      <c r="AA4" s="158">
        <v>959</v>
      </c>
      <c r="AB4" s="158">
        <v>158</v>
      </c>
      <c r="AC4" s="158">
        <v>168</v>
      </c>
      <c r="AD4" s="158">
        <v>88</v>
      </c>
      <c r="AE4" s="159">
        <v>2076</v>
      </c>
      <c r="AF4" s="158">
        <v>41</v>
      </c>
      <c r="AG4" s="158">
        <v>49</v>
      </c>
      <c r="AH4" s="160">
        <v>3317</v>
      </c>
    </row>
    <row r="5" spans="1:34" x14ac:dyDescent="0.25">
      <c r="A5" s="158" t="s">
        <v>621</v>
      </c>
      <c r="B5" s="158">
        <v>18</v>
      </c>
      <c r="C5" s="158">
        <v>87</v>
      </c>
      <c r="D5" s="158">
        <v>18</v>
      </c>
      <c r="E5" s="158"/>
      <c r="F5" s="158">
        <v>89</v>
      </c>
      <c r="G5" s="158">
        <v>19</v>
      </c>
      <c r="H5" s="159">
        <v>1231</v>
      </c>
      <c r="I5" s="158">
        <v>228</v>
      </c>
      <c r="J5" s="158">
        <v>637</v>
      </c>
      <c r="K5" s="158">
        <v>155</v>
      </c>
      <c r="L5" s="158">
        <v>86</v>
      </c>
      <c r="M5" s="158">
        <v>114</v>
      </c>
      <c r="N5" s="158">
        <v>36</v>
      </c>
      <c r="O5" s="158">
        <v>111</v>
      </c>
      <c r="P5" s="158">
        <v>613</v>
      </c>
      <c r="Q5" s="158">
        <v>126</v>
      </c>
      <c r="R5" s="158">
        <v>62</v>
      </c>
      <c r="S5" s="158">
        <v>21</v>
      </c>
      <c r="T5" s="158">
        <v>165</v>
      </c>
      <c r="U5" s="158">
        <v>293</v>
      </c>
      <c r="V5" s="158">
        <v>279</v>
      </c>
      <c r="W5" s="161">
        <v>73</v>
      </c>
      <c r="X5" s="159">
        <v>1199</v>
      </c>
      <c r="Y5" s="158">
        <v>60</v>
      </c>
      <c r="Z5" s="158">
        <v>66</v>
      </c>
      <c r="AA5" s="158">
        <v>46</v>
      </c>
      <c r="AB5" s="159">
        <v>3843</v>
      </c>
      <c r="AC5" s="158">
        <v>385</v>
      </c>
      <c r="AD5" s="158">
        <v>32</v>
      </c>
      <c r="AE5" s="159">
        <v>2279</v>
      </c>
      <c r="AF5" s="159">
        <v>1152</v>
      </c>
      <c r="AG5" s="158">
        <v>26</v>
      </c>
      <c r="AH5" s="160">
        <v>2426</v>
      </c>
    </row>
    <row r="6" spans="1:34" x14ac:dyDescent="0.25">
      <c r="A6" s="158" t="s">
        <v>622</v>
      </c>
      <c r="B6" s="158">
        <v>205</v>
      </c>
      <c r="C6" s="158">
        <v>288</v>
      </c>
      <c r="D6" s="158">
        <v>65</v>
      </c>
      <c r="E6" s="158">
        <v>128</v>
      </c>
      <c r="F6" s="158"/>
      <c r="G6" s="158">
        <v>63</v>
      </c>
      <c r="H6" s="158">
        <v>832</v>
      </c>
      <c r="I6" s="159">
        <v>2802</v>
      </c>
      <c r="J6" s="159">
        <v>1060</v>
      </c>
      <c r="K6" s="159">
        <v>2684</v>
      </c>
      <c r="L6" s="158">
        <v>571</v>
      </c>
      <c r="M6" s="158">
        <v>311</v>
      </c>
      <c r="N6" s="158">
        <v>258</v>
      </c>
      <c r="O6" s="158">
        <v>634</v>
      </c>
      <c r="P6" s="159">
        <v>1353</v>
      </c>
      <c r="Q6" s="158">
        <v>372</v>
      </c>
      <c r="R6" s="158">
        <v>267</v>
      </c>
      <c r="S6" s="158">
        <v>110</v>
      </c>
      <c r="T6" s="159">
        <v>3583</v>
      </c>
      <c r="U6" s="158">
        <v>412</v>
      </c>
      <c r="V6" s="158">
        <v>434</v>
      </c>
      <c r="W6" s="161">
        <v>218</v>
      </c>
      <c r="X6" s="158">
        <v>92</v>
      </c>
      <c r="Y6" s="158">
        <v>606</v>
      </c>
      <c r="Z6" s="158">
        <v>300</v>
      </c>
      <c r="AA6" s="158">
        <v>252</v>
      </c>
      <c r="AB6" s="158">
        <v>494</v>
      </c>
      <c r="AC6" s="159">
        <v>1305</v>
      </c>
      <c r="AD6" s="158">
        <v>64</v>
      </c>
      <c r="AE6" s="159">
        <v>2801</v>
      </c>
      <c r="AF6" s="158">
        <v>51</v>
      </c>
      <c r="AG6" s="159">
        <v>1221</v>
      </c>
      <c r="AH6" s="160">
        <v>7061</v>
      </c>
    </row>
    <row r="7" spans="1:34" x14ac:dyDescent="0.25">
      <c r="A7" s="158" t="s">
        <v>623</v>
      </c>
      <c r="B7" s="158">
        <v>98</v>
      </c>
      <c r="C7" s="158">
        <v>605</v>
      </c>
      <c r="D7" s="158">
        <v>68</v>
      </c>
      <c r="E7" s="158">
        <v>51</v>
      </c>
      <c r="F7" s="158">
        <v>89</v>
      </c>
      <c r="G7" s="158"/>
      <c r="H7" s="158">
        <v>367</v>
      </c>
      <c r="I7" s="158">
        <v>96</v>
      </c>
      <c r="J7" s="158">
        <v>923</v>
      </c>
      <c r="K7" s="158">
        <v>77</v>
      </c>
      <c r="L7" s="158">
        <v>313</v>
      </c>
      <c r="M7" s="158">
        <v>577</v>
      </c>
      <c r="N7" s="158">
        <v>82</v>
      </c>
      <c r="O7" s="159">
        <v>5342</v>
      </c>
      <c r="P7" s="158">
        <v>822</v>
      </c>
      <c r="Q7" s="159">
        <v>1869</v>
      </c>
      <c r="R7" s="158">
        <v>93</v>
      </c>
      <c r="S7" s="158">
        <v>199</v>
      </c>
      <c r="T7" s="158">
        <v>111</v>
      </c>
      <c r="U7" s="158">
        <v>346</v>
      </c>
      <c r="V7" s="158">
        <v>140</v>
      </c>
      <c r="W7" s="161">
        <v>103</v>
      </c>
      <c r="X7" s="158">
        <v>76</v>
      </c>
      <c r="Y7" s="158">
        <v>90</v>
      </c>
      <c r="Z7" s="158">
        <v>248</v>
      </c>
      <c r="AA7" s="158">
        <v>149</v>
      </c>
      <c r="AB7" s="158">
        <v>130</v>
      </c>
      <c r="AC7" s="158">
        <v>206</v>
      </c>
      <c r="AD7" s="158">
        <v>24</v>
      </c>
      <c r="AE7" s="158">
        <v>547</v>
      </c>
      <c r="AF7" s="158">
        <v>29</v>
      </c>
      <c r="AG7" s="158">
        <v>89</v>
      </c>
      <c r="AH7" s="160">
        <v>3298</v>
      </c>
    </row>
    <row r="8" spans="1:34" x14ac:dyDescent="0.25">
      <c r="A8" s="158" t="s">
        <v>624</v>
      </c>
      <c r="B8" s="158">
        <v>21</v>
      </c>
      <c r="C8" s="158">
        <v>656</v>
      </c>
      <c r="D8" s="158">
        <v>62</v>
      </c>
      <c r="E8" s="158">
        <v>239</v>
      </c>
      <c r="F8" s="158">
        <v>97</v>
      </c>
      <c r="G8" s="158">
        <v>49</v>
      </c>
      <c r="H8" s="158"/>
      <c r="I8" s="158">
        <v>291</v>
      </c>
      <c r="J8" s="159">
        <v>1585</v>
      </c>
      <c r="K8" s="158">
        <v>39</v>
      </c>
      <c r="L8" s="158">
        <v>101</v>
      </c>
      <c r="M8" s="158">
        <v>189</v>
      </c>
      <c r="N8" s="158">
        <v>77</v>
      </c>
      <c r="O8" s="158">
        <v>399</v>
      </c>
      <c r="P8" s="159">
        <v>1738</v>
      </c>
      <c r="Q8" s="158">
        <v>187</v>
      </c>
      <c r="R8" s="158">
        <v>131</v>
      </c>
      <c r="S8" s="158">
        <v>45</v>
      </c>
      <c r="T8" s="158">
        <v>269</v>
      </c>
      <c r="U8" s="159">
        <v>1289</v>
      </c>
      <c r="V8" s="158">
        <v>606</v>
      </c>
      <c r="W8" s="161">
        <v>89</v>
      </c>
      <c r="X8" s="158">
        <v>522</v>
      </c>
      <c r="Y8" s="158">
        <v>63</v>
      </c>
      <c r="Z8" s="158">
        <v>134</v>
      </c>
      <c r="AA8" s="158">
        <v>134</v>
      </c>
      <c r="AB8" s="159">
        <v>2046</v>
      </c>
      <c r="AC8" s="158">
        <v>260</v>
      </c>
      <c r="AD8" s="158">
        <v>64</v>
      </c>
      <c r="AE8" s="159">
        <v>1486</v>
      </c>
      <c r="AF8" s="158">
        <v>184</v>
      </c>
      <c r="AG8" s="158">
        <v>30</v>
      </c>
      <c r="AH8" s="160">
        <v>9534</v>
      </c>
    </row>
    <row r="9" spans="1:34" x14ac:dyDescent="0.25">
      <c r="A9" s="158" t="s">
        <v>625</v>
      </c>
      <c r="B9" s="158">
        <v>236</v>
      </c>
      <c r="C9" s="158">
        <v>638</v>
      </c>
      <c r="D9" s="158">
        <v>124</v>
      </c>
      <c r="E9" s="158">
        <v>235</v>
      </c>
      <c r="F9" s="159">
        <v>3394</v>
      </c>
      <c r="G9" s="158">
        <v>78</v>
      </c>
      <c r="H9" s="159">
        <v>2020</v>
      </c>
      <c r="I9" s="158"/>
      <c r="J9" s="159">
        <v>1452</v>
      </c>
      <c r="K9" s="159">
        <v>5316</v>
      </c>
      <c r="L9" s="158">
        <v>461</v>
      </c>
      <c r="M9" s="158">
        <v>509</v>
      </c>
      <c r="N9" s="158">
        <v>268</v>
      </c>
      <c r="O9" s="158">
        <v>921</v>
      </c>
      <c r="P9" s="159">
        <v>1743</v>
      </c>
      <c r="Q9" s="158">
        <v>474</v>
      </c>
      <c r="R9" s="158">
        <v>184</v>
      </c>
      <c r="S9" s="158">
        <v>184</v>
      </c>
      <c r="T9" s="158">
        <v>841</v>
      </c>
      <c r="U9" s="159">
        <v>1777</v>
      </c>
      <c r="V9" s="158">
        <v>632</v>
      </c>
      <c r="W9" s="161">
        <v>227</v>
      </c>
      <c r="X9" s="158">
        <v>124</v>
      </c>
      <c r="Y9" s="158">
        <v>336</v>
      </c>
      <c r="Z9" s="159">
        <v>1614</v>
      </c>
      <c r="AA9" s="159">
        <v>1417</v>
      </c>
      <c r="AB9" s="158">
        <v>723</v>
      </c>
      <c r="AC9" s="158">
        <v>475</v>
      </c>
      <c r="AD9" s="158">
        <v>99</v>
      </c>
      <c r="AE9" s="159">
        <v>7748</v>
      </c>
      <c r="AF9" s="158">
        <v>65</v>
      </c>
      <c r="AG9" s="159">
        <v>1202</v>
      </c>
      <c r="AH9" s="160">
        <v>18843</v>
      </c>
    </row>
    <row r="10" spans="1:34" x14ac:dyDescent="0.25">
      <c r="A10" s="158" t="s">
        <v>626</v>
      </c>
      <c r="B10" s="158">
        <v>639</v>
      </c>
      <c r="C10" s="159">
        <v>1201</v>
      </c>
      <c r="D10" s="158">
        <v>253</v>
      </c>
      <c r="E10" s="158">
        <v>332</v>
      </c>
      <c r="F10" s="158">
        <v>587</v>
      </c>
      <c r="G10" s="158">
        <v>315</v>
      </c>
      <c r="H10" s="159">
        <v>2514</v>
      </c>
      <c r="I10" s="158">
        <v>947</v>
      </c>
      <c r="J10" s="158"/>
      <c r="K10" s="158">
        <v>297</v>
      </c>
      <c r="L10" s="159">
        <v>1975</v>
      </c>
      <c r="M10" s="159">
        <v>3221</v>
      </c>
      <c r="N10" s="159">
        <v>3249</v>
      </c>
      <c r="O10" s="159">
        <v>2922</v>
      </c>
      <c r="P10" s="159">
        <v>33348</v>
      </c>
      <c r="Q10" s="159">
        <v>2624</v>
      </c>
      <c r="R10" s="159">
        <v>2637</v>
      </c>
      <c r="S10" s="158">
        <v>207</v>
      </c>
      <c r="T10" s="159">
        <v>1687</v>
      </c>
      <c r="U10" s="159">
        <v>5040</v>
      </c>
      <c r="V10" s="159">
        <v>6603</v>
      </c>
      <c r="W10" s="162">
        <v>1530</v>
      </c>
      <c r="X10" s="159">
        <v>1023</v>
      </c>
      <c r="Y10" s="158">
        <v>770</v>
      </c>
      <c r="Z10" s="158">
        <v>921</v>
      </c>
      <c r="AA10" s="158">
        <v>660</v>
      </c>
      <c r="AB10" s="158">
        <v>975</v>
      </c>
      <c r="AC10" s="158">
        <v>952</v>
      </c>
      <c r="AD10" s="159">
        <v>1135</v>
      </c>
      <c r="AE10" s="159">
        <v>7447</v>
      </c>
      <c r="AF10" s="158">
        <v>594</v>
      </c>
      <c r="AG10" s="158">
        <v>294</v>
      </c>
      <c r="AH10" s="160">
        <v>41601</v>
      </c>
    </row>
    <row r="11" spans="1:34" x14ac:dyDescent="0.25">
      <c r="A11" s="158" t="s">
        <v>627</v>
      </c>
      <c r="B11" s="158">
        <v>114</v>
      </c>
      <c r="C11" s="158">
        <v>613</v>
      </c>
      <c r="D11" s="158">
        <v>109</v>
      </c>
      <c r="E11" s="158">
        <v>23</v>
      </c>
      <c r="F11" s="159">
        <v>3762</v>
      </c>
      <c r="G11" s="158">
        <v>48</v>
      </c>
      <c r="H11" s="158">
        <v>106</v>
      </c>
      <c r="I11" s="159">
        <v>3310</v>
      </c>
      <c r="J11" s="158">
        <v>425</v>
      </c>
      <c r="K11" s="158"/>
      <c r="L11" s="158">
        <v>186</v>
      </c>
      <c r="M11" s="158">
        <v>83</v>
      </c>
      <c r="N11" s="158">
        <v>80</v>
      </c>
      <c r="O11" s="158">
        <v>443</v>
      </c>
      <c r="P11" s="158">
        <v>557</v>
      </c>
      <c r="Q11" s="158">
        <v>111</v>
      </c>
      <c r="R11" s="158">
        <v>48</v>
      </c>
      <c r="S11" s="158">
        <v>119</v>
      </c>
      <c r="T11" s="158">
        <v>478</v>
      </c>
      <c r="U11" s="158">
        <v>85</v>
      </c>
      <c r="V11" s="158">
        <v>120</v>
      </c>
      <c r="W11" s="161">
        <v>103</v>
      </c>
      <c r="X11" s="158">
        <v>31</v>
      </c>
      <c r="Y11" s="158">
        <v>137</v>
      </c>
      <c r="Z11" s="158">
        <v>810</v>
      </c>
      <c r="AA11" s="158">
        <v>215</v>
      </c>
      <c r="AB11" s="158">
        <v>32</v>
      </c>
      <c r="AC11" s="158">
        <v>244</v>
      </c>
      <c r="AD11" s="158">
        <v>19</v>
      </c>
      <c r="AE11" s="158">
        <v>251</v>
      </c>
      <c r="AF11" s="158">
        <v>16</v>
      </c>
      <c r="AG11" s="158">
        <v>673</v>
      </c>
      <c r="AH11" s="160">
        <v>6859</v>
      </c>
    </row>
    <row r="12" spans="1:34" x14ac:dyDescent="0.25">
      <c r="A12" s="158" t="s">
        <v>628</v>
      </c>
      <c r="B12" s="158">
        <v>552</v>
      </c>
      <c r="C12" s="158">
        <v>835</v>
      </c>
      <c r="D12" s="158">
        <v>77</v>
      </c>
      <c r="E12" s="158">
        <v>52</v>
      </c>
      <c r="F12" s="158">
        <v>513</v>
      </c>
      <c r="G12" s="158">
        <v>153</v>
      </c>
      <c r="H12" s="158">
        <v>335</v>
      </c>
      <c r="I12" s="158">
        <v>465</v>
      </c>
      <c r="J12" s="159">
        <v>6611</v>
      </c>
      <c r="K12" s="158">
        <v>203</v>
      </c>
      <c r="L12" s="158"/>
      <c r="M12" s="158">
        <v>398</v>
      </c>
      <c r="N12" s="158">
        <v>622</v>
      </c>
      <c r="O12" s="159">
        <v>3008</v>
      </c>
      <c r="P12" s="159">
        <v>6691</v>
      </c>
      <c r="Q12" s="159">
        <v>2750</v>
      </c>
      <c r="R12" s="158">
        <v>339</v>
      </c>
      <c r="S12" s="158">
        <v>198</v>
      </c>
      <c r="T12" s="158">
        <v>652</v>
      </c>
      <c r="U12" s="158">
        <v>364</v>
      </c>
      <c r="V12" s="158">
        <v>715</v>
      </c>
      <c r="W12" s="162">
        <v>1990</v>
      </c>
      <c r="X12" s="158">
        <v>142</v>
      </c>
      <c r="Y12" s="158">
        <v>821</v>
      </c>
      <c r="Z12" s="158">
        <v>378</v>
      </c>
      <c r="AA12" s="158">
        <v>302</v>
      </c>
      <c r="AB12" s="158">
        <v>163</v>
      </c>
      <c r="AC12" s="158">
        <v>584</v>
      </c>
      <c r="AD12" s="158">
        <v>183</v>
      </c>
      <c r="AE12" s="159">
        <v>1009</v>
      </c>
      <c r="AF12" s="158">
        <v>118</v>
      </c>
      <c r="AG12" s="158">
        <v>384</v>
      </c>
      <c r="AH12" s="160">
        <v>19947</v>
      </c>
    </row>
    <row r="13" spans="1:34" x14ac:dyDescent="0.25">
      <c r="A13" s="158" t="s">
        <v>629</v>
      </c>
      <c r="B13" s="158">
        <v>49</v>
      </c>
      <c r="C13" s="158">
        <v>704</v>
      </c>
      <c r="D13" s="158">
        <v>239</v>
      </c>
      <c r="E13" s="158">
        <v>64</v>
      </c>
      <c r="F13" s="158">
        <v>120</v>
      </c>
      <c r="G13" s="158">
        <v>213</v>
      </c>
      <c r="H13" s="158">
        <v>347</v>
      </c>
      <c r="I13" s="158">
        <v>204</v>
      </c>
      <c r="J13" s="159">
        <v>2806</v>
      </c>
      <c r="K13" s="158">
        <v>67</v>
      </c>
      <c r="L13" s="158">
        <v>242</v>
      </c>
      <c r="M13" s="158"/>
      <c r="N13" s="158">
        <v>174</v>
      </c>
      <c r="O13" s="158">
        <v>731</v>
      </c>
      <c r="P13" s="159">
        <v>3757</v>
      </c>
      <c r="Q13" s="159">
        <v>1306</v>
      </c>
      <c r="R13" s="159">
        <v>1702</v>
      </c>
      <c r="S13" s="158">
        <v>69</v>
      </c>
      <c r="T13" s="158">
        <v>146</v>
      </c>
      <c r="U13" s="158">
        <v>796</v>
      </c>
      <c r="V13" s="158">
        <v>583</v>
      </c>
      <c r="W13" s="161">
        <v>133</v>
      </c>
      <c r="X13" s="158">
        <v>259</v>
      </c>
      <c r="Y13" s="158">
        <v>100</v>
      </c>
      <c r="Z13" s="158">
        <v>575</v>
      </c>
      <c r="AA13" s="158">
        <v>225</v>
      </c>
      <c r="AB13" s="158">
        <v>160</v>
      </c>
      <c r="AC13" s="158">
        <v>179</v>
      </c>
      <c r="AD13" s="158">
        <v>72</v>
      </c>
      <c r="AE13" s="158">
        <v>606</v>
      </c>
      <c r="AF13" s="158">
        <v>41</v>
      </c>
      <c r="AG13" s="158">
        <v>45</v>
      </c>
      <c r="AH13" s="160">
        <v>9879</v>
      </c>
    </row>
    <row r="14" spans="1:34" x14ac:dyDescent="0.25">
      <c r="A14" s="158" t="s">
        <v>630</v>
      </c>
      <c r="B14" s="158">
        <v>119</v>
      </c>
      <c r="C14" s="158">
        <v>453</v>
      </c>
      <c r="D14" s="158">
        <v>24</v>
      </c>
      <c r="E14" s="158">
        <v>37</v>
      </c>
      <c r="F14" s="158">
        <v>229</v>
      </c>
      <c r="G14" s="158">
        <v>63</v>
      </c>
      <c r="H14" s="158">
        <v>295</v>
      </c>
      <c r="I14" s="158">
        <v>334</v>
      </c>
      <c r="J14" s="159">
        <v>9863</v>
      </c>
      <c r="K14" s="158">
        <v>102</v>
      </c>
      <c r="L14" s="158">
        <v>482</v>
      </c>
      <c r="M14" s="158">
        <v>339</v>
      </c>
      <c r="N14" s="158"/>
      <c r="O14" s="158">
        <v>554</v>
      </c>
      <c r="P14" s="159">
        <v>14919</v>
      </c>
      <c r="Q14" s="158">
        <v>362</v>
      </c>
      <c r="R14" s="158">
        <v>330</v>
      </c>
      <c r="S14" s="158">
        <v>47</v>
      </c>
      <c r="T14" s="158">
        <v>375</v>
      </c>
      <c r="U14" s="158">
        <v>370</v>
      </c>
      <c r="V14" s="159">
        <v>1829</v>
      </c>
      <c r="W14" s="161">
        <v>741</v>
      </c>
      <c r="X14" s="158">
        <v>129</v>
      </c>
      <c r="Y14" s="158">
        <v>329</v>
      </c>
      <c r="Z14" s="158">
        <v>115</v>
      </c>
      <c r="AA14" s="158">
        <v>115</v>
      </c>
      <c r="AB14" s="158">
        <v>160</v>
      </c>
      <c r="AC14" s="158">
        <v>518</v>
      </c>
      <c r="AD14" s="158">
        <v>502</v>
      </c>
      <c r="AE14" s="159">
        <v>2000</v>
      </c>
      <c r="AF14" s="158">
        <v>57</v>
      </c>
      <c r="AG14" s="158">
        <v>110</v>
      </c>
      <c r="AH14" s="160">
        <v>9030</v>
      </c>
    </row>
    <row r="15" spans="1:34" x14ac:dyDescent="0.25">
      <c r="A15" s="158" t="s">
        <v>631</v>
      </c>
      <c r="B15" s="159">
        <v>1320</v>
      </c>
      <c r="C15" s="159">
        <v>3405</v>
      </c>
      <c r="D15" s="158">
        <v>532</v>
      </c>
      <c r="E15" s="158">
        <v>102</v>
      </c>
      <c r="F15" s="158">
        <v>704</v>
      </c>
      <c r="G15" s="159">
        <v>2425</v>
      </c>
      <c r="H15" s="159">
        <v>1852</v>
      </c>
      <c r="I15" s="158">
        <v>999</v>
      </c>
      <c r="J15" s="159">
        <v>5958</v>
      </c>
      <c r="K15" s="158">
        <v>597</v>
      </c>
      <c r="L15" s="159">
        <v>2930</v>
      </c>
      <c r="M15" s="159">
        <v>2369</v>
      </c>
      <c r="N15" s="159">
        <v>1011</v>
      </c>
      <c r="O15" s="158"/>
      <c r="P15" s="159">
        <v>5690</v>
      </c>
      <c r="Q15" s="159">
        <v>5775</v>
      </c>
      <c r="R15" s="158">
        <v>515</v>
      </c>
      <c r="S15" s="159">
        <v>4110</v>
      </c>
      <c r="T15" s="159">
        <v>1213</v>
      </c>
      <c r="U15" s="159">
        <v>1273</v>
      </c>
      <c r="V15" s="159">
        <v>1361</v>
      </c>
      <c r="W15" s="161">
        <v>836</v>
      </c>
      <c r="X15" s="158">
        <v>418</v>
      </c>
      <c r="Y15" s="159">
        <v>1048</v>
      </c>
      <c r="Z15" s="159">
        <v>3323</v>
      </c>
      <c r="AA15" s="159">
        <v>1374</v>
      </c>
      <c r="AB15" s="158">
        <v>600</v>
      </c>
      <c r="AC15" s="158">
        <v>788</v>
      </c>
      <c r="AD15" s="158">
        <v>264</v>
      </c>
      <c r="AE15" s="159">
        <v>3046</v>
      </c>
      <c r="AF15" s="158">
        <v>236</v>
      </c>
      <c r="AG15" s="159">
        <v>1955</v>
      </c>
      <c r="AH15" s="160">
        <v>42866</v>
      </c>
    </row>
    <row r="16" spans="1:34" x14ac:dyDescent="0.25">
      <c r="A16" s="158" t="s">
        <v>632</v>
      </c>
      <c r="B16" s="158">
        <v>590</v>
      </c>
      <c r="C16" s="159">
        <v>1567</v>
      </c>
      <c r="D16" s="158">
        <v>216</v>
      </c>
      <c r="E16" s="158">
        <v>274</v>
      </c>
      <c r="F16" s="158">
        <v>648</v>
      </c>
      <c r="G16" s="158">
        <v>230</v>
      </c>
      <c r="H16" s="159">
        <v>3075</v>
      </c>
      <c r="I16" s="158">
        <v>893</v>
      </c>
      <c r="J16" s="159">
        <v>138296</v>
      </c>
      <c r="K16" s="158">
        <v>346</v>
      </c>
      <c r="L16" s="159">
        <v>2369</v>
      </c>
      <c r="M16" s="159">
        <v>3815</v>
      </c>
      <c r="N16" s="159">
        <v>5692</v>
      </c>
      <c r="O16" s="159">
        <v>2695</v>
      </c>
      <c r="P16" s="158"/>
      <c r="Q16" s="159">
        <v>3826</v>
      </c>
      <c r="R16" s="159">
        <v>2432</v>
      </c>
      <c r="S16" s="158">
        <v>238</v>
      </c>
      <c r="T16" s="159">
        <v>1359</v>
      </c>
      <c r="U16" s="159">
        <v>6452</v>
      </c>
      <c r="V16" s="159">
        <v>8526</v>
      </c>
      <c r="W16" s="162">
        <v>1717</v>
      </c>
      <c r="X16" s="158">
        <v>725</v>
      </c>
      <c r="Y16" s="158">
        <v>921</v>
      </c>
      <c r="Z16" s="158">
        <v>802</v>
      </c>
      <c r="AA16" s="158">
        <v>547</v>
      </c>
      <c r="AB16" s="158">
        <v>909</v>
      </c>
      <c r="AC16" s="159">
        <v>1003</v>
      </c>
      <c r="AD16" s="159">
        <v>1338</v>
      </c>
      <c r="AE16" s="159">
        <v>9937</v>
      </c>
      <c r="AF16" s="158">
        <v>386</v>
      </c>
      <c r="AG16" s="158">
        <v>378</v>
      </c>
      <c r="AH16" s="160">
        <v>40570</v>
      </c>
    </row>
    <row r="17" spans="1:34" x14ac:dyDescent="0.25">
      <c r="A17" s="158" t="s">
        <v>633</v>
      </c>
      <c r="B17" s="158">
        <v>192</v>
      </c>
      <c r="C17" s="159">
        <v>1361</v>
      </c>
      <c r="D17" s="158">
        <v>148</v>
      </c>
      <c r="E17" s="158">
        <v>67</v>
      </c>
      <c r="F17" s="158">
        <v>194</v>
      </c>
      <c r="G17" s="158">
        <v>740</v>
      </c>
      <c r="H17" s="158">
        <v>633</v>
      </c>
      <c r="I17" s="158">
        <v>298</v>
      </c>
      <c r="J17" s="159">
        <v>4978</v>
      </c>
      <c r="K17" s="158">
        <v>104</v>
      </c>
      <c r="L17" s="159">
        <v>2458</v>
      </c>
      <c r="M17" s="159">
        <v>3167</v>
      </c>
      <c r="N17" s="158">
        <v>316</v>
      </c>
      <c r="O17" s="159">
        <v>3425</v>
      </c>
      <c r="P17" s="159">
        <v>5984</v>
      </c>
      <c r="Q17" s="158"/>
      <c r="R17" s="158">
        <v>320</v>
      </c>
      <c r="S17" s="158">
        <v>273</v>
      </c>
      <c r="T17" s="158">
        <v>318</v>
      </c>
      <c r="U17" s="158">
        <v>485</v>
      </c>
      <c r="V17" s="158">
        <v>446</v>
      </c>
      <c r="W17" s="161">
        <v>553</v>
      </c>
      <c r="X17" s="158">
        <v>113</v>
      </c>
      <c r="Y17" s="158">
        <v>274</v>
      </c>
      <c r="Z17" s="158">
        <v>394</v>
      </c>
      <c r="AA17" s="158">
        <v>340</v>
      </c>
      <c r="AB17" s="158">
        <v>140</v>
      </c>
      <c r="AC17" s="158">
        <v>385</v>
      </c>
      <c r="AD17" s="158">
        <v>113</v>
      </c>
      <c r="AE17" s="158">
        <v>865</v>
      </c>
      <c r="AF17" s="158">
        <v>85</v>
      </c>
      <c r="AG17" s="158">
        <v>132</v>
      </c>
      <c r="AH17" s="160">
        <v>22541</v>
      </c>
    </row>
    <row r="18" spans="1:34" x14ac:dyDescent="0.25">
      <c r="A18" s="158" t="s">
        <v>634</v>
      </c>
      <c r="B18" s="158">
        <v>81</v>
      </c>
      <c r="C18" s="158">
        <v>465</v>
      </c>
      <c r="D18" s="158">
        <v>36</v>
      </c>
      <c r="E18" s="158">
        <v>42</v>
      </c>
      <c r="F18" s="158">
        <v>150</v>
      </c>
      <c r="G18" s="158">
        <v>35</v>
      </c>
      <c r="H18" s="158">
        <v>340</v>
      </c>
      <c r="I18" s="158">
        <v>156</v>
      </c>
      <c r="J18" s="159">
        <v>8608</v>
      </c>
      <c r="K18" s="158">
        <v>49</v>
      </c>
      <c r="L18" s="158">
        <v>291</v>
      </c>
      <c r="M18" s="159">
        <v>5297</v>
      </c>
      <c r="N18" s="158">
        <v>278</v>
      </c>
      <c r="O18" s="158">
        <v>399</v>
      </c>
      <c r="P18" s="159">
        <v>6119</v>
      </c>
      <c r="Q18" s="158">
        <v>525</v>
      </c>
      <c r="R18" s="158"/>
      <c r="S18" s="158">
        <v>37</v>
      </c>
      <c r="T18" s="158">
        <v>194</v>
      </c>
      <c r="U18" s="158">
        <v>636</v>
      </c>
      <c r="V18" s="159">
        <v>1495</v>
      </c>
      <c r="W18" s="161">
        <v>190</v>
      </c>
      <c r="X18" s="158">
        <v>207</v>
      </c>
      <c r="Y18" s="158">
        <v>98</v>
      </c>
      <c r="Z18" s="158">
        <v>139</v>
      </c>
      <c r="AA18" s="158">
        <v>134</v>
      </c>
      <c r="AB18" s="158">
        <v>135</v>
      </c>
      <c r="AC18" s="158">
        <v>160</v>
      </c>
      <c r="AD18" s="158">
        <v>159</v>
      </c>
      <c r="AE18" s="159">
        <v>1088</v>
      </c>
      <c r="AF18" s="158">
        <v>66</v>
      </c>
      <c r="AG18" s="158">
        <v>51</v>
      </c>
      <c r="AH18" s="160">
        <v>5234</v>
      </c>
    </row>
    <row r="19" spans="1:34" x14ac:dyDescent="0.25">
      <c r="A19" s="158" t="s">
        <v>635</v>
      </c>
      <c r="B19" s="158">
        <v>85</v>
      </c>
      <c r="C19" s="159">
        <v>1686</v>
      </c>
      <c r="D19" s="158">
        <v>145</v>
      </c>
      <c r="E19" s="158">
        <v>35</v>
      </c>
      <c r="F19" s="158">
        <v>104</v>
      </c>
      <c r="G19" s="158">
        <v>280</v>
      </c>
      <c r="H19" s="159">
        <v>1911</v>
      </c>
      <c r="I19" s="158">
        <v>167</v>
      </c>
      <c r="J19" s="158">
        <v>757</v>
      </c>
      <c r="K19" s="158">
        <v>382</v>
      </c>
      <c r="L19" s="158">
        <v>374</v>
      </c>
      <c r="M19" s="158">
        <v>496</v>
      </c>
      <c r="N19" s="158">
        <v>133</v>
      </c>
      <c r="O19" s="159">
        <v>7357</v>
      </c>
      <c r="P19" s="158">
        <v>873</v>
      </c>
      <c r="Q19" s="158">
        <v>835</v>
      </c>
      <c r="R19" s="158">
        <v>79</v>
      </c>
      <c r="S19" s="158"/>
      <c r="T19" s="158">
        <v>111</v>
      </c>
      <c r="U19" s="158">
        <v>162</v>
      </c>
      <c r="V19" s="158">
        <v>186</v>
      </c>
      <c r="W19" s="161">
        <v>141</v>
      </c>
      <c r="X19" s="158">
        <v>70</v>
      </c>
      <c r="Y19" s="158">
        <v>130</v>
      </c>
      <c r="Z19" s="159">
        <v>1442</v>
      </c>
      <c r="AA19" s="158">
        <v>608</v>
      </c>
      <c r="AB19" s="158">
        <v>103</v>
      </c>
      <c r="AC19" s="158">
        <v>139</v>
      </c>
      <c r="AD19" s="158">
        <v>35</v>
      </c>
      <c r="AE19" s="158">
        <v>406</v>
      </c>
      <c r="AF19" s="158">
        <v>14</v>
      </c>
      <c r="AG19" s="158">
        <v>154</v>
      </c>
      <c r="AH19" s="160">
        <v>6607</v>
      </c>
    </row>
    <row r="20" spans="1:34" x14ac:dyDescent="0.25">
      <c r="A20" s="158" t="s">
        <v>636</v>
      </c>
      <c r="B20" s="158">
        <v>323</v>
      </c>
      <c r="C20" s="158">
        <v>706</v>
      </c>
      <c r="D20" s="158">
        <v>88</v>
      </c>
      <c r="E20" s="158">
        <v>158</v>
      </c>
      <c r="F20" s="159">
        <v>5185</v>
      </c>
      <c r="G20" s="158">
        <v>96</v>
      </c>
      <c r="H20" s="159">
        <v>1114</v>
      </c>
      <c r="I20" s="159">
        <v>1189</v>
      </c>
      <c r="J20" s="159">
        <v>2982</v>
      </c>
      <c r="K20" s="158">
        <v>924</v>
      </c>
      <c r="L20" s="158">
        <v>893</v>
      </c>
      <c r="M20" s="158">
        <v>416</v>
      </c>
      <c r="N20" s="159">
        <v>1277</v>
      </c>
      <c r="O20" s="159">
        <v>1526</v>
      </c>
      <c r="P20" s="159">
        <v>3418</v>
      </c>
      <c r="Q20" s="158">
        <v>566</v>
      </c>
      <c r="R20" s="158">
        <v>352</v>
      </c>
      <c r="S20" s="158">
        <v>117</v>
      </c>
      <c r="T20" s="158"/>
      <c r="U20" s="158">
        <v>758</v>
      </c>
      <c r="V20" s="158">
        <v>893</v>
      </c>
      <c r="W20" s="161">
        <v>492</v>
      </c>
      <c r="X20" s="158">
        <v>268</v>
      </c>
      <c r="Y20" s="159">
        <v>6429</v>
      </c>
      <c r="Z20" s="158">
        <v>775</v>
      </c>
      <c r="AA20" s="158">
        <v>838</v>
      </c>
      <c r="AB20" s="158">
        <v>895</v>
      </c>
      <c r="AC20" s="159">
        <v>7158</v>
      </c>
      <c r="AD20" s="158">
        <v>135</v>
      </c>
      <c r="AE20" s="159">
        <v>6964</v>
      </c>
      <c r="AF20" s="158">
        <v>221</v>
      </c>
      <c r="AG20" s="158">
        <v>920</v>
      </c>
      <c r="AH20" s="160">
        <v>20762</v>
      </c>
    </row>
    <row r="21" spans="1:34" x14ac:dyDescent="0.25">
      <c r="A21" s="158" t="s">
        <v>637</v>
      </c>
      <c r="B21" s="158">
        <v>50</v>
      </c>
      <c r="C21" s="159">
        <v>1318</v>
      </c>
      <c r="D21" s="158">
        <v>187</v>
      </c>
      <c r="E21" s="158">
        <v>165</v>
      </c>
      <c r="F21" s="158">
        <v>164</v>
      </c>
      <c r="G21" s="158">
        <v>107</v>
      </c>
      <c r="H21" s="159">
        <v>2053</v>
      </c>
      <c r="I21" s="158">
        <v>485</v>
      </c>
      <c r="J21" s="159">
        <v>4509</v>
      </c>
      <c r="K21" s="158">
        <v>65</v>
      </c>
      <c r="L21" s="158">
        <v>165</v>
      </c>
      <c r="M21" s="158">
        <v>943</v>
      </c>
      <c r="N21" s="158">
        <v>184</v>
      </c>
      <c r="O21" s="158">
        <v>503</v>
      </c>
      <c r="P21" s="159">
        <v>6263</v>
      </c>
      <c r="Q21" s="158">
        <v>343</v>
      </c>
      <c r="R21" s="158">
        <v>407</v>
      </c>
      <c r="S21" s="158">
        <v>72</v>
      </c>
      <c r="T21" s="158">
        <v>249</v>
      </c>
      <c r="U21" s="158"/>
      <c r="V21" s="159">
        <v>1696</v>
      </c>
      <c r="W21" s="161">
        <v>161</v>
      </c>
      <c r="X21" s="158">
        <v>238</v>
      </c>
      <c r="Y21" s="158">
        <v>93</v>
      </c>
      <c r="Z21" s="158">
        <v>565</v>
      </c>
      <c r="AA21" s="158">
        <v>340</v>
      </c>
      <c r="AB21" s="158">
        <v>441</v>
      </c>
      <c r="AC21" s="158">
        <v>358</v>
      </c>
      <c r="AD21" s="158">
        <v>129</v>
      </c>
      <c r="AE21" s="159">
        <v>4084</v>
      </c>
      <c r="AF21" s="158">
        <v>193</v>
      </c>
      <c r="AG21" s="158">
        <v>92</v>
      </c>
      <c r="AH21" s="160">
        <v>14008</v>
      </c>
    </row>
    <row r="22" spans="1:34" x14ac:dyDescent="0.25">
      <c r="A22" s="158" t="s">
        <v>638</v>
      </c>
      <c r="B22" s="158">
        <v>144</v>
      </c>
      <c r="C22" s="158">
        <v>824</v>
      </c>
      <c r="D22" s="158">
        <v>83</v>
      </c>
      <c r="E22" s="158">
        <v>174</v>
      </c>
      <c r="F22" s="158">
        <v>259</v>
      </c>
      <c r="G22" s="158">
        <v>73</v>
      </c>
      <c r="H22" s="159">
        <v>1490</v>
      </c>
      <c r="I22" s="158">
        <v>427</v>
      </c>
      <c r="J22" s="159">
        <v>8126</v>
      </c>
      <c r="K22" s="158">
        <v>102</v>
      </c>
      <c r="L22" s="158">
        <v>598</v>
      </c>
      <c r="M22" s="159">
        <v>1176</v>
      </c>
      <c r="N22" s="159">
        <v>1172</v>
      </c>
      <c r="O22" s="158">
        <v>885</v>
      </c>
      <c r="P22" s="159">
        <v>10921</v>
      </c>
      <c r="Q22" s="158">
        <v>566</v>
      </c>
      <c r="R22" s="159">
        <v>1358</v>
      </c>
      <c r="S22" s="158">
        <v>49</v>
      </c>
      <c r="T22" s="158">
        <v>503</v>
      </c>
      <c r="U22" s="159">
        <v>3393</v>
      </c>
      <c r="V22" s="158"/>
      <c r="W22" s="161">
        <v>375</v>
      </c>
      <c r="X22" s="158">
        <v>427</v>
      </c>
      <c r="Y22" s="158">
        <v>229</v>
      </c>
      <c r="Z22" s="158">
        <v>228</v>
      </c>
      <c r="AA22" s="158">
        <v>253</v>
      </c>
      <c r="AB22" s="158">
        <v>804</v>
      </c>
      <c r="AC22" s="158">
        <v>537</v>
      </c>
      <c r="AD22" s="159">
        <v>2586</v>
      </c>
      <c r="AE22" s="159">
        <v>8837</v>
      </c>
      <c r="AF22" s="158">
        <v>192</v>
      </c>
      <c r="AG22" s="158">
        <v>94</v>
      </c>
      <c r="AH22" s="160">
        <v>14677</v>
      </c>
    </row>
    <row r="23" spans="1:34" s="37" customFormat="1" x14ac:dyDescent="0.25">
      <c r="A23" s="164" t="s">
        <v>639</v>
      </c>
      <c r="B23" s="164">
        <v>239</v>
      </c>
      <c r="C23" s="164">
        <v>250</v>
      </c>
      <c r="D23" s="164">
        <v>38</v>
      </c>
      <c r="E23" s="164">
        <v>45</v>
      </c>
      <c r="F23" s="164">
        <v>310</v>
      </c>
      <c r="G23" s="164">
        <v>85</v>
      </c>
      <c r="H23" s="164">
        <v>416</v>
      </c>
      <c r="I23" s="164">
        <v>292</v>
      </c>
      <c r="J23" s="165">
        <v>10131</v>
      </c>
      <c r="K23" s="164">
        <v>170</v>
      </c>
      <c r="L23" s="165">
        <v>3355</v>
      </c>
      <c r="M23" s="164">
        <v>441</v>
      </c>
      <c r="N23" s="165">
        <v>1452</v>
      </c>
      <c r="O23" s="164">
        <v>900</v>
      </c>
      <c r="P23" s="165">
        <v>8302</v>
      </c>
      <c r="Q23" s="165">
        <v>1328</v>
      </c>
      <c r="R23" s="164">
        <v>423</v>
      </c>
      <c r="S23" s="164">
        <v>111</v>
      </c>
      <c r="T23" s="164">
        <v>512</v>
      </c>
      <c r="U23" s="164">
        <v>361</v>
      </c>
      <c r="V23" s="164">
        <v>746</v>
      </c>
      <c r="W23" s="164"/>
      <c r="X23" s="164">
        <v>166</v>
      </c>
      <c r="Y23" s="164">
        <v>718</v>
      </c>
      <c r="Z23" s="164">
        <v>246</v>
      </c>
      <c r="AA23" s="164">
        <v>166</v>
      </c>
      <c r="AB23" s="164">
        <v>175</v>
      </c>
      <c r="AC23" s="164">
        <v>468</v>
      </c>
      <c r="AD23" s="164">
        <v>171</v>
      </c>
      <c r="AE23" s="165">
        <v>1257</v>
      </c>
      <c r="AF23" s="164">
        <v>104</v>
      </c>
      <c r="AG23" s="164">
        <v>146</v>
      </c>
      <c r="AH23" s="166">
        <v>5911</v>
      </c>
    </row>
    <row r="24" spans="1:34" x14ac:dyDescent="0.25">
      <c r="A24" s="158" t="s">
        <v>640</v>
      </c>
      <c r="B24" s="158">
        <v>86</v>
      </c>
      <c r="C24" s="158">
        <v>260</v>
      </c>
      <c r="D24" s="158">
        <v>115</v>
      </c>
      <c r="E24" s="159">
        <v>3212</v>
      </c>
      <c r="F24" s="158">
        <v>224</v>
      </c>
      <c r="G24" s="158">
        <v>103</v>
      </c>
      <c r="H24" s="159">
        <v>6830</v>
      </c>
      <c r="I24" s="158">
        <v>253</v>
      </c>
      <c r="J24" s="159">
        <v>5643</v>
      </c>
      <c r="K24" s="158">
        <v>119</v>
      </c>
      <c r="L24" s="158">
        <v>267</v>
      </c>
      <c r="M24" s="159">
        <v>1128</v>
      </c>
      <c r="N24" s="158">
        <v>231</v>
      </c>
      <c r="O24" s="158">
        <v>876</v>
      </c>
      <c r="P24" s="159">
        <v>3586</v>
      </c>
      <c r="Q24" s="158">
        <v>273</v>
      </c>
      <c r="R24" s="158">
        <v>517</v>
      </c>
      <c r="S24" s="158">
        <v>43</v>
      </c>
      <c r="T24" s="158">
        <v>437</v>
      </c>
      <c r="U24" s="158">
        <v>781</v>
      </c>
      <c r="V24" s="159">
        <v>1054</v>
      </c>
      <c r="W24" s="161">
        <v>239</v>
      </c>
      <c r="X24" s="158"/>
      <c r="Y24" s="158">
        <v>130</v>
      </c>
      <c r="Z24" s="158">
        <v>185</v>
      </c>
      <c r="AA24" s="158">
        <v>107</v>
      </c>
      <c r="AB24" s="159">
        <v>8911</v>
      </c>
      <c r="AC24" s="158">
        <v>325</v>
      </c>
      <c r="AD24" s="158">
        <v>171</v>
      </c>
      <c r="AE24" s="159">
        <v>6644</v>
      </c>
      <c r="AF24" s="159">
        <v>9509</v>
      </c>
      <c r="AG24" s="158">
        <v>31</v>
      </c>
      <c r="AH24" s="160">
        <v>5279</v>
      </c>
    </row>
    <row r="25" spans="1:34" x14ac:dyDescent="0.25">
      <c r="A25" s="158" t="s">
        <v>641</v>
      </c>
      <c r="B25" s="158">
        <v>404</v>
      </c>
      <c r="C25" s="158">
        <v>219</v>
      </c>
      <c r="D25" s="158">
        <v>34</v>
      </c>
      <c r="E25" s="158">
        <v>42</v>
      </c>
      <c r="F25" s="158">
        <v>651</v>
      </c>
      <c r="G25" s="158">
        <v>83</v>
      </c>
      <c r="H25" s="158">
        <v>194</v>
      </c>
      <c r="I25" s="158">
        <v>324</v>
      </c>
      <c r="J25" s="159">
        <v>2150</v>
      </c>
      <c r="K25" s="158">
        <v>202</v>
      </c>
      <c r="L25" s="159">
        <v>1339</v>
      </c>
      <c r="M25" s="158">
        <v>213</v>
      </c>
      <c r="N25" s="158">
        <v>515</v>
      </c>
      <c r="O25" s="159">
        <v>1126</v>
      </c>
      <c r="P25" s="159">
        <v>2693</v>
      </c>
      <c r="Q25" s="158">
        <v>471</v>
      </c>
      <c r="R25" s="158">
        <v>180</v>
      </c>
      <c r="S25" s="158">
        <v>83</v>
      </c>
      <c r="T25" s="159">
        <v>2812</v>
      </c>
      <c r="U25" s="158">
        <v>171</v>
      </c>
      <c r="V25" s="158">
        <v>335</v>
      </c>
      <c r="W25" s="161">
        <v>624</v>
      </c>
      <c r="X25" s="158">
        <v>117</v>
      </c>
      <c r="Y25" s="158"/>
      <c r="Z25" s="158">
        <v>192</v>
      </c>
      <c r="AA25" s="158">
        <v>205</v>
      </c>
      <c r="AB25" s="158">
        <v>59</v>
      </c>
      <c r="AC25" s="159">
        <v>2896</v>
      </c>
      <c r="AD25" s="158">
        <v>152</v>
      </c>
      <c r="AE25" s="159">
        <v>1023</v>
      </c>
      <c r="AF25" s="158">
        <v>56</v>
      </c>
      <c r="AG25" s="158">
        <v>742</v>
      </c>
      <c r="AH25" s="160">
        <v>10491</v>
      </c>
    </row>
    <row r="26" spans="1:34" x14ac:dyDescent="0.25">
      <c r="A26" s="158" t="s">
        <v>642</v>
      </c>
      <c r="B26" s="158">
        <v>69</v>
      </c>
      <c r="C26" s="159">
        <v>4463</v>
      </c>
      <c r="D26" s="158">
        <v>620</v>
      </c>
      <c r="E26" s="158">
        <v>43</v>
      </c>
      <c r="F26" s="158">
        <v>209</v>
      </c>
      <c r="G26" s="158">
        <v>124</v>
      </c>
      <c r="H26" s="158">
        <v>743</v>
      </c>
      <c r="I26" s="159">
        <v>1024</v>
      </c>
      <c r="J26" s="158">
        <v>948</v>
      </c>
      <c r="K26" s="159">
        <v>1397</v>
      </c>
      <c r="L26" s="158">
        <v>419</v>
      </c>
      <c r="M26" s="159">
        <v>3130</v>
      </c>
      <c r="N26" s="158">
        <v>221</v>
      </c>
      <c r="O26" s="159">
        <v>1628</v>
      </c>
      <c r="P26" s="158">
        <v>992</v>
      </c>
      <c r="Q26" s="158">
        <v>633</v>
      </c>
      <c r="R26" s="158">
        <v>152</v>
      </c>
      <c r="S26" s="158">
        <v>825</v>
      </c>
      <c r="T26" s="158">
        <v>294</v>
      </c>
      <c r="U26" s="159">
        <v>2203</v>
      </c>
      <c r="V26" s="158">
        <v>398</v>
      </c>
      <c r="W26" s="161">
        <v>74</v>
      </c>
      <c r="X26" s="158">
        <v>99</v>
      </c>
      <c r="Y26" s="158">
        <v>466</v>
      </c>
      <c r="Z26" s="158"/>
      <c r="AA26" s="159">
        <v>2788</v>
      </c>
      <c r="AB26" s="158">
        <v>182</v>
      </c>
      <c r="AC26" s="158">
        <v>167</v>
      </c>
      <c r="AD26" s="158">
        <v>94</v>
      </c>
      <c r="AE26" s="159">
        <v>4186</v>
      </c>
      <c r="AF26" s="158">
        <v>50</v>
      </c>
      <c r="AG26" s="158">
        <v>112</v>
      </c>
      <c r="AH26" s="160">
        <v>7499</v>
      </c>
    </row>
    <row r="27" spans="1:34" x14ac:dyDescent="0.25">
      <c r="A27" s="158" t="s">
        <v>643</v>
      </c>
      <c r="B27" s="158">
        <v>93</v>
      </c>
      <c r="C27" s="159">
        <v>3743</v>
      </c>
      <c r="D27" s="158">
        <v>359</v>
      </c>
      <c r="E27" s="158">
        <v>39</v>
      </c>
      <c r="F27" s="158">
        <v>352</v>
      </c>
      <c r="G27" s="158">
        <v>166</v>
      </c>
      <c r="H27" s="159">
        <v>1226</v>
      </c>
      <c r="I27" s="159">
        <v>1548</v>
      </c>
      <c r="J27" s="159">
        <v>1193</v>
      </c>
      <c r="K27" s="158">
        <v>492</v>
      </c>
      <c r="L27" s="158">
        <v>444</v>
      </c>
      <c r="M27" s="158">
        <v>778</v>
      </c>
      <c r="N27" s="158">
        <v>161</v>
      </c>
      <c r="O27" s="159">
        <v>1453</v>
      </c>
      <c r="P27" s="159">
        <v>1131</v>
      </c>
      <c r="Q27" s="158">
        <v>643</v>
      </c>
      <c r="R27" s="158">
        <v>143</v>
      </c>
      <c r="S27" s="158">
        <v>760</v>
      </c>
      <c r="T27" s="158">
        <v>418</v>
      </c>
      <c r="U27" s="158">
        <v>835</v>
      </c>
      <c r="V27" s="158">
        <v>429</v>
      </c>
      <c r="W27" s="161">
        <v>104</v>
      </c>
      <c r="X27" s="158">
        <v>112</v>
      </c>
      <c r="Y27" s="158">
        <v>114</v>
      </c>
      <c r="Z27" s="159">
        <v>8587</v>
      </c>
      <c r="AA27" s="158"/>
      <c r="AB27" s="158">
        <v>523</v>
      </c>
      <c r="AC27" s="158">
        <v>229</v>
      </c>
      <c r="AD27" s="158">
        <v>68</v>
      </c>
      <c r="AE27" s="159">
        <v>1152</v>
      </c>
      <c r="AF27" s="158">
        <v>69</v>
      </c>
      <c r="AG27" s="158">
        <v>158</v>
      </c>
      <c r="AH27" s="160">
        <v>9857</v>
      </c>
    </row>
    <row r="28" spans="1:34" x14ac:dyDescent="0.25">
      <c r="A28" s="158" t="s">
        <v>644</v>
      </c>
      <c r="B28" s="158">
        <v>29</v>
      </c>
      <c r="C28" s="158">
        <v>104</v>
      </c>
      <c r="D28" s="158">
        <v>11</v>
      </c>
      <c r="E28" s="159">
        <v>1160</v>
      </c>
      <c r="F28" s="158">
        <v>112</v>
      </c>
      <c r="G28" s="158">
        <v>22</v>
      </c>
      <c r="H28" s="159">
        <v>2685</v>
      </c>
      <c r="I28" s="158">
        <v>128</v>
      </c>
      <c r="J28" s="158">
        <v>893</v>
      </c>
      <c r="K28" s="158">
        <v>25</v>
      </c>
      <c r="L28" s="158">
        <v>75</v>
      </c>
      <c r="M28" s="158">
        <v>115</v>
      </c>
      <c r="N28" s="158">
        <v>82</v>
      </c>
      <c r="O28" s="158">
        <v>198</v>
      </c>
      <c r="P28" s="158">
        <v>745</v>
      </c>
      <c r="Q28" s="158">
        <v>110</v>
      </c>
      <c r="R28" s="158">
        <v>51</v>
      </c>
      <c r="S28" s="158">
        <v>20</v>
      </c>
      <c r="T28" s="158">
        <v>251</v>
      </c>
      <c r="U28" s="158">
        <v>349</v>
      </c>
      <c r="V28" s="158">
        <v>463</v>
      </c>
      <c r="W28" s="161">
        <v>70</v>
      </c>
      <c r="X28" s="158">
        <v>755</v>
      </c>
      <c r="Y28" s="158">
        <v>50</v>
      </c>
      <c r="Z28" s="158">
        <v>78</v>
      </c>
      <c r="AA28" s="158">
        <v>138</v>
      </c>
      <c r="AB28" s="158"/>
      <c r="AC28" s="158">
        <v>336</v>
      </c>
      <c r="AD28" s="158">
        <v>32</v>
      </c>
      <c r="AE28" s="159">
        <v>2396</v>
      </c>
      <c r="AF28" s="158">
        <v>397</v>
      </c>
      <c r="AG28" s="158">
        <v>16</v>
      </c>
      <c r="AH28" s="160">
        <v>4209</v>
      </c>
    </row>
    <row r="29" spans="1:34" x14ac:dyDescent="0.25">
      <c r="A29" s="158" t="s">
        <v>645</v>
      </c>
      <c r="B29" s="158">
        <v>172</v>
      </c>
      <c r="C29" s="158">
        <v>487</v>
      </c>
      <c r="D29" s="158">
        <v>165</v>
      </c>
      <c r="E29" s="158">
        <v>445</v>
      </c>
      <c r="F29" s="159">
        <v>2074</v>
      </c>
      <c r="G29" s="158">
        <v>140</v>
      </c>
      <c r="H29" s="159">
        <v>2011</v>
      </c>
      <c r="I29" s="158">
        <v>728</v>
      </c>
      <c r="J29" s="159">
        <v>2395</v>
      </c>
      <c r="K29" s="158">
        <v>480</v>
      </c>
      <c r="L29" s="158">
        <v>939</v>
      </c>
      <c r="M29" s="158">
        <v>541</v>
      </c>
      <c r="N29" s="158">
        <v>971</v>
      </c>
      <c r="O29" s="158">
        <v>961</v>
      </c>
      <c r="P29" s="159">
        <v>2791</v>
      </c>
      <c r="Q29" s="158">
        <v>679</v>
      </c>
      <c r="R29" s="158">
        <v>252</v>
      </c>
      <c r="S29" s="158">
        <v>120</v>
      </c>
      <c r="T29" s="159">
        <v>5500</v>
      </c>
      <c r="U29" s="158">
        <v>939</v>
      </c>
      <c r="V29" s="159">
        <v>1061</v>
      </c>
      <c r="W29" s="161">
        <v>367</v>
      </c>
      <c r="X29" s="158">
        <v>253</v>
      </c>
      <c r="Y29" s="159">
        <v>4985</v>
      </c>
      <c r="Z29" s="158">
        <v>281</v>
      </c>
      <c r="AA29" s="158">
        <v>284</v>
      </c>
      <c r="AB29" s="159">
        <v>1867</v>
      </c>
      <c r="AC29" s="158"/>
      <c r="AD29" s="158">
        <v>116</v>
      </c>
      <c r="AE29" s="159">
        <v>25736</v>
      </c>
      <c r="AF29" s="158">
        <v>129</v>
      </c>
      <c r="AG29" s="158">
        <v>298</v>
      </c>
      <c r="AH29" s="160">
        <v>13958</v>
      </c>
    </row>
    <row r="30" spans="1:34" x14ac:dyDescent="0.25">
      <c r="A30" s="158" t="s">
        <v>646</v>
      </c>
      <c r="B30" s="158">
        <v>38</v>
      </c>
      <c r="C30" s="158">
        <v>186</v>
      </c>
      <c r="D30" s="158">
        <v>16</v>
      </c>
      <c r="E30" s="158">
        <v>28</v>
      </c>
      <c r="F30" s="158">
        <v>42</v>
      </c>
      <c r="G30" s="158">
        <v>17</v>
      </c>
      <c r="H30" s="158">
        <v>217</v>
      </c>
      <c r="I30" s="158">
        <v>86</v>
      </c>
      <c r="J30" s="159">
        <v>2694</v>
      </c>
      <c r="K30" s="158">
        <v>35</v>
      </c>
      <c r="L30" s="158">
        <v>134</v>
      </c>
      <c r="M30" s="158">
        <v>100</v>
      </c>
      <c r="N30" s="158">
        <v>465</v>
      </c>
      <c r="O30" s="158">
        <v>163</v>
      </c>
      <c r="P30" s="159">
        <v>3077</v>
      </c>
      <c r="Q30" s="158">
        <v>127</v>
      </c>
      <c r="R30" s="158">
        <v>120</v>
      </c>
      <c r="S30" s="158">
        <v>14</v>
      </c>
      <c r="T30" s="158">
        <v>61</v>
      </c>
      <c r="U30" s="158">
        <v>241</v>
      </c>
      <c r="V30" s="159">
        <v>3981</v>
      </c>
      <c r="W30" s="161">
        <v>112</v>
      </c>
      <c r="X30" s="158">
        <v>57</v>
      </c>
      <c r="Y30" s="158">
        <v>55</v>
      </c>
      <c r="Z30" s="158">
        <v>63</v>
      </c>
      <c r="AA30" s="158">
        <v>45</v>
      </c>
      <c r="AB30" s="158">
        <v>90</v>
      </c>
      <c r="AC30" s="158">
        <v>84</v>
      </c>
      <c r="AD30" s="158"/>
      <c r="AE30" s="159">
        <v>1018</v>
      </c>
      <c r="AF30" s="158">
        <v>28</v>
      </c>
      <c r="AG30" s="158">
        <v>29</v>
      </c>
      <c r="AH30" s="160">
        <v>2809</v>
      </c>
    </row>
    <row r="31" spans="1:34" x14ac:dyDescent="0.25">
      <c r="A31" s="158" t="s">
        <v>650</v>
      </c>
      <c r="B31" s="158">
        <v>205</v>
      </c>
      <c r="C31" s="159">
        <v>1729</v>
      </c>
      <c r="D31" s="158">
        <v>266</v>
      </c>
      <c r="E31" s="159">
        <v>1213</v>
      </c>
      <c r="F31" s="158">
        <v>810</v>
      </c>
      <c r="G31" s="158">
        <v>434</v>
      </c>
      <c r="H31" s="159">
        <v>2422</v>
      </c>
      <c r="I31" s="159">
        <v>2722</v>
      </c>
      <c r="J31" s="159">
        <v>8279</v>
      </c>
      <c r="K31" s="158">
        <v>232</v>
      </c>
      <c r="L31" s="158">
        <v>719</v>
      </c>
      <c r="M31" s="158">
        <v>742</v>
      </c>
      <c r="N31" s="159">
        <v>1310</v>
      </c>
      <c r="O31" s="159">
        <v>1327</v>
      </c>
      <c r="P31" s="159">
        <v>10637</v>
      </c>
      <c r="Q31" s="158">
        <v>846</v>
      </c>
      <c r="R31" s="158">
        <v>615</v>
      </c>
      <c r="S31" s="158">
        <v>142</v>
      </c>
      <c r="T31" s="159">
        <v>1818</v>
      </c>
      <c r="U31" s="159">
        <v>4216</v>
      </c>
      <c r="V31" s="159">
        <v>5987</v>
      </c>
      <c r="W31" s="161">
        <v>497</v>
      </c>
      <c r="X31" s="159">
        <v>1561</v>
      </c>
      <c r="Y31" s="158">
        <v>620</v>
      </c>
      <c r="Z31" s="158">
        <v>577</v>
      </c>
      <c r="AA31" s="158">
        <v>568</v>
      </c>
      <c r="AB31" s="159">
        <v>2947</v>
      </c>
      <c r="AC31" s="159">
        <v>6361</v>
      </c>
      <c r="AD31" s="158">
        <v>520</v>
      </c>
      <c r="AE31" s="158"/>
      <c r="AF31" s="158">
        <v>585</v>
      </c>
      <c r="AG31" s="158">
        <v>160</v>
      </c>
      <c r="AH31" s="160">
        <v>18390</v>
      </c>
    </row>
    <row r="32" spans="1:34" x14ac:dyDescent="0.25">
      <c r="A32" s="158" t="s">
        <v>647</v>
      </c>
      <c r="B32" s="158">
        <v>38</v>
      </c>
      <c r="C32" s="158">
        <v>112</v>
      </c>
      <c r="D32" s="158">
        <v>18</v>
      </c>
      <c r="E32" s="159">
        <v>2141</v>
      </c>
      <c r="F32" s="158">
        <v>130</v>
      </c>
      <c r="G32" s="158">
        <v>24</v>
      </c>
      <c r="H32" s="159">
        <v>1099</v>
      </c>
      <c r="I32" s="158">
        <v>93</v>
      </c>
      <c r="J32" s="159">
        <v>2145</v>
      </c>
      <c r="K32" s="158">
        <v>32</v>
      </c>
      <c r="L32" s="158">
        <v>157</v>
      </c>
      <c r="M32" s="158">
        <v>155</v>
      </c>
      <c r="N32" s="158">
        <v>63</v>
      </c>
      <c r="O32" s="158">
        <v>317</v>
      </c>
      <c r="P32" s="159">
        <v>1290</v>
      </c>
      <c r="Q32" s="158">
        <v>160</v>
      </c>
      <c r="R32" s="158">
        <v>128</v>
      </c>
      <c r="S32" s="158">
        <v>25</v>
      </c>
      <c r="T32" s="158">
        <v>259</v>
      </c>
      <c r="U32" s="158">
        <v>299</v>
      </c>
      <c r="V32" s="158">
        <v>354</v>
      </c>
      <c r="W32" s="161">
        <v>103</v>
      </c>
      <c r="X32" s="159">
        <v>4784</v>
      </c>
      <c r="Y32" s="158">
        <v>65</v>
      </c>
      <c r="Z32" s="158">
        <v>89</v>
      </c>
      <c r="AA32" s="158">
        <v>91</v>
      </c>
      <c r="AB32" s="159">
        <v>1521</v>
      </c>
      <c r="AC32" s="158">
        <v>175</v>
      </c>
      <c r="AD32" s="158">
        <v>37</v>
      </c>
      <c r="AE32" s="159">
        <v>1085</v>
      </c>
      <c r="AF32" s="158"/>
      <c r="AG32" s="158">
        <v>11</v>
      </c>
      <c r="AH32" s="160">
        <v>5306</v>
      </c>
    </row>
    <row r="33" spans="1:34" x14ac:dyDescent="0.25">
      <c r="A33" s="158" t="s">
        <v>648</v>
      </c>
      <c r="B33" s="159">
        <v>1019</v>
      </c>
      <c r="C33" s="158">
        <v>319</v>
      </c>
      <c r="D33" s="158">
        <v>19</v>
      </c>
      <c r="E33" s="158">
        <v>16</v>
      </c>
      <c r="F33" s="158">
        <v>783</v>
      </c>
      <c r="G33" s="158">
        <v>63</v>
      </c>
      <c r="H33" s="158">
        <v>68</v>
      </c>
      <c r="I33" s="159">
        <v>1063</v>
      </c>
      <c r="J33" s="158">
        <v>671</v>
      </c>
      <c r="K33" s="158">
        <v>755</v>
      </c>
      <c r="L33" s="158">
        <v>416</v>
      </c>
      <c r="M33" s="158">
        <v>70</v>
      </c>
      <c r="N33" s="158">
        <v>95</v>
      </c>
      <c r="O33" s="159">
        <v>2095</v>
      </c>
      <c r="P33" s="158">
        <v>906</v>
      </c>
      <c r="Q33" s="158">
        <v>168</v>
      </c>
      <c r="R33" s="158">
        <v>33</v>
      </c>
      <c r="S33" s="158">
        <v>149</v>
      </c>
      <c r="T33" s="158">
        <v>480</v>
      </c>
      <c r="U33" s="158">
        <v>105</v>
      </c>
      <c r="V33" s="158">
        <v>109</v>
      </c>
      <c r="W33" s="161">
        <v>143</v>
      </c>
      <c r="X33" s="158">
        <v>16</v>
      </c>
      <c r="Y33" s="158">
        <v>645</v>
      </c>
      <c r="Z33" s="158">
        <v>162</v>
      </c>
      <c r="AA33" s="158">
        <v>104</v>
      </c>
      <c r="AB33" s="158">
        <v>67</v>
      </c>
      <c r="AC33" s="158">
        <v>221</v>
      </c>
      <c r="AD33" s="158">
        <v>31</v>
      </c>
      <c r="AE33" s="158">
        <v>384</v>
      </c>
      <c r="AF33" s="158">
        <v>18</v>
      </c>
      <c r="AG33" s="158"/>
      <c r="AH33" s="160">
        <v>9560</v>
      </c>
    </row>
    <row r="35" spans="1:34" x14ac:dyDescent="0.25">
      <c r="A35" s="83" t="s">
        <v>653</v>
      </c>
      <c r="B35">
        <f>SUM(W2:W33)</f>
        <v>12706</v>
      </c>
      <c r="D35" s="225" t="s">
        <v>658</v>
      </c>
      <c r="E35" s="225"/>
      <c r="F35" s="225"/>
    </row>
    <row r="36" spans="1:34" x14ac:dyDescent="0.25">
      <c r="A36" s="83" t="s">
        <v>654</v>
      </c>
      <c r="B36">
        <f>SUM(B23:AG23)</f>
        <v>33524</v>
      </c>
      <c r="D36" s="224" t="s">
        <v>656</v>
      </c>
      <c r="E36" s="224"/>
      <c r="F36" s="16">
        <f>(B37/SUM('Prospectivo y Retrospectivo'!C4:C21))*1000</f>
        <v>51.549154376874185</v>
      </c>
    </row>
    <row r="37" spans="1:34" x14ac:dyDescent="0.25">
      <c r="A37" s="83" t="s">
        <v>655</v>
      </c>
      <c r="B37">
        <f>SUM(B23:AH23)</f>
        <v>39435</v>
      </c>
      <c r="D37" s="226" t="s">
        <v>657</v>
      </c>
      <c r="E37" s="226"/>
      <c r="F37" s="16">
        <f>(B36/SUM('Prospectivo y Retrospectivo'!C4:C21))*1000</f>
        <v>43.82233679042298</v>
      </c>
    </row>
    <row r="38" spans="1:34" x14ac:dyDescent="0.25">
      <c r="D38" s="224" t="s">
        <v>659</v>
      </c>
      <c r="E38" s="224"/>
      <c r="F38" s="16">
        <f>(B35/SUM('Prospectivo y Retrospectivo'!C4:C21))*1000</f>
        <v>16.609193749526145</v>
      </c>
    </row>
    <row r="39" spans="1:34" x14ac:dyDescent="0.25">
      <c r="D39" s="199" t="s">
        <v>661</v>
      </c>
      <c r="E39" s="199"/>
      <c r="F39" s="16">
        <f>((B35+B36)/SUM('Prospectivo y Retrospectivo'!C4:C21))*1000</f>
        <v>60.431530539949122</v>
      </c>
    </row>
    <row r="40" spans="1:34" x14ac:dyDescent="0.25">
      <c r="D40" s="224" t="s">
        <v>662</v>
      </c>
      <c r="E40" s="224"/>
      <c r="F40" s="16">
        <f>((B36-B35)/SUM('Prospectivo y Retrospectivo'!C4:C21))*1000</f>
        <v>27.213143040896838</v>
      </c>
    </row>
  </sheetData>
  <mergeCells count="6">
    <mergeCell ref="D40:E40"/>
    <mergeCell ref="D35:F35"/>
    <mergeCell ref="D36:E36"/>
    <mergeCell ref="D37:E37"/>
    <mergeCell ref="D38:E38"/>
    <mergeCell ref="D39:E39"/>
  </mergeCells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BBA6-BAAB-4838-A1E2-B0E64A64C3BB}">
  <dimension ref="A1:AH40"/>
  <sheetViews>
    <sheetView zoomScale="60" zoomScaleNormal="60" workbookViewId="0">
      <selection activeCell="H40" sqref="H40"/>
    </sheetView>
  </sheetViews>
  <sheetFormatPr baseColWidth="10" defaultRowHeight="15" x14ac:dyDescent="0.25"/>
  <cols>
    <col min="1" max="1" width="23.42578125" customWidth="1"/>
    <col min="2" max="2" width="16.5703125" customWidth="1"/>
    <col min="3" max="3" width="16.140625" customWidth="1"/>
    <col min="4" max="4" width="20.28515625" customWidth="1"/>
    <col min="9" max="9" width="13.28515625" customWidth="1"/>
    <col min="12" max="12" width="13.7109375" customWidth="1"/>
    <col min="20" max="20" width="13.28515625" customWidth="1"/>
    <col min="24" max="24" width="14.7109375" customWidth="1"/>
    <col min="25" max="25" width="17.7109375" customWidth="1"/>
    <col min="29" max="29" width="13.5703125" customWidth="1"/>
  </cols>
  <sheetData>
    <row r="1" spans="1:34" ht="31.15" customHeight="1" x14ac:dyDescent="0.25">
      <c r="A1" s="4" t="s">
        <v>617</v>
      </c>
      <c r="B1" s="4" t="s">
        <v>618</v>
      </c>
      <c r="C1" s="4" t="s">
        <v>619</v>
      </c>
      <c r="D1" s="4" t="s">
        <v>620</v>
      </c>
      <c r="E1" s="4" t="s">
        <v>621</v>
      </c>
      <c r="F1" s="4" t="s">
        <v>652</v>
      </c>
      <c r="G1" s="4" t="s">
        <v>623</v>
      </c>
      <c r="H1" s="4" t="s">
        <v>624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651</v>
      </c>
      <c r="R1" s="4" t="s">
        <v>634</v>
      </c>
      <c r="S1" s="4" t="s">
        <v>635</v>
      </c>
      <c r="T1" s="4" t="s">
        <v>636</v>
      </c>
      <c r="U1" s="4" t="s">
        <v>637</v>
      </c>
      <c r="V1" s="4" t="s">
        <v>638</v>
      </c>
      <c r="W1" s="167" t="s">
        <v>639</v>
      </c>
      <c r="X1" s="4" t="s">
        <v>640</v>
      </c>
      <c r="Y1" s="4" t="s">
        <v>641</v>
      </c>
      <c r="Z1" s="4" t="s">
        <v>642</v>
      </c>
      <c r="AA1" s="4" t="s">
        <v>643</v>
      </c>
      <c r="AB1" s="4" t="s">
        <v>644</v>
      </c>
      <c r="AC1" s="4" t="s">
        <v>645</v>
      </c>
      <c r="AD1" s="4" t="s">
        <v>646</v>
      </c>
      <c r="AE1" s="4" t="s">
        <v>665</v>
      </c>
      <c r="AF1" s="4" t="s">
        <v>647</v>
      </c>
      <c r="AG1" s="4" t="s">
        <v>648</v>
      </c>
      <c r="AH1" t="s">
        <v>649</v>
      </c>
    </row>
    <row r="2" spans="1:34" x14ac:dyDescent="0.25">
      <c r="A2" s="172" t="s">
        <v>618</v>
      </c>
      <c r="B2" s="4"/>
      <c r="C2" s="4">
        <v>287</v>
      </c>
      <c r="D2" s="4">
        <v>45</v>
      </c>
      <c r="E2" s="4">
        <v>5</v>
      </c>
      <c r="F2" s="4">
        <v>352</v>
      </c>
      <c r="G2" s="4">
        <v>127</v>
      </c>
      <c r="H2" s="4">
        <v>114</v>
      </c>
      <c r="I2" s="4">
        <v>393</v>
      </c>
      <c r="J2" s="7">
        <v>3469</v>
      </c>
      <c r="K2" s="4">
        <v>307</v>
      </c>
      <c r="L2" s="4">
        <v>991</v>
      </c>
      <c r="M2" s="4">
        <v>139</v>
      </c>
      <c r="N2" s="4">
        <v>256</v>
      </c>
      <c r="O2" s="7">
        <v>3298</v>
      </c>
      <c r="P2" s="7">
        <v>2466</v>
      </c>
      <c r="Q2" s="4">
        <v>404</v>
      </c>
      <c r="R2" s="4">
        <v>199</v>
      </c>
      <c r="S2" s="4">
        <v>128</v>
      </c>
      <c r="T2" s="4">
        <v>312</v>
      </c>
      <c r="U2" s="4">
        <v>160</v>
      </c>
      <c r="V2" s="4">
        <v>284</v>
      </c>
      <c r="W2" s="167">
        <v>261</v>
      </c>
      <c r="X2" s="4">
        <v>61</v>
      </c>
      <c r="Y2" s="4">
        <v>760</v>
      </c>
      <c r="Z2" s="4">
        <v>182</v>
      </c>
      <c r="AA2" s="4">
        <v>120</v>
      </c>
      <c r="AB2" s="4">
        <v>56</v>
      </c>
      <c r="AC2" s="4">
        <v>202</v>
      </c>
      <c r="AD2" s="4">
        <v>55</v>
      </c>
      <c r="AE2" s="4">
        <v>384</v>
      </c>
      <c r="AF2" s="4">
        <v>44</v>
      </c>
      <c r="AG2" s="7">
        <v>2796</v>
      </c>
      <c r="AH2" s="10">
        <v>4088</v>
      </c>
    </row>
    <row r="3" spans="1:34" x14ac:dyDescent="0.25">
      <c r="A3" s="172" t="s">
        <v>619</v>
      </c>
      <c r="B3" s="4">
        <v>313</v>
      </c>
      <c r="C3" s="4"/>
      <c r="D3" s="7">
        <v>1332</v>
      </c>
      <c r="E3" s="4">
        <v>122</v>
      </c>
      <c r="F3" s="4">
        <v>464</v>
      </c>
      <c r="G3" s="4">
        <v>788</v>
      </c>
      <c r="H3" s="7">
        <v>7072</v>
      </c>
      <c r="I3" s="4">
        <v>944</v>
      </c>
      <c r="J3" s="7">
        <v>3413</v>
      </c>
      <c r="K3" s="7">
        <v>1832</v>
      </c>
      <c r="L3" s="7">
        <v>1658</v>
      </c>
      <c r="M3" s="7">
        <v>3690</v>
      </c>
      <c r="N3" s="4">
        <v>640</v>
      </c>
      <c r="O3" s="7">
        <v>5781</v>
      </c>
      <c r="P3" s="7">
        <v>3647</v>
      </c>
      <c r="Q3" s="7">
        <v>4492</v>
      </c>
      <c r="R3" s="4">
        <v>803</v>
      </c>
      <c r="S3" s="7">
        <v>3875</v>
      </c>
      <c r="T3" s="4">
        <v>478</v>
      </c>
      <c r="U3" s="7">
        <v>3381</v>
      </c>
      <c r="V3" s="7">
        <v>1887</v>
      </c>
      <c r="W3" s="167">
        <v>301</v>
      </c>
      <c r="X3" s="4">
        <v>203</v>
      </c>
      <c r="Y3" s="4">
        <v>211</v>
      </c>
      <c r="Z3" s="7">
        <v>18640</v>
      </c>
      <c r="AA3" s="7">
        <v>8864</v>
      </c>
      <c r="AB3" s="4">
        <v>658</v>
      </c>
      <c r="AC3" s="4">
        <v>319</v>
      </c>
      <c r="AD3" s="4">
        <v>284</v>
      </c>
      <c r="AE3" s="7">
        <v>5391</v>
      </c>
      <c r="AF3" s="4">
        <v>119</v>
      </c>
      <c r="AG3" s="4">
        <v>604</v>
      </c>
      <c r="AH3" s="10">
        <v>18569</v>
      </c>
    </row>
    <row r="4" spans="1:34" x14ac:dyDescent="0.25">
      <c r="A4" s="172" t="s">
        <v>620</v>
      </c>
      <c r="B4" s="4">
        <v>53</v>
      </c>
      <c r="C4" s="7">
        <v>1251</v>
      </c>
      <c r="D4" s="4"/>
      <c r="E4" s="4">
        <v>54</v>
      </c>
      <c r="F4" s="4">
        <v>142</v>
      </c>
      <c r="G4" s="4">
        <v>96</v>
      </c>
      <c r="H4" s="4">
        <v>593</v>
      </c>
      <c r="I4" s="4">
        <v>143</v>
      </c>
      <c r="J4" s="7">
        <v>1204</v>
      </c>
      <c r="K4" s="4">
        <v>343</v>
      </c>
      <c r="L4" s="4">
        <v>209</v>
      </c>
      <c r="M4" s="7">
        <v>2899</v>
      </c>
      <c r="N4" s="4">
        <v>65</v>
      </c>
      <c r="O4" s="7">
        <v>1161</v>
      </c>
      <c r="P4" s="7">
        <v>1101</v>
      </c>
      <c r="Q4" s="4">
        <v>353</v>
      </c>
      <c r="R4" s="4">
        <v>161</v>
      </c>
      <c r="S4" s="4">
        <v>345</v>
      </c>
      <c r="T4" s="4">
        <v>130</v>
      </c>
      <c r="U4" s="4">
        <v>985</v>
      </c>
      <c r="V4" s="4">
        <v>533</v>
      </c>
      <c r="W4" s="167">
        <v>84</v>
      </c>
      <c r="X4" s="4">
        <v>201</v>
      </c>
      <c r="Y4" s="4">
        <v>62</v>
      </c>
      <c r="Z4" s="7">
        <v>4173</v>
      </c>
      <c r="AA4" s="4">
        <v>833</v>
      </c>
      <c r="AB4" s="4">
        <v>88</v>
      </c>
      <c r="AC4" s="4">
        <v>95</v>
      </c>
      <c r="AD4" s="4">
        <v>74</v>
      </c>
      <c r="AE4" s="7">
        <v>1236</v>
      </c>
      <c r="AF4" s="4">
        <v>36</v>
      </c>
      <c r="AG4" s="4">
        <v>65</v>
      </c>
      <c r="AH4" s="10">
        <v>2804</v>
      </c>
    </row>
    <row r="5" spans="1:34" x14ac:dyDescent="0.25">
      <c r="A5" s="172" t="s">
        <v>621</v>
      </c>
      <c r="B5" s="4">
        <v>19</v>
      </c>
      <c r="C5" s="4">
        <v>100</v>
      </c>
      <c r="D5" s="4">
        <v>21</v>
      </c>
      <c r="E5" s="4"/>
      <c r="F5" s="4">
        <v>69</v>
      </c>
      <c r="G5" s="4">
        <v>15</v>
      </c>
      <c r="H5" s="7">
        <v>1176</v>
      </c>
      <c r="I5" s="4">
        <v>225</v>
      </c>
      <c r="J5" s="4">
        <v>574</v>
      </c>
      <c r="K5" s="4">
        <v>136</v>
      </c>
      <c r="L5" s="4">
        <v>71</v>
      </c>
      <c r="M5" s="4">
        <v>117</v>
      </c>
      <c r="N5" s="4">
        <v>40</v>
      </c>
      <c r="O5" s="4">
        <v>114</v>
      </c>
      <c r="P5" s="4">
        <v>599</v>
      </c>
      <c r="Q5" s="4">
        <v>138</v>
      </c>
      <c r="R5" s="4">
        <v>36</v>
      </c>
      <c r="S5" s="4">
        <v>27</v>
      </c>
      <c r="T5" s="4">
        <v>138</v>
      </c>
      <c r="U5" s="4">
        <v>303</v>
      </c>
      <c r="V5" s="4">
        <v>246</v>
      </c>
      <c r="W5" s="167">
        <v>65</v>
      </c>
      <c r="X5" s="7">
        <v>1200</v>
      </c>
      <c r="Y5" s="4">
        <v>42</v>
      </c>
      <c r="Z5" s="4">
        <v>86</v>
      </c>
      <c r="AA5" s="4">
        <v>45</v>
      </c>
      <c r="AB5" s="7">
        <v>3845</v>
      </c>
      <c r="AC5" s="4">
        <v>388</v>
      </c>
      <c r="AD5" s="4">
        <v>23</v>
      </c>
      <c r="AE5" s="7">
        <v>2272</v>
      </c>
      <c r="AF5" s="7">
        <v>1135</v>
      </c>
      <c r="AG5" s="4">
        <v>31</v>
      </c>
      <c r="AH5" s="10">
        <v>2219</v>
      </c>
    </row>
    <row r="6" spans="1:34" x14ac:dyDescent="0.25">
      <c r="A6" s="172" t="s">
        <v>652</v>
      </c>
      <c r="B6" s="4">
        <v>221</v>
      </c>
      <c r="C6" s="4">
        <v>289</v>
      </c>
      <c r="D6" s="4">
        <v>62</v>
      </c>
      <c r="E6" s="4">
        <v>55</v>
      </c>
      <c r="F6" s="4"/>
      <c r="G6" s="4">
        <v>63</v>
      </c>
      <c r="H6" s="4">
        <v>441</v>
      </c>
      <c r="I6" s="7">
        <v>2666</v>
      </c>
      <c r="J6" s="4">
        <v>934</v>
      </c>
      <c r="K6" s="7">
        <v>2906</v>
      </c>
      <c r="L6" s="4">
        <v>451</v>
      </c>
      <c r="M6" s="4">
        <v>255</v>
      </c>
      <c r="N6" s="4">
        <v>162</v>
      </c>
      <c r="O6" s="4">
        <v>576</v>
      </c>
      <c r="P6" s="7">
        <v>1222</v>
      </c>
      <c r="Q6" s="4">
        <v>306</v>
      </c>
      <c r="R6" s="4">
        <v>172</v>
      </c>
      <c r="S6" s="4">
        <v>63</v>
      </c>
      <c r="T6" s="7">
        <v>3452</v>
      </c>
      <c r="U6" s="4">
        <v>319</v>
      </c>
      <c r="V6" s="4">
        <v>341</v>
      </c>
      <c r="W6" s="167">
        <v>158</v>
      </c>
      <c r="X6" s="4">
        <v>81</v>
      </c>
      <c r="Y6" s="4">
        <v>629</v>
      </c>
      <c r="Z6" s="4">
        <v>267</v>
      </c>
      <c r="AA6" s="4">
        <v>225</v>
      </c>
      <c r="AB6" s="4">
        <v>339</v>
      </c>
      <c r="AC6" s="7">
        <v>1209</v>
      </c>
      <c r="AD6" s="4">
        <v>46</v>
      </c>
      <c r="AE6" s="7">
        <v>2518</v>
      </c>
      <c r="AF6" s="4">
        <v>43</v>
      </c>
      <c r="AG6" s="7">
        <v>1232</v>
      </c>
      <c r="AH6" s="10">
        <v>6100</v>
      </c>
    </row>
    <row r="7" spans="1:34" x14ac:dyDescent="0.25">
      <c r="A7" s="172" t="s">
        <v>623</v>
      </c>
      <c r="B7" s="4">
        <v>93</v>
      </c>
      <c r="C7" s="4">
        <v>498</v>
      </c>
      <c r="D7" s="4">
        <v>69</v>
      </c>
      <c r="E7" s="4">
        <v>58</v>
      </c>
      <c r="F7" s="4">
        <v>73</v>
      </c>
      <c r="G7" s="4"/>
      <c r="H7" s="4">
        <v>277</v>
      </c>
      <c r="I7" s="4">
        <v>84</v>
      </c>
      <c r="J7" s="4">
        <v>864</v>
      </c>
      <c r="K7" s="4">
        <v>65</v>
      </c>
      <c r="L7" s="4">
        <v>322</v>
      </c>
      <c r="M7" s="4">
        <v>603</v>
      </c>
      <c r="N7" s="4">
        <v>52</v>
      </c>
      <c r="O7" s="7">
        <v>5558</v>
      </c>
      <c r="P7" s="4">
        <v>799</v>
      </c>
      <c r="Q7" s="7">
        <v>1910</v>
      </c>
      <c r="R7" s="4">
        <v>101</v>
      </c>
      <c r="S7" s="4">
        <v>193</v>
      </c>
      <c r="T7" s="4">
        <v>85</v>
      </c>
      <c r="U7" s="4">
        <v>272</v>
      </c>
      <c r="V7" s="4">
        <v>85</v>
      </c>
      <c r="W7" s="167">
        <v>93</v>
      </c>
      <c r="X7" s="4">
        <v>48</v>
      </c>
      <c r="Y7" s="4">
        <v>76</v>
      </c>
      <c r="Z7" s="4">
        <v>233</v>
      </c>
      <c r="AA7" s="4">
        <v>167</v>
      </c>
      <c r="AB7" s="4">
        <v>84</v>
      </c>
      <c r="AC7" s="4">
        <v>180</v>
      </c>
      <c r="AD7" s="4">
        <v>28</v>
      </c>
      <c r="AE7" s="4">
        <v>448</v>
      </c>
      <c r="AF7" s="4">
        <v>32</v>
      </c>
      <c r="AG7" s="4">
        <v>64</v>
      </c>
      <c r="AH7" s="10">
        <v>2336</v>
      </c>
    </row>
    <row r="8" spans="1:34" x14ac:dyDescent="0.25">
      <c r="A8" s="172" t="s">
        <v>624</v>
      </c>
      <c r="B8" s="4">
        <v>22</v>
      </c>
      <c r="C8" s="4">
        <v>505</v>
      </c>
      <c r="D8" s="4">
        <v>39</v>
      </c>
      <c r="E8" s="4">
        <v>242</v>
      </c>
      <c r="F8" s="4">
        <v>85</v>
      </c>
      <c r="G8" s="4">
        <v>42</v>
      </c>
      <c r="H8" s="4"/>
      <c r="I8" s="4">
        <v>261</v>
      </c>
      <c r="J8" s="7">
        <v>1332</v>
      </c>
      <c r="K8" s="4">
        <v>32</v>
      </c>
      <c r="L8" s="4">
        <v>102</v>
      </c>
      <c r="M8" s="4">
        <v>191</v>
      </c>
      <c r="N8" s="4">
        <v>77</v>
      </c>
      <c r="O8" s="4">
        <v>362</v>
      </c>
      <c r="P8" s="7">
        <v>1547</v>
      </c>
      <c r="Q8" s="4">
        <v>165</v>
      </c>
      <c r="R8" s="4">
        <v>114</v>
      </c>
      <c r="S8" s="4">
        <v>38</v>
      </c>
      <c r="T8" s="4">
        <v>220</v>
      </c>
      <c r="U8" s="7">
        <v>1039</v>
      </c>
      <c r="V8" s="4">
        <v>535</v>
      </c>
      <c r="W8" s="167">
        <v>86</v>
      </c>
      <c r="X8" s="4">
        <v>440</v>
      </c>
      <c r="Y8" s="4">
        <v>52</v>
      </c>
      <c r="Z8" s="4">
        <v>104</v>
      </c>
      <c r="AA8" s="4">
        <v>115</v>
      </c>
      <c r="AB8" s="7">
        <v>1429</v>
      </c>
      <c r="AC8" s="4">
        <v>207</v>
      </c>
      <c r="AD8" s="4">
        <v>58</v>
      </c>
      <c r="AE8" s="7">
        <v>1289</v>
      </c>
      <c r="AF8" s="4">
        <v>196</v>
      </c>
      <c r="AG8" s="4">
        <v>30</v>
      </c>
      <c r="AH8" s="10">
        <v>9332</v>
      </c>
    </row>
    <row r="9" spans="1:34" x14ac:dyDescent="0.25">
      <c r="A9" s="172" t="s">
        <v>625</v>
      </c>
      <c r="B9" s="4">
        <v>248</v>
      </c>
      <c r="C9" s="4">
        <v>528</v>
      </c>
      <c r="D9" s="4">
        <v>78</v>
      </c>
      <c r="E9" s="4">
        <v>168</v>
      </c>
      <c r="F9" s="7">
        <v>3215</v>
      </c>
      <c r="G9" s="4">
        <v>78</v>
      </c>
      <c r="H9" s="7">
        <v>1636</v>
      </c>
      <c r="I9" s="4"/>
      <c r="J9" s="7">
        <v>1242</v>
      </c>
      <c r="K9" s="7">
        <v>5484</v>
      </c>
      <c r="L9" s="4">
        <v>397</v>
      </c>
      <c r="M9" s="4">
        <v>454</v>
      </c>
      <c r="N9" s="4">
        <v>242</v>
      </c>
      <c r="O9" s="4">
        <v>889</v>
      </c>
      <c r="P9" s="7">
        <v>1480</v>
      </c>
      <c r="Q9" s="4">
        <v>436</v>
      </c>
      <c r="R9" s="4">
        <v>173</v>
      </c>
      <c r="S9" s="4">
        <v>142</v>
      </c>
      <c r="T9" s="4">
        <v>735</v>
      </c>
      <c r="U9" s="7">
        <v>1603</v>
      </c>
      <c r="V9" s="4">
        <v>599</v>
      </c>
      <c r="W9" s="167">
        <v>210</v>
      </c>
      <c r="X9" s="4">
        <v>100</v>
      </c>
      <c r="Y9" s="4">
        <v>252</v>
      </c>
      <c r="Z9" s="7">
        <v>1405</v>
      </c>
      <c r="AA9" s="7">
        <v>1259</v>
      </c>
      <c r="AB9" s="4">
        <v>480</v>
      </c>
      <c r="AC9" s="4">
        <v>399</v>
      </c>
      <c r="AD9" s="4">
        <v>68</v>
      </c>
      <c r="AE9" s="7">
        <v>6670</v>
      </c>
      <c r="AF9" s="4">
        <v>60</v>
      </c>
      <c r="AG9" s="7">
        <v>1236</v>
      </c>
      <c r="AH9" s="10">
        <v>16012</v>
      </c>
    </row>
    <row r="10" spans="1:34" x14ac:dyDescent="0.25">
      <c r="A10" s="172" t="s">
        <v>626</v>
      </c>
      <c r="B10" s="4">
        <v>636</v>
      </c>
      <c r="C10" s="7">
        <v>1116</v>
      </c>
      <c r="D10" s="4">
        <v>230</v>
      </c>
      <c r="E10" s="4">
        <v>267</v>
      </c>
      <c r="F10" s="4">
        <v>540</v>
      </c>
      <c r="G10" s="4">
        <v>282</v>
      </c>
      <c r="H10" s="7">
        <v>2575</v>
      </c>
      <c r="I10" s="4">
        <v>852</v>
      </c>
      <c r="J10" s="4"/>
      <c r="K10" s="4">
        <v>269</v>
      </c>
      <c r="L10" s="7">
        <v>2313</v>
      </c>
      <c r="M10" s="7">
        <v>3685</v>
      </c>
      <c r="N10" s="7">
        <v>4315</v>
      </c>
      <c r="O10" s="7">
        <v>3001</v>
      </c>
      <c r="P10" s="7">
        <v>38847</v>
      </c>
      <c r="Q10" s="7">
        <v>3497</v>
      </c>
      <c r="R10" s="7">
        <v>2983</v>
      </c>
      <c r="S10" s="4">
        <v>221</v>
      </c>
      <c r="T10" s="7">
        <v>1504</v>
      </c>
      <c r="U10" s="7">
        <v>6523</v>
      </c>
      <c r="V10" s="7">
        <v>8887</v>
      </c>
      <c r="W10" s="168">
        <v>1678</v>
      </c>
      <c r="X10" s="4">
        <v>914</v>
      </c>
      <c r="Y10" s="4">
        <v>855</v>
      </c>
      <c r="Z10" s="7">
        <v>1003</v>
      </c>
      <c r="AA10" s="4">
        <v>693</v>
      </c>
      <c r="AB10" s="4">
        <v>887</v>
      </c>
      <c r="AC10" s="4">
        <v>868</v>
      </c>
      <c r="AD10" s="7">
        <v>1289</v>
      </c>
      <c r="AE10" s="7">
        <v>8827</v>
      </c>
      <c r="AF10" s="4">
        <v>556</v>
      </c>
      <c r="AG10" s="4">
        <v>351</v>
      </c>
      <c r="AH10" s="10">
        <v>41506</v>
      </c>
    </row>
    <row r="11" spans="1:34" x14ac:dyDescent="0.25">
      <c r="A11" s="172" t="s">
        <v>627</v>
      </c>
      <c r="B11" s="4">
        <v>119</v>
      </c>
      <c r="C11" s="4">
        <v>588</v>
      </c>
      <c r="D11" s="4">
        <v>105</v>
      </c>
      <c r="E11" s="4">
        <v>25</v>
      </c>
      <c r="F11" s="7">
        <v>3754</v>
      </c>
      <c r="G11" s="4">
        <v>36</v>
      </c>
      <c r="H11" s="4">
        <v>83</v>
      </c>
      <c r="I11" s="7">
        <v>3125</v>
      </c>
      <c r="J11" s="4">
        <v>403</v>
      </c>
      <c r="K11" s="4"/>
      <c r="L11" s="4">
        <v>185</v>
      </c>
      <c r="M11" s="4">
        <v>95</v>
      </c>
      <c r="N11" s="4">
        <v>69</v>
      </c>
      <c r="O11" s="4">
        <v>444</v>
      </c>
      <c r="P11" s="4">
        <v>481</v>
      </c>
      <c r="Q11" s="4">
        <v>99</v>
      </c>
      <c r="R11" s="4">
        <v>51</v>
      </c>
      <c r="S11" s="4">
        <v>104</v>
      </c>
      <c r="T11" s="4">
        <v>422</v>
      </c>
      <c r="U11" s="4">
        <v>55</v>
      </c>
      <c r="V11" s="4">
        <v>105</v>
      </c>
      <c r="W11" s="167">
        <v>108</v>
      </c>
      <c r="X11" s="4">
        <v>34</v>
      </c>
      <c r="Y11" s="4">
        <v>137</v>
      </c>
      <c r="Z11" s="4">
        <v>697</v>
      </c>
      <c r="AA11" s="4">
        <v>213</v>
      </c>
      <c r="AB11" s="4">
        <v>41</v>
      </c>
      <c r="AC11" s="4">
        <v>256</v>
      </c>
      <c r="AD11" s="4">
        <v>15</v>
      </c>
      <c r="AE11" s="4">
        <v>197</v>
      </c>
      <c r="AF11" s="4">
        <v>15</v>
      </c>
      <c r="AG11" s="4">
        <v>709</v>
      </c>
      <c r="AH11" s="10">
        <v>4852</v>
      </c>
    </row>
    <row r="12" spans="1:34" x14ac:dyDescent="0.25">
      <c r="A12" s="172" t="s">
        <v>628</v>
      </c>
      <c r="B12" s="4">
        <v>556</v>
      </c>
      <c r="C12" s="4">
        <v>769</v>
      </c>
      <c r="D12" s="4">
        <v>95</v>
      </c>
      <c r="E12" s="4">
        <v>45</v>
      </c>
      <c r="F12" s="4">
        <v>474</v>
      </c>
      <c r="G12" s="4">
        <v>137</v>
      </c>
      <c r="H12" s="4">
        <v>295</v>
      </c>
      <c r="I12" s="4">
        <v>485</v>
      </c>
      <c r="J12" s="7">
        <v>6248</v>
      </c>
      <c r="K12" s="4">
        <v>184</v>
      </c>
      <c r="L12" s="4"/>
      <c r="M12" s="4">
        <v>440</v>
      </c>
      <c r="N12" s="4">
        <v>510</v>
      </c>
      <c r="O12" s="7">
        <v>3285</v>
      </c>
      <c r="P12" s="7">
        <v>6370</v>
      </c>
      <c r="Q12" s="7">
        <v>3045</v>
      </c>
      <c r="R12" s="4">
        <v>335</v>
      </c>
      <c r="S12" s="4">
        <v>215</v>
      </c>
      <c r="T12" s="4">
        <v>575</v>
      </c>
      <c r="U12" s="4">
        <v>323</v>
      </c>
      <c r="V12" s="4">
        <v>653</v>
      </c>
      <c r="W12" s="168">
        <v>1995</v>
      </c>
      <c r="X12" s="4">
        <v>129</v>
      </c>
      <c r="Y12" s="4">
        <v>803</v>
      </c>
      <c r="Z12" s="4">
        <v>388</v>
      </c>
      <c r="AA12" s="4">
        <v>301</v>
      </c>
      <c r="AB12" s="4">
        <v>113</v>
      </c>
      <c r="AC12" s="4">
        <v>568</v>
      </c>
      <c r="AD12" s="4">
        <v>146</v>
      </c>
      <c r="AE12" s="4">
        <v>976</v>
      </c>
      <c r="AF12" s="4">
        <v>114</v>
      </c>
      <c r="AG12" s="4">
        <v>383</v>
      </c>
      <c r="AH12" s="10">
        <v>11641</v>
      </c>
    </row>
    <row r="13" spans="1:34" x14ac:dyDescent="0.25">
      <c r="A13" s="172" t="s">
        <v>629</v>
      </c>
      <c r="B13" s="4">
        <v>40</v>
      </c>
      <c r="C13" s="4">
        <v>664</v>
      </c>
      <c r="D13" s="4">
        <v>197</v>
      </c>
      <c r="E13" s="4">
        <v>53</v>
      </c>
      <c r="F13" s="4">
        <v>117</v>
      </c>
      <c r="G13" s="4">
        <v>188</v>
      </c>
      <c r="H13" s="4">
        <v>320</v>
      </c>
      <c r="I13" s="4">
        <v>170</v>
      </c>
      <c r="J13" s="7">
        <v>2565</v>
      </c>
      <c r="K13" s="4">
        <v>64</v>
      </c>
      <c r="L13" s="4">
        <v>195</v>
      </c>
      <c r="M13" s="4"/>
      <c r="N13" s="4">
        <v>158</v>
      </c>
      <c r="O13" s="4">
        <v>624</v>
      </c>
      <c r="P13" s="7">
        <v>3516</v>
      </c>
      <c r="Q13" s="7">
        <v>1315</v>
      </c>
      <c r="R13" s="7">
        <v>1689</v>
      </c>
      <c r="S13" s="4">
        <v>50</v>
      </c>
      <c r="T13" s="4">
        <v>121</v>
      </c>
      <c r="U13" s="4">
        <v>907</v>
      </c>
      <c r="V13" s="4">
        <v>518</v>
      </c>
      <c r="W13" s="167">
        <v>115</v>
      </c>
      <c r="X13" s="4">
        <v>257</v>
      </c>
      <c r="Y13" s="4">
        <v>92</v>
      </c>
      <c r="Z13" s="4">
        <v>527</v>
      </c>
      <c r="AA13" s="4">
        <v>192</v>
      </c>
      <c r="AB13" s="4">
        <v>119</v>
      </c>
      <c r="AC13" s="4">
        <v>171</v>
      </c>
      <c r="AD13" s="4">
        <v>59</v>
      </c>
      <c r="AE13" s="4">
        <v>535</v>
      </c>
      <c r="AF13" s="4">
        <v>49</v>
      </c>
      <c r="AG13" s="4">
        <v>38</v>
      </c>
      <c r="AH13" s="10">
        <v>8239</v>
      </c>
    </row>
    <row r="14" spans="1:34" x14ac:dyDescent="0.25">
      <c r="A14" s="172" t="s">
        <v>630</v>
      </c>
      <c r="B14" s="4">
        <v>118</v>
      </c>
      <c r="C14" s="4">
        <v>442</v>
      </c>
      <c r="D14" s="4">
        <v>21</v>
      </c>
      <c r="E14" s="4">
        <v>35</v>
      </c>
      <c r="F14" s="4">
        <v>196</v>
      </c>
      <c r="G14" s="4">
        <v>62</v>
      </c>
      <c r="H14" s="4">
        <v>274</v>
      </c>
      <c r="I14" s="4">
        <v>300</v>
      </c>
      <c r="J14" s="7">
        <v>10459</v>
      </c>
      <c r="K14" s="4">
        <v>91</v>
      </c>
      <c r="L14" s="4">
        <v>594</v>
      </c>
      <c r="M14" s="4">
        <v>359</v>
      </c>
      <c r="N14" s="4"/>
      <c r="O14" s="4">
        <v>561</v>
      </c>
      <c r="P14" s="7">
        <v>15794</v>
      </c>
      <c r="Q14" s="4">
        <v>449</v>
      </c>
      <c r="R14" s="4">
        <v>340</v>
      </c>
      <c r="S14" s="4">
        <v>47</v>
      </c>
      <c r="T14" s="4">
        <v>365</v>
      </c>
      <c r="U14" s="4">
        <v>396</v>
      </c>
      <c r="V14" s="7">
        <v>2065</v>
      </c>
      <c r="W14" s="167">
        <v>908</v>
      </c>
      <c r="X14" s="4">
        <v>126</v>
      </c>
      <c r="Y14" s="4">
        <v>413</v>
      </c>
      <c r="Z14" s="4">
        <v>132</v>
      </c>
      <c r="AA14" s="4">
        <v>99</v>
      </c>
      <c r="AB14" s="4">
        <v>177</v>
      </c>
      <c r="AC14" s="4">
        <v>545</v>
      </c>
      <c r="AD14" s="4">
        <v>489</v>
      </c>
      <c r="AE14" s="7">
        <v>2326</v>
      </c>
      <c r="AF14" s="4">
        <v>68</v>
      </c>
      <c r="AG14" s="4">
        <v>89</v>
      </c>
      <c r="AH14" s="10">
        <v>6337</v>
      </c>
    </row>
    <row r="15" spans="1:34" x14ac:dyDescent="0.25">
      <c r="A15" s="172" t="s">
        <v>631</v>
      </c>
      <c r="B15" s="7">
        <v>1292</v>
      </c>
      <c r="C15" s="7">
        <v>3084</v>
      </c>
      <c r="D15" s="4">
        <v>462</v>
      </c>
      <c r="E15" s="4">
        <v>94</v>
      </c>
      <c r="F15" s="4">
        <v>612</v>
      </c>
      <c r="G15" s="7">
        <v>2302</v>
      </c>
      <c r="H15" s="7">
        <v>1612</v>
      </c>
      <c r="I15" s="4">
        <v>849</v>
      </c>
      <c r="J15" s="7">
        <v>5178</v>
      </c>
      <c r="K15" s="4">
        <v>559</v>
      </c>
      <c r="L15" s="7">
        <v>2955</v>
      </c>
      <c r="M15" s="7">
        <v>1717</v>
      </c>
      <c r="N15" s="7">
        <v>1340</v>
      </c>
      <c r="O15" s="4"/>
      <c r="P15" s="7">
        <v>4974</v>
      </c>
      <c r="Q15" s="7">
        <v>6278</v>
      </c>
      <c r="R15" s="4">
        <v>529</v>
      </c>
      <c r="S15" s="7">
        <v>4355</v>
      </c>
      <c r="T15" s="7">
        <v>1106</v>
      </c>
      <c r="U15" s="7">
        <v>1166</v>
      </c>
      <c r="V15" s="7">
        <v>1070</v>
      </c>
      <c r="W15" s="167">
        <v>741</v>
      </c>
      <c r="X15" s="4">
        <v>395</v>
      </c>
      <c r="Y15" s="7">
        <v>1080</v>
      </c>
      <c r="Z15" s="7">
        <v>3550</v>
      </c>
      <c r="AA15" s="7">
        <v>1427</v>
      </c>
      <c r="AB15" s="4">
        <v>458</v>
      </c>
      <c r="AC15" s="4">
        <v>682</v>
      </c>
      <c r="AD15" s="4">
        <v>190</v>
      </c>
      <c r="AE15" s="7">
        <v>2540</v>
      </c>
      <c r="AF15" s="4">
        <v>233</v>
      </c>
      <c r="AG15" s="7">
        <v>2228</v>
      </c>
      <c r="AH15" s="10">
        <v>34515</v>
      </c>
    </row>
    <row r="16" spans="1:34" x14ac:dyDescent="0.25">
      <c r="A16" s="172" t="s">
        <v>632</v>
      </c>
      <c r="B16" s="4">
        <v>606</v>
      </c>
      <c r="C16" s="7">
        <v>1530</v>
      </c>
      <c r="D16" s="4">
        <v>196</v>
      </c>
      <c r="E16" s="4">
        <v>278</v>
      </c>
      <c r="F16" s="4">
        <v>680</v>
      </c>
      <c r="G16" s="4">
        <v>221</v>
      </c>
      <c r="H16" s="7">
        <v>3008</v>
      </c>
      <c r="I16" s="4">
        <v>831</v>
      </c>
      <c r="J16" s="7">
        <v>142348</v>
      </c>
      <c r="K16" s="4">
        <v>386</v>
      </c>
      <c r="L16" s="7">
        <v>2843</v>
      </c>
      <c r="M16" s="7">
        <v>5194</v>
      </c>
      <c r="N16" s="7">
        <v>6428</v>
      </c>
      <c r="O16" s="7">
        <v>2934</v>
      </c>
      <c r="P16" s="4"/>
      <c r="Q16" s="7">
        <v>4997</v>
      </c>
      <c r="R16" s="7">
        <v>2722</v>
      </c>
      <c r="S16" s="4">
        <v>231</v>
      </c>
      <c r="T16" s="7">
        <v>1279</v>
      </c>
      <c r="U16" s="7">
        <v>7569</v>
      </c>
      <c r="V16" s="7">
        <v>9738</v>
      </c>
      <c r="W16" s="168">
        <v>2014</v>
      </c>
      <c r="X16" s="4">
        <v>706</v>
      </c>
      <c r="Y16" s="7">
        <v>1027</v>
      </c>
      <c r="Z16" s="4">
        <v>741</v>
      </c>
      <c r="AA16" s="4">
        <v>531</v>
      </c>
      <c r="AB16" s="4">
        <v>925</v>
      </c>
      <c r="AC16" s="4">
        <v>960</v>
      </c>
      <c r="AD16" s="7">
        <v>1380</v>
      </c>
      <c r="AE16" s="7">
        <v>11315</v>
      </c>
      <c r="AF16" s="4">
        <v>464</v>
      </c>
      <c r="AG16" s="4">
        <v>494</v>
      </c>
      <c r="AH16" s="10">
        <v>37725</v>
      </c>
    </row>
    <row r="17" spans="1:34" x14ac:dyDescent="0.25">
      <c r="A17" s="172" t="s">
        <v>651</v>
      </c>
      <c r="B17" s="4">
        <v>174</v>
      </c>
      <c r="C17" s="7">
        <v>1393</v>
      </c>
      <c r="D17" s="4">
        <v>153</v>
      </c>
      <c r="E17" s="4">
        <v>67</v>
      </c>
      <c r="F17" s="4">
        <v>157</v>
      </c>
      <c r="G17" s="4">
        <v>733</v>
      </c>
      <c r="H17" s="4">
        <v>478</v>
      </c>
      <c r="I17" s="4">
        <v>265</v>
      </c>
      <c r="J17" s="7">
        <v>5130</v>
      </c>
      <c r="K17" s="4">
        <v>112</v>
      </c>
      <c r="L17" s="7">
        <v>2701</v>
      </c>
      <c r="M17" s="7">
        <v>3322</v>
      </c>
      <c r="N17" s="4">
        <v>296</v>
      </c>
      <c r="O17" s="7">
        <v>3540</v>
      </c>
      <c r="P17" s="7">
        <v>6012</v>
      </c>
      <c r="Q17" s="4"/>
      <c r="R17" s="4">
        <v>393</v>
      </c>
      <c r="S17" s="4">
        <v>294</v>
      </c>
      <c r="T17" s="4">
        <v>284</v>
      </c>
      <c r="U17" s="4">
        <v>477</v>
      </c>
      <c r="V17" s="4">
        <v>489</v>
      </c>
      <c r="W17" s="167">
        <v>588</v>
      </c>
      <c r="X17" s="4">
        <v>111</v>
      </c>
      <c r="Y17" s="4">
        <v>229</v>
      </c>
      <c r="Z17" s="4">
        <v>354</v>
      </c>
      <c r="AA17" s="4">
        <v>327</v>
      </c>
      <c r="AB17" s="4">
        <v>133</v>
      </c>
      <c r="AC17" s="4">
        <v>354</v>
      </c>
      <c r="AD17" s="4">
        <v>98</v>
      </c>
      <c r="AE17" s="4">
        <v>782</v>
      </c>
      <c r="AF17" s="4">
        <v>89</v>
      </c>
      <c r="AG17" s="4">
        <v>137</v>
      </c>
      <c r="AH17" s="10">
        <v>14795</v>
      </c>
    </row>
    <row r="18" spans="1:34" x14ac:dyDescent="0.25">
      <c r="A18" s="172" t="s">
        <v>634</v>
      </c>
      <c r="B18" s="4">
        <v>99</v>
      </c>
      <c r="C18" s="4">
        <v>393</v>
      </c>
      <c r="D18" s="4">
        <v>47</v>
      </c>
      <c r="E18" s="4">
        <v>54</v>
      </c>
      <c r="F18" s="4">
        <v>121</v>
      </c>
      <c r="G18" s="4">
        <v>36</v>
      </c>
      <c r="H18" s="4">
        <v>359</v>
      </c>
      <c r="I18" s="4">
        <v>154</v>
      </c>
      <c r="J18" s="7">
        <v>8834</v>
      </c>
      <c r="K18" s="4">
        <v>46</v>
      </c>
      <c r="L18" s="4">
        <v>320</v>
      </c>
      <c r="M18" s="7">
        <v>6211</v>
      </c>
      <c r="N18" s="4">
        <v>314</v>
      </c>
      <c r="O18" s="4">
        <v>405</v>
      </c>
      <c r="P18" s="7">
        <v>6283</v>
      </c>
      <c r="Q18" s="4">
        <v>598</v>
      </c>
      <c r="R18" s="4"/>
      <c r="S18" s="4">
        <v>48</v>
      </c>
      <c r="T18" s="4">
        <v>168</v>
      </c>
      <c r="U18" s="4">
        <v>709</v>
      </c>
      <c r="V18" s="7">
        <v>1704</v>
      </c>
      <c r="W18" s="167">
        <v>188</v>
      </c>
      <c r="X18" s="4">
        <v>210</v>
      </c>
      <c r="Y18" s="4">
        <v>121</v>
      </c>
      <c r="Z18" s="4">
        <v>155</v>
      </c>
      <c r="AA18" s="4">
        <v>107</v>
      </c>
      <c r="AB18" s="4">
        <v>148</v>
      </c>
      <c r="AC18" s="4">
        <v>135</v>
      </c>
      <c r="AD18" s="4">
        <v>151</v>
      </c>
      <c r="AE18" s="7">
        <v>1117</v>
      </c>
      <c r="AF18" s="4">
        <v>65</v>
      </c>
      <c r="AG18" s="4">
        <v>61</v>
      </c>
      <c r="AH18" s="10">
        <v>4224</v>
      </c>
    </row>
    <row r="19" spans="1:34" x14ac:dyDescent="0.25">
      <c r="A19" s="172" t="s">
        <v>635</v>
      </c>
      <c r="B19" s="4">
        <v>88</v>
      </c>
      <c r="C19" s="7">
        <v>1594</v>
      </c>
      <c r="D19" s="4">
        <v>166</v>
      </c>
      <c r="E19" s="4">
        <v>20</v>
      </c>
      <c r="F19" s="4">
        <v>70</v>
      </c>
      <c r="G19" s="4">
        <v>283</v>
      </c>
      <c r="H19" s="7">
        <v>1115</v>
      </c>
      <c r="I19" s="4">
        <v>122</v>
      </c>
      <c r="J19" s="4">
        <v>645</v>
      </c>
      <c r="K19" s="4">
        <v>369</v>
      </c>
      <c r="L19" s="4">
        <v>312</v>
      </c>
      <c r="M19" s="4">
        <v>486</v>
      </c>
      <c r="N19" s="4">
        <v>87</v>
      </c>
      <c r="O19" s="7">
        <v>7182</v>
      </c>
      <c r="P19" s="4">
        <v>672</v>
      </c>
      <c r="Q19" s="4">
        <v>774</v>
      </c>
      <c r="R19" s="4">
        <v>62</v>
      </c>
      <c r="S19" s="4"/>
      <c r="T19" s="4">
        <v>88</v>
      </c>
      <c r="U19" s="4">
        <v>131</v>
      </c>
      <c r="V19" s="4">
        <v>137</v>
      </c>
      <c r="W19" s="167">
        <v>112</v>
      </c>
      <c r="X19" s="4">
        <v>51</v>
      </c>
      <c r="Y19" s="4">
        <v>94</v>
      </c>
      <c r="Z19" s="7">
        <v>1628</v>
      </c>
      <c r="AA19" s="4">
        <v>448</v>
      </c>
      <c r="AB19" s="4">
        <v>60</v>
      </c>
      <c r="AC19" s="4">
        <v>84</v>
      </c>
      <c r="AD19" s="4">
        <v>22</v>
      </c>
      <c r="AE19" s="4">
        <v>294</v>
      </c>
      <c r="AF19" s="4">
        <v>19</v>
      </c>
      <c r="AG19" s="4">
        <v>160</v>
      </c>
      <c r="AH19" s="10">
        <v>4550</v>
      </c>
    </row>
    <row r="20" spans="1:34" x14ac:dyDescent="0.25">
      <c r="A20" s="172" t="s">
        <v>636</v>
      </c>
      <c r="B20" s="4">
        <v>317</v>
      </c>
      <c r="C20" s="4">
        <v>633</v>
      </c>
      <c r="D20" s="4">
        <v>85</v>
      </c>
      <c r="E20" s="4">
        <v>155</v>
      </c>
      <c r="F20" s="7">
        <v>4917</v>
      </c>
      <c r="G20" s="4">
        <v>101</v>
      </c>
      <c r="H20" s="4">
        <v>945</v>
      </c>
      <c r="I20" s="7">
        <v>1099</v>
      </c>
      <c r="J20" s="7">
        <v>2557</v>
      </c>
      <c r="K20" s="4">
        <v>903</v>
      </c>
      <c r="L20" s="4">
        <v>860</v>
      </c>
      <c r="M20" s="4">
        <v>415</v>
      </c>
      <c r="N20" s="7">
        <v>1926</v>
      </c>
      <c r="O20" s="7">
        <v>1492</v>
      </c>
      <c r="P20" s="7">
        <v>2937</v>
      </c>
      <c r="Q20" s="4">
        <v>502</v>
      </c>
      <c r="R20" s="4">
        <v>304</v>
      </c>
      <c r="S20" s="4">
        <v>93</v>
      </c>
      <c r="T20" s="4"/>
      <c r="U20" s="4">
        <v>849</v>
      </c>
      <c r="V20" s="4">
        <v>735</v>
      </c>
      <c r="W20" s="167">
        <v>553</v>
      </c>
      <c r="X20" s="4">
        <v>219</v>
      </c>
      <c r="Y20" s="7">
        <v>8419</v>
      </c>
      <c r="Z20" s="4">
        <v>814</v>
      </c>
      <c r="AA20" s="4">
        <v>709</v>
      </c>
      <c r="AB20" s="4">
        <v>746</v>
      </c>
      <c r="AC20" s="7">
        <v>6866</v>
      </c>
      <c r="AD20" s="4">
        <v>92</v>
      </c>
      <c r="AE20" s="7">
        <v>6818</v>
      </c>
      <c r="AF20" s="4">
        <v>161</v>
      </c>
      <c r="AG20" s="7">
        <v>1028</v>
      </c>
      <c r="AH20" s="10">
        <v>19839</v>
      </c>
    </row>
    <row r="21" spans="1:34" x14ac:dyDescent="0.25">
      <c r="A21" s="172" t="s">
        <v>637</v>
      </c>
      <c r="B21" s="4">
        <v>42</v>
      </c>
      <c r="C21" s="7">
        <v>1156</v>
      </c>
      <c r="D21" s="4">
        <v>156</v>
      </c>
      <c r="E21" s="4">
        <v>147</v>
      </c>
      <c r="F21" s="4">
        <v>134</v>
      </c>
      <c r="G21" s="4">
        <v>95</v>
      </c>
      <c r="H21" s="7">
        <v>2023</v>
      </c>
      <c r="I21" s="4">
        <v>432</v>
      </c>
      <c r="J21" s="7">
        <v>4411</v>
      </c>
      <c r="K21" s="4">
        <v>65</v>
      </c>
      <c r="L21" s="4">
        <v>169</v>
      </c>
      <c r="M21" s="4">
        <v>946</v>
      </c>
      <c r="N21" s="4">
        <v>184</v>
      </c>
      <c r="O21" s="4">
        <v>488</v>
      </c>
      <c r="P21" s="7">
        <v>6479</v>
      </c>
      <c r="Q21" s="4">
        <v>302</v>
      </c>
      <c r="R21" s="4">
        <v>379</v>
      </c>
      <c r="S21" s="4">
        <v>59</v>
      </c>
      <c r="T21" s="4">
        <v>232</v>
      </c>
      <c r="U21" s="4"/>
      <c r="V21" s="7">
        <v>1730</v>
      </c>
      <c r="W21" s="167">
        <v>148</v>
      </c>
      <c r="X21" s="4">
        <v>253</v>
      </c>
      <c r="Y21" s="4">
        <v>87</v>
      </c>
      <c r="Z21" s="4">
        <v>481</v>
      </c>
      <c r="AA21" s="4">
        <v>281</v>
      </c>
      <c r="AB21" s="4">
        <v>457</v>
      </c>
      <c r="AC21" s="4">
        <v>358</v>
      </c>
      <c r="AD21" s="4">
        <v>115</v>
      </c>
      <c r="AE21" s="7">
        <v>4385</v>
      </c>
      <c r="AF21" s="4">
        <v>171</v>
      </c>
      <c r="AG21" s="4">
        <v>72</v>
      </c>
      <c r="AH21" s="10">
        <v>9897</v>
      </c>
    </row>
    <row r="22" spans="1:34" x14ac:dyDescent="0.25">
      <c r="A22" s="172" t="s">
        <v>638</v>
      </c>
      <c r="B22" s="4">
        <v>173</v>
      </c>
      <c r="C22" s="4">
        <v>743</v>
      </c>
      <c r="D22" s="4">
        <v>64</v>
      </c>
      <c r="E22" s="4">
        <v>158</v>
      </c>
      <c r="F22" s="4">
        <v>248</v>
      </c>
      <c r="G22" s="4">
        <v>74</v>
      </c>
      <c r="H22" s="7">
        <v>1540</v>
      </c>
      <c r="I22" s="4">
        <v>440</v>
      </c>
      <c r="J22" s="7">
        <v>7879</v>
      </c>
      <c r="K22" s="4">
        <v>92</v>
      </c>
      <c r="L22" s="4">
        <v>640</v>
      </c>
      <c r="M22" s="7">
        <v>1473</v>
      </c>
      <c r="N22" s="7">
        <v>1308</v>
      </c>
      <c r="O22" s="4">
        <v>920</v>
      </c>
      <c r="P22" s="7">
        <v>10982</v>
      </c>
      <c r="Q22" s="4">
        <v>613</v>
      </c>
      <c r="R22" s="7">
        <v>1520</v>
      </c>
      <c r="S22" s="4">
        <v>51</v>
      </c>
      <c r="T22" s="4">
        <v>435</v>
      </c>
      <c r="U22" s="7">
        <v>3886</v>
      </c>
      <c r="V22" s="4"/>
      <c r="W22" s="167">
        <v>420</v>
      </c>
      <c r="X22" s="4">
        <v>475</v>
      </c>
      <c r="Y22" s="4">
        <v>227</v>
      </c>
      <c r="Z22" s="4">
        <v>236</v>
      </c>
      <c r="AA22" s="4">
        <v>227</v>
      </c>
      <c r="AB22" s="4">
        <v>884</v>
      </c>
      <c r="AC22" s="4">
        <v>514</v>
      </c>
      <c r="AD22" s="7">
        <v>2801</v>
      </c>
      <c r="AE22" s="7">
        <v>10274</v>
      </c>
      <c r="AF22" s="4">
        <v>230</v>
      </c>
      <c r="AG22" s="4">
        <v>91</v>
      </c>
      <c r="AH22" s="10">
        <v>12567</v>
      </c>
    </row>
    <row r="23" spans="1:34" ht="21.6" customHeight="1" x14ac:dyDescent="0.25">
      <c r="A23" s="173" t="s">
        <v>639</v>
      </c>
      <c r="B23" s="169">
        <v>256</v>
      </c>
      <c r="C23" s="169">
        <v>278</v>
      </c>
      <c r="D23" s="169">
        <v>40</v>
      </c>
      <c r="E23" s="169">
        <v>40</v>
      </c>
      <c r="F23" s="169">
        <v>313</v>
      </c>
      <c r="G23" s="169">
        <v>84</v>
      </c>
      <c r="H23" s="169">
        <v>418</v>
      </c>
      <c r="I23" s="169">
        <v>307</v>
      </c>
      <c r="J23" s="170">
        <v>10629</v>
      </c>
      <c r="K23" s="169">
        <v>197</v>
      </c>
      <c r="L23" s="170">
        <v>4280</v>
      </c>
      <c r="M23" s="169">
        <v>458</v>
      </c>
      <c r="N23" s="170">
        <v>1615</v>
      </c>
      <c r="O23" s="169">
        <v>943</v>
      </c>
      <c r="P23" s="170">
        <v>8523</v>
      </c>
      <c r="Q23" s="170">
        <v>1530</v>
      </c>
      <c r="R23" s="169">
        <v>422</v>
      </c>
      <c r="S23" s="169">
        <v>118</v>
      </c>
      <c r="T23" s="169">
        <v>506</v>
      </c>
      <c r="U23" s="169">
        <v>353</v>
      </c>
      <c r="V23" s="169">
        <v>681</v>
      </c>
      <c r="W23" s="169"/>
      <c r="X23" s="169">
        <v>161</v>
      </c>
      <c r="Y23" s="169">
        <v>770</v>
      </c>
      <c r="Z23" s="169">
        <v>256</v>
      </c>
      <c r="AA23" s="169">
        <v>180</v>
      </c>
      <c r="AB23" s="169">
        <v>166</v>
      </c>
      <c r="AC23" s="169">
        <v>404</v>
      </c>
      <c r="AD23" s="169">
        <v>133</v>
      </c>
      <c r="AE23" s="170">
        <v>1266</v>
      </c>
      <c r="AF23" s="169">
        <v>112</v>
      </c>
      <c r="AG23" s="169">
        <v>177</v>
      </c>
      <c r="AH23" s="171">
        <v>4375</v>
      </c>
    </row>
    <row r="24" spans="1:34" x14ac:dyDescent="0.25">
      <c r="A24" s="172" t="s">
        <v>640</v>
      </c>
      <c r="B24" s="4">
        <v>99</v>
      </c>
      <c r="C24" s="4">
        <v>227</v>
      </c>
      <c r="D24" s="4">
        <v>90</v>
      </c>
      <c r="E24" s="7">
        <v>3008</v>
      </c>
      <c r="F24" s="4">
        <v>182</v>
      </c>
      <c r="G24" s="4">
        <v>75</v>
      </c>
      <c r="H24" s="7">
        <v>5616</v>
      </c>
      <c r="I24" s="4">
        <v>208</v>
      </c>
      <c r="J24" s="7">
        <v>5407</v>
      </c>
      <c r="K24" s="4">
        <v>106</v>
      </c>
      <c r="L24" s="4">
        <v>281</v>
      </c>
      <c r="M24" s="7">
        <v>1251</v>
      </c>
      <c r="N24" s="4">
        <v>221</v>
      </c>
      <c r="O24" s="4">
        <v>874</v>
      </c>
      <c r="P24" s="7">
        <v>3313</v>
      </c>
      <c r="Q24" s="4">
        <v>258</v>
      </c>
      <c r="R24" s="4">
        <v>520</v>
      </c>
      <c r="S24" s="4">
        <v>57</v>
      </c>
      <c r="T24" s="4">
        <v>374</v>
      </c>
      <c r="U24" s="4">
        <v>782</v>
      </c>
      <c r="V24" s="7">
        <v>1003</v>
      </c>
      <c r="W24" s="167">
        <v>217</v>
      </c>
      <c r="X24" s="4"/>
      <c r="Y24" s="4">
        <v>124</v>
      </c>
      <c r="Z24" s="4">
        <v>188</v>
      </c>
      <c r="AA24" s="4">
        <v>95</v>
      </c>
      <c r="AB24" s="7">
        <v>7984</v>
      </c>
      <c r="AC24" s="4">
        <v>283</v>
      </c>
      <c r="AD24" s="4">
        <v>144</v>
      </c>
      <c r="AE24" s="7">
        <v>6757</v>
      </c>
      <c r="AF24" s="7">
        <v>8606</v>
      </c>
      <c r="AG24" s="4">
        <v>40</v>
      </c>
      <c r="AH24" s="10">
        <v>4406</v>
      </c>
    </row>
    <row r="25" spans="1:34" x14ac:dyDescent="0.25">
      <c r="A25" s="172" t="s">
        <v>641</v>
      </c>
      <c r="B25" s="4">
        <v>426</v>
      </c>
      <c r="C25" s="4">
        <v>202</v>
      </c>
      <c r="D25" s="4">
        <v>32</v>
      </c>
      <c r="E25" s="4">
        <v>37</v>
      </c>
      <c r="F25" s="4">
        <v>607</v>
      </c>
      <c r="G25" s="4">
        <v>66</v>
      </c>
      <c r="H25" s="4">
        <v>145</v>
      </c>
      <c r="I25" s="4">
        <v>289</v>
      </c>
      <c r="J25" s="7">
        <v>1984</v>
      </c>
      <c r="K25" s="4">
        <v>192</v>
      </c>
      <c r="L25" s="7">
        <v>1488</v>
      </c>
      <c r="M25" s="4">
        <v>196</v>
      </c>
      <c r="N25" s="4">
        <v>495</v>
      </c>
      <c r="O25" s="7">
        <v>1112</v>
      </c>
      <c r="P25" s="7">
        <v>2540</v>
      </c>
      <c r="Q25" s="4">
        <v>401</v>
      </c>
      <c r="R25" s="4">
        <v>165</v>
      </c>
      <c r="S25" s="4">
        <v>78</v>
      </c>
      <c r="T25" s="7">
        <v>2766</v>
      </c>
      <c r="U25" s="4">
        <v>191</v>
      </c>
      <c r="V25" s="4">
        <v>293</v>
      </c>
      <c r="W25" s="167">
        <v>687</v>
      </c>
      <c r="X25" s="4">
        <v>102</v>
      </c>
      <c r="Y25" s="4"/>
      <c r="Z25" s="4">
        <v>153</v>
      </c>
      <c r="AA25" s="4">
        <v>177</v>
      </c>
      <c r="AB25" s="4">
        <v>73</v>
      </c>
      <c r="AC25" s="7">
        <v>2785</v>
      </c>
      <c r="AD25" s="4">
        <v>108</v>
      </c>
      <c r="AE25" s="7">
        <v>1065</v>
      </c>
      <c r="AF25" s="4">
        <v>55</v>
      </c>
      <c r="AG25" s="4">
        <v>991</v>
      </c>
      <c r="AH25" s="10">
        <v>6402</v>
      </c>
    </row>
    <row r="26" spans="1:34" x14ac:dyDescent="0.25">
      <c r="A26" s="172" t="s">
        <v>642</v>
      </c>
      <c r="B26" s="4">
        <v>56</v>
      </c>
      <c r="C26" s="7">
        <v>4077</v>
      </c>
      <c r="D26" s="4">
        <v>581</v>
      </c>
      <c r="E26" s="4">
        <v>27</v>
      </c>
      <c r="F26" s="4">
        <v>177</v>
      </c>
      <c r="G26" s="4">
        <v>110</v>
      </c>
      <c r="H26" s="4">
        <v>367</v>
      </c>
      <c r="I26" s="7">
        <v>1050</v>
      </c>
      <c r="J26" s="4">
        <v>800</v>
      </c>
      <c r="K26" s="7">
        <v>1473</v>
      </c>
      <c r="L26" s="4">
        <v>373</v>
      </c>
      <c r="M26" s="7">
        <v>2796</v>
      </c>
      <c r="N26" s="4">
        <v>115</v>
      </c>
      <c r="O26" s="7">
        <v>1538</v>
      </c>
      <c r="P26" s="4">
        <v>783</v>
      </c>
      <c r="Q26" s="4">
        <v>558</v>
      </c>
      <c r="R26" s="4">
        <v>114</v>
      </c>
      <c r="S26" s="4">
        <v>874</v>
      </c>
      <c r="T26" s="4">
        <v>246</v>
      </c>
      <c r="U26" s="7">
        <v>1639</v>
      </c>
      <c r="V26" s="4">
        <v>272</v>
      </c>
      <c r="W26" s="167">
        <v>74</v>
      </c>
      <c r="X26" s="4">
        <v>72</v>
      </c>
      <c r="Y26" s="4">
        <v>178</v>
      </c>
      <c r="Z26" s="4"/>
      <c r="AA26" s="7">
        <v>2760</v>
      </c>
      <c r="AB26" s="4">
        <v>94</v>
      </c>
      <c r="AC26" s="4">
        <v>135</v>
      </c>
      <c r="AD26" s="4">
        <v>45</v>
      </c>
      <c r="AE26" s="7">
        <v>2639</v>
      </c>
      <c r="AF26" s="4">
        <v>37</v>
      </c>
      <c r="AG26" s="4">
        <v>108</v>
      </c>
      <c r="AH26" s="10">
        <v>6469</v>
      </c>
    </row>
    <row r="27" spans="1:34" x14ac:dyDescent="0.25">
      <c r="A27" s="172" t="s">
        <v>643</v>
      </c>
      <c r="B27" s="4">
        <v>100</v>
      </c>
      <c r="C27" s="7">
        <v>3233</v>
      </c>
      <c r="D27" s="4">
        <v>301</v>
      </c>
      <c r="E27" s="4">
        <v>27</v>
      </c>
      <c r="F27" s="4">
        <v>281</v>
      </c>
      <c r="G27" s="4">
        <v>126</v>
      </c>
      <c r="H27" s="4">
        <v>676</v>
      </c>
      <c r="I27" s="7">
        <v>1405</v>
      </c>
      <c r="J27" s="4">
        <v>975</v>
      </c>
      <c r="K27" s="4">
        <v>397</v>
      </c>
      <c r="L27" s="4">
        <v>386</v>
      </c>
      <c r="M27" s="4">
        <v>640</v>
      </c>
      <c r="N27" s="4">
        <v>112</v>
      </c>
      <c r="O27" s="7">
        <v>1332</v>
      </c>
      <c r="P27" s="4">
        <v>913</v>
      </c>
      <c r="Q27" s="4">
        <v>605</v>
      </c>
      <c r="R27" s="4">
        <v>128</v>
      </c>
      <c r="S27" s="4">
        <v>757</v>
      </c>
      <c r="T27" s="4">
        <v>352</v>
      </c>
      <c r="U27" s="4">
        <v>784</v>
      </c>
      <c r="V27" s="4">
        <v>316</v>
      </c>
      <c r="W27" s="167">
        <v>99</v>
      </c>
      <c r="X27" s="4">
        <v>87</v>
      </c>
      <c r="Y27" s="4">
        <v>103</v>
      </c>
      <c r="Z27" s="7">
        <v>7827</v>
      </c>
      <c r="AA27" s="4"/>
      <c r="AB27" s="4">
        <v>301</v>
      </c>
      <c r="AC27" s="4">
        <v>163</v>
      </c>
      <c r="AD27" s="4">
        <v>55</v>
      </c>
      <c r="AE27" s="4">
        <v>845</v>
      </c>
      <c r="AF27" s="4">
        <v>47</v>
      </c>
      <c r="AG27" s="4">
        <v>129</v>
      </c>
      <c r="AH27" s="10">
        <v>7994</v>
      </c>
    </row>
    <row r="28" spans="1:34" x14ac:dyDescent="0.25">
      <c r="A28" s="172" t="s">
        <v>644</v>
      </c>
      <c r="B28" s="4">
        <v>14</v>
      </c>
      <c r="C28" s="4">
        <v>98</v>
      </c>
      <c r="D28" s="4">
        <v>8</v>
      </c>
      <c r="E28" s="7">
        <v>1091</v>
      </c>
      <c r="F28" s="4">
        <v>97</v>
      </c>
      <c r="G28" s="4">
        <v>18</v>
      </c>
      <c r="H28" s="7">
        <v>2969</v>
      </c>
      <c r="I28" s="4">
        <v>110</v>
      </c>
      <c r="J28" s="4">
        <v>770</v>
      </c>
      <c r="K28" s="4">
        <v>15</v>
      </c>
      <c r="L28" s="4">
        <v>76</v>
      </c>
      <c r="M28" s="4">
        <v>111</v>
      </c>
      <c r="N28" s="4">
        <v>68</v>
      </c>
      <c r="O28" s="4">
        <v>169</v>
      </c>
      <c r="P28" s="4">
        <v>615</v>
      </c>
      <c r="Q28" s="4">
        <v>84</v>
      </c>
      <c r="R28" s="4">
        <v>43</v>
      </c>
      <c r="S28" s="4">
        <v>12</v>
      </c>
      <c r="T28" s="4">
        <v>176</v>
      </c>
      <c r="U28" s="4">
        <v>344</v>
      </c>
      <c r="V28" s="4">
        <v>411</v>
      </c>
      <c r="W28" s="167">
        <v>66</v>
      </c>
      <c r="X28" s="4">
        <v>674</v>
      </c>
      <c r="Y28" s="4">
        <v>50</v>
      </c>
      <c r="Z28" s="4">
        <v>67</v>
      </c>
      <c r="AA28" s="4">
        <v>112</v>
      </c>
      <c r="AB28" s="4"/>
      <c r="AC28" s="4">
        <v>319</v>
      </c>
      <c r="AD28" s="4">
        <v>34</v>
      </c>
      <c r="AE28" s="7">
        <v>2304</v>
      </c>
      <c r="AF28" s="4">
        <v>368</v>
      </c>
      <c r="AG28" s="4">
        <v>15</v>
      </c>
      <c r="AH28" s="10">
        <v>4252</v>
      </c>
    </row>
    <row r="29" spans="1:34" x14ac:dyDescent="0.25">
      <c r="A29" s="172" t="s">
        <v>645</v>
      </c>
      <c r="B29" s="4">
        <v>187</v>
      </c>
      <c r="C29" s="4">
        <v>375</v>
      </c>
      <c r="D29" s="4">
        <v>122</v>
      </c>
      <c r="E29" s="4">
        <v>360</v>
      </c>
      <c r="F29" s="7">
        <v>1848</v>
      </c>
      <c r="G29" s="4">
        <v>169</v>
      </c>
      <c r="H29" s="7">
        <v>1796</v>
      </c>
      <c r="I29" s="4">
        <v>472</v>
      </c>
      <c r="J29" s="7">
        <v>2153</v>
      </c>
      <c r="K29" s="4">
        <v>420</v>
      </c>
      <c r="L29" s="7">
        <v>1044</v>
      </c>
      <c r="M29" s="4">
        <v>503</v>
      </c>
      <c r="N29" s="4">
        <v>944</v>
      </c>
      <c r="O29" s="4">
        <v>924</v>
      </c>
      <c r="P29" s="7">
        <v>2334</v>
      </c>
      <c r="Q29" s="4">
        <v>656</v>
      </c>
      <c r="R29" s="4">
        <v>259</v>
      </c>
      <c r="S29" s="4">
        <v>94</v>
      </c>
      <c r="T29" s="7">
        <v>5100</v>
      </c>
      <c r="U29" s="4">
        <v>891</v>
      </c>
      <c r="V29" s="7">
        <v>1030</v>
      </c>
      <c r="W29" s="167">
        <v>353</v>
      </c>
      <c r="X29" s="4">
        <v>199</v>
      </c>
      <c r="Y29" s="7">
        <v>5451</v>
      </c>
      <c r="Z29" s="4">
        <v>242</v>
      </c>
      <c r="AA29" s="4">
        <v>250</v>
      </c>
      <c r="AB29" s="7">
        <v>1463</v>
      </c>
      <c r="AC29" s="4"/>
      <c r="AD29" s="4">
        <v>105</v>
      </c>
      <c r="AE29" s="7">
        <v>25623</v>
      </c>
      <c r="AF29" s="4">
        <v>98</v>
      </c>
      <c r="AG29" s="4">
        <v>321</v>
      </c>
      <c r="AH29" s="10">
        <v>12001</v>
      </c>
    </row>
    <row r="30" spans="1:34" x14ac:dyDescent="0.25">
      <c r="A30" s="172" t="s">
        <v>646</v>
      </c>
      <c r="B30" s="4">
        <v>34</v>
      </c>
      <c r="C30" s="4">
        <v>181</v>
      </c>
      <c r="D30" s="4">
        <v>12</v>
      </c>
      <c r="E30" s="4">
        <v>24</v>
      </c>
      <c r="F30" s="4">
        <v>42</v>
      </c>
      <c r="G30" s="4">
        <v>12</v>
      </c>
      <c r="H30" s="4">
        <v>208</v>
      </c>
      <c r="I30" s="4">
        <v>82</v>
      </c>
      <c r="J30" s="7">
        <v>2775</v>
      </c>
      <c r="K30" s="4">
        <v>20</v>
      </c>
      <c r="L30" s="4">
        <v>127</v>
      </c>
      <c r="M30" s="4">
        <v>112</v>
      </c>
      <c r="N30" s="4">
        <v>531</v>
      </c>
      <c r="O30" s="4">
        <v>187</v>
      </c>
      <c r="P30" s="7">
        <v>3168</v>
      </c>
      <c r="Q30" s="4">
        <v>150</v>
      </c>
      <c r="R30" s="4">
        <v>131</v>
      </c>
      <c r="S30" s="4">
        <v>17</v>
      </c>
      <c r="T30" s="4">
        <v>64</v>
      </c>
      <c r="U30" s="4">
        <v>261</v>
      </c>
      <c r="V30" s="7">
        <v>4624</v>
      </c>
      <c r="W30" s="167">
        <v>123</v>
      </c>
      <c r="X30" s="4">
        <v>70</v>
      </c>
      <c r="Y30" s="4">
        <v>52</v>
      </c>
      <c r="Z30" s="4">
        <v>69</v>
      </c>
      <c r="AA30" s="4">
        <v>55</v>
      </c>
      <c r="AB30" s="4">
        <v>101</v>
      </c>
      <c r="AC30" s="4">
        <v>67</v>
      </c>
      <c r="AD30" s="4"/>
      <c r="AE30" s="7">
        <v>1175</v>
      </c>
      <c r="AF30" s="4">
        <v>28</v>
      </c>
      <c r="AG30" s="4">
        <v>38</v>
      </c>
      <c r="AH30" s="10">
        <v>2378</v>
      </c>
    </row>
    <row r="31" spans="1:34" x14ac:dyDescent="0.25">
      <c r="A31" s="172" t="s">
        <v>650</v>
      </c>
      <c r="B31" s="4">
        <v>182</v>
      </c>
      <c r="C31" s="7">
        <v>1553</v>
      </c>
      <c r="D31" s="4">
        <v>252</v>
      </c>
      <c r="E31" s="7">
        <v>1067</v>
      </c>
      <c r="F31" s="4">
        <v>673</v>
      </c>
      <c r="G31" s="4">
        <v>379</v>
      </c>
      <c r="H31" s="7">
        <v>2428</v>
      </c>
      <c r="I31" s="7">
        <v>2501</v>
      </c>
      <c r="J31" s="7">
        <v>8060</v>
      </c>
      <c r="K31" s="4">
        <v>212</v>
      </c>
      <c r="L31" s="4">
        <v>711</v>
      </c>
      <c r="M31" s="4">
        <v>752</v>
      </c>
      <c r="N31" s="7">
        <v>1337</v>
      </c>
      <c r="O31" s="7">
        <v>1265</v>
      </c>
      <c r="P31" s="7">
        <v>10565</v>
      </c>
      <c r="Q31" s="4">
        <v>828</v>
      </c>
      <c r="R31" s="4">
        <v>649</v>
      </c>
      <c r="S31" s="4">
        <v>98</v>
      </c>
      <c r="T31" s="7">
        <v>1551</v>
      </c>
      <c r="U31" s="7">
        <v>4704</v>
      </c>
      <c r="V31" s="7">
        <v>6099</v>
      </c>
      <c r="W31" s="167">
        <v>517</v>
      </c>
      <c r="X31" s="7">
        <v>1529</v>
      </c>
      <c r="Y31" s="4">
        <v>648</v>
      </c>
      <c r="Z31" s="4">
        <v>469</v>
      </c>
      <c r="AA31" s="4">
        <v>459</v>
      </c>
      <c r="AB31" s="7">
        <v>3169</v>
      </c>
      <c r="AC31" s="7">
        <v>6074</v>
      </c>
      <c r="AD31" s="4">
        <v>480</v>
      </c>
      <c r="AE31" s="4"/>
      <c r="AF31" s="4">
        <v>569</v>
      </c>
      <c r="AG31" s="4">
        <v>150</v>
      </c>
      <c r="AH31" s="10">
        <v>14308</v>
      </c>
    </row>
    <row r="32" spans="1:34" x14ac:dyDescent="0.25">
      <c r="A32" s="172" t="s">
        <v>647</v>
      </c>
      <c r="B32" s="4">
        <v>47</v>
      </c>
      <c r="C32" s="4">
        <v>111</v>
      </c>
      <c r="D32" s="4">
        <v>23</v>
      </c>
      <c r="E32" s="7">
        <v>2243</v>
      </c>
      <c r="F32" s="4">
        <v>100</v>
      </c>
      <c r="G32" s="4">
        <v>28</v>
      </c>
      <c r="H32" s="7">
        <v>1066</v>
      </c>
      <c r="I32" s="4">
        <v>83</v>
      </c>
      <c r="J32" s="7">
        <v>2172</v>
      </c>
      <c r="K32" s="4">
        <v>23</v>
      </c>
      <c r="L32" s="4">
        <v>190</v>
      </c>
      <c r="M32" s="4">
        <v>148</v>
      </c>
      <c r="N32" s="4">
        <v>72</v>
      </c>
      <c r="O32" s="4">
        <v>336</v>
      </c>
      <c r="P32" s="7">
        <v>1339</v>
      </c>
      <c r="Q32" s="4">
        <v>140</v>
      </c>
      <c r="R32" s="4">
        <v>143</v>
      </c>
      <c r="S32" s="4">
        <v>20</v>
      </c>
      <c r="T32" s="4">
        <v>224</v>
      </c>
      <c r="U32" s="4">
        <v>304</v>
      </c>
      <c r="V32" s="4">
        <v>345</v>
      </c>
      <c r="W32" s="167">
        <v>111</v>
      </c>
      <c r="X32" s="7">
        <v>4696</v>
      </c>
      <c r="Y32" s="4">
        <v>57</v>
      </c>
      <c r="Z32" s="4">
        <v>80</v>
      </c>
      <c r="AA32" s="4">
        <v>80</v>
      </c>
      <c r="AB32" s="7">
        <v>1761</v>
      </c>
      <c r="AC32" s="4">
        <v>178</v>
      </c>
      <c r="AD32" s="4">
        <v>31</v>
      </c>
      <c r="AE32" s="7">
        <v>1216</v>
      </c>
      <c r="AF32" s="4"/>
      <c r="AG32" s="4">
        <v>13</v>
      </c>
      <c r="AH32" s="10">
        <v>5211</v>
      </c>
    </row>
    <row r="33" spans="1:34" x14ac:dyDescent="0.25">
      <c r="A33" s="172" t="s">
        <v>648</v>
      </c>
      <c r="B33" s="7">
        <v>1161</v>
      </c>
      <c r="C33" s="4">
        <v>271</v>
      </c>
      <c r="D33" s="4">
        <v>19</v>
      </c>
      <c r="E33" s="4">
        <v>13</v>
      </c>
      <c r="F33" s="4">
        <v>760</v>
      </c>
      <c r="G33" s="4">
        <v>42</v>
      </c>
      <c r="H33" s="4">
        <v>62</v>
      </c>
      <c r="I33" s="4">
        <v>968</v>
      </c>
      <c r="J33" s="4">
        <v>556</v>
      </c>
      <c r="K33" s="4">
        <v>770</v>
      </c>
      <c r="L33" s="4">
        <v>329</v>
      </c>
      <c r="M33" s="4">
        <v>70</v>
      </c>
      <c r="N33" s="4">
        <v>66</v>
      </c>
      <c r="O33" s="7">
        <v>2112</v>
      </c>
      <c r="P33" s="4">
        <v>892</v>
      </c>
      <c r="Q33" s="4">
        <v>154</v>
      </c>
      <c r="R33" s="4">
        <v>34</v>
      </c>
      <c r="S33" s="4">
        <v>101</v>
      </c>
      <c r="T33" s="4">
        <v>477</v>
      </c>
      <c r="U33" s="4">
        <v>64</v>
      </c>
      <c r="V33" s="4">
        <v>115</v>
      </c>
      <c r="W33" s="167">
        <v>115</v>
      </c>
      <c r="X33" s="4">
        <v>18</v>
      </c>
      <c r="Y33" s="4">
        <v>562</v>
      </c>
      <c r="Z33" s="4">
        <v>176</v>
      </c>
      <c r="AA33" s="4">
        <v>102</v>
      </c>
      <c r="AB33" s="4">
        <v>36</v>
      </c>
      <c r="AC33" s="4">
        <v>187</v>
      </c>
      <c r="AD33" s="4">
        <v>28</v>
      </c>
      <c r="AE33" s="4">
        <v>178</v>
      </c>
      <c r="AF33" s="4">
        <v>15</v>
      </c>
      <c r="AG33" s="4"/>
      <c r="AH33" s="10">
        <v>5024</v>
      </c>
    </row>
    <row r="35" spans="1:34" x14ac:dyDescent="0.25">
      <c r="A35" s="83" t="s">
        <v>653</v>
      </c>
      <c r="B35">
        <f>SUM(W2:W33)</f>
        <v>13188</v>
      </c>
      <c r="D35" s="225" t="s">
        <v>658</v>
      </c>
      <c r="E35" s="225"/>
      <c r="F35" s="225"/>
    </row>
    <row r="36" spans="1:34" x14ac:dyDescent="0.25">
      <c r="A36" s="83" t="s">
        <v>654</v>
      </c>
      <c r="B36">
        <f>SUM(B23:AG23)</f>
        <v>35616</v>
      </c>
      <c r="D36" s="224" t="s">
        <v>656</v>
      </c>
      <c r="E36" s="224"/>
      <c r="F36" s="16">
        <f>(B37/SUM('Prospectivo y Retrospectivo'!O4:O21))*1000</f>
        <v>48.902802149761854</v>
      </c>
    </row>
    <row r="37" spans="1:34" x14ac:dyDescent="0.25">
      <c r="A37" s="83" t="s">
        <v>655</v>
      </c>
      <c r="B37">
        <f>SUM(B23:AH23)</f>
        <v>39991</v>
      </c>
      <c r="D37" s="226" t="s">
        <v>657</v>
      </c>
      <c r="E37" s="226"/>
      <c r="F37" s="16">
        <f>(B36/SUM('Prospectivo y Retrospectivo'!O4:O21))*1000</f>
        <v>43.552854426393885</v>
      </c>
    </row>
    <row r="38" spans="1:34" x14ac:dyDescent="0.25">
      <c r="D38" s="224" t="s">
        <v>659</v>
      </c>
      <c r="E38" s="224"/>
      <c r="F38" s="16">
        <f>(B35/SUM('Prospectivo y Retrospectivo'!O4:O21))*1000</f>
        <v>16.126882417320378</v>
      </c>
    </row>
    <row r="39" spans="1:34" x14ac:dyDescent="0.25">
      <c r="D39" s="199" t="s">
        <v>661</v>
      </c>
      <c r="E39" s="199"/>
      <c r="F39" s="16">
        <f>((B35+B36)/SUM('Prospectivo y Retrospectivo'!O4:O21))*1000</f>
        <v>59.679736843714267</v>
      </c>
    </row>
    <row r="40" spans="1:34" x14ac:dyDescent="0.25">
      <c r="D40" s="224" t="s">
        <v>662</v>
      </c>
      <c r="E40" s="224"/>
      <c r="F40" s="16">
        <f>((B36-B35)/SUM('Prospectivo y Retrospectivo'!O4:O21))*1000</f>
        <v>27.425972009073512</v>
      </c>
    </row>
  </sheetData>
  <mergeCells count="6">
    <mergeCell ref="D40:E40"/>
    <mergeCell ref="D35:F35"/>
    <mergeCell ref="D36:E36"/>
    <mergeCell ref="D37:E37"/>
    <mergeCell ref="D38:E38"/>
    <mergeCell ref="D39:E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AD2C-8FE5-49E1-BCC4-F024EF5F4A0A}">
  <dimension ref="A1:AH43"/>
  <sheetViews>
    <sheetView topLeftCell="A23" zoomScale="80" zoomScaleNormal="80" workbookViewId="0">
      <selection activeCell="K48" sqref="K48"/>
    </sheetView>
  </sheetViews>
  <sheetFormatPr baseColWidth="10" defaultRowHeight="15" x14ac:dyDescent="0.25"/>
  <cols>
    <col min="1" max="1" width="18.140625" customWidth="1"/>
    <col min="2" max="2" width="13.85546875" customWidth="1"/>
    <col min="3" max="3" width="15.28515625" customWidth="1"/>
    <col min="4" max="4" width="17.7109375" customWidth="1"/>
    <col min="10" max="10" width="16.28515625" customWidth="1"/>
    <col min="24" max="24" width="13.28515625" customWidth="1"/>
    <col min="25" max="25" width="14.5703125" customWidth="1"/>
  </cols>
  <sheetData>
    <row r="1" spans="1:34" ht="28.9" customHeight="1" x14ac:dyDescent="0.25">
      <c r="A1" s="4" t="s">
        <v>663</v>
      </c>
      <c r="B1" s="4" t="s">
        <v>618</v>
      </c>
      <c r="C1" s="4" t="s">
        <v>619</v>
      </c>
      <c r="D1" s="4" t="s">
        <v>620</v>
      </c>
      <c r="E1" s="4" t="s">
        <v>621</v>
      </c>
      <c r="F1" s="4" t="s">
        <v>652</v>
      </c>
      <c r="G1" s="4" t="s">
        <v>623</v>
      </c>
      <c r="H1" s="4" t="s">
        <v>624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651</v>
      </c>
      <c r="R1" s="4" t="s">
        <v>634</v>
      </c>
      <c r="S1" s="4" t="s">
        <v>635</v>
      </c>
      <c r="T1" s="4" t="s">
        <v>636</v>
      </c>
      <c r="U1" s="4" t="s">
        <v>637</v>
      </c>
      <c r="V1" s="4" t="s">
        <v>638</v>
      </c>
      <c r="W1" s="167" t="s">
        <v>664</v>
      </c>
      <c r="X1" s="4" t="s">
        <v>640</v>
      </c>
      <c r="Y1" s="4" t="s">
        <v>641</v>
      </c>
      <c r="Z1" s="4" t="s">
        <v>642</v>
      </c>
      <c r="AA1" s="4" t="s">
        <v>643</v>
      </c>
      <c r="AB1" s="4" t="s">
        <v>644</v>
      </c>
      <c r="AC1" s="4" t="s">
        <v>645</v>
      </c>
      <c r="AD1" s="4" t="s">
        <v>646</v>
      </c>
      <c r="AE1" s="4" t="s">
        <v>650</v>
      </c>
      <c r="AF1" s="4" t="s">
        <v>647</v>
      </c>
      <c r="AG1" s="4" t="s">
        <v>648</v>
      </c>
      <c r="AH1" s="4" t="s">
        <v>649</v>
      </c>
    </row>
    <row r="2" spans="1:34" x14ac:dyDescent="0.25">
      <c r="A2" s="172" t="s">
        <v>618</v>
      </c>
      <c r="B2" s="4"/>
      <c r="C2" s="4">
        <v>426</v>
      </c>
      <c r="D2" s="4">
        <v>56</v>
      </c>
      <c r="E2" s="4">
        <v>20</v>
      </c>
      <c r="F2" s="4">
        <v>357</v>
      </c>
      <c r="G2" s="4">
        <v>129</v>
      </c>
      <c r="H2" s="4">
        <v>126</v>
      </c>
      <c r="I2" s="4">
        <v>513</v>
      </c>
      <c r="J2" s="7">
        <v>3936</v>
      </c>
      <c r="K2" s="4">
        <v>340</v>
      </c>
      <c r="L2" s="7">
        <v>1176</v>
      </c>
      <c r="M2" s="4">
        <v>195</v>
      </c>
      <c r="N2" s="4">
        <v>242</v>
      </c>
      <c r="O2" s="7">
        <v>3485</v>
      </c>
      <c r="P2" s="7">
        <v>1932</v>
      </c>
      <c r="Q2" s="4">
        <v>457</v>
      </c>
      <c r="R2" s="4">
        <v>219</v>
      </c>
      <c r="S2" s="4">
        <v>129</v>
      </c>
      <c r="T2" s="4">
        <v>445</v>
      </c>
      <c r="U2" s="4">
        <v>191</v>
      </c>
      <c r="V2" s="4">
        <v>352</v>
      </c>
      <c r="W2" s="167">
        <v>363</v>
      </c>
      <c r="X2" s="4">
        <v>116</v>
      </c>
      <c r="Y2" s="4">
        <v>701</v>
      </c>
      <c r="Z2" s="4">
        <v>200</v>
      </c>
      <c r="AA2" s="4">
        <v>172</v>
      </c>
      <c r="AB2" s="4">
        <v>63</v>
      </c>
      <c r="AC2" s="4">
        <v>335</v>
      </c>
      <c r="AD2" s="4">
        <v>82</v>
      </c>
      <c r="AE2" s="4">
        <v>355</v>
      </c>
      <c r="AF2" s="4">
        <v>60</v>
      </c>
      <c r="AG2" s="7">
        <v>2994</v>
      </c>
      <c r="AH2" s="10">
        <v>13123</v>
      </c>
    </row>
    <row r="3" spans="1:34" x14ac:dyDescent="0.25">
      <c r="A3" s="172" t="s">
        <v>619</v>
      </c>
      <c r="B3" s="4">
        <v>370</v>
      </c>
      <c r="C3" s="4"/>
      <c r="D3" s="7">
        <v>1640</v>
      </c>
      <c r="E3" s="4">
        <v>130</v>
      </c>
      <c r="F3" s="4">
        <v>552</v>
      </c>
      <c r="G3" s="4">
        <v>683</v>
      </c>
      <c r="H3" s="7">
        <v>6796</v>
      </c>
      <c r="I3" s="7">
        <v>1501</v>
      </c>
      <c r="J3" s="7">
        <v>5029</v>
      </c>
      <c r="K3" s="7">
        <v>1686</v>
      </c>
      <c r="L3" s="7">
        <v>1804</v>
      </c>
      <c r="M3" s="7">
        <v>3894</v>
      </c>
      <c r="N3" s="4">
        <v>579</v>
      </c>
      <c r="O3" s="7">
        <v>5522</v>
      </c>
      <c r="P3" s="7">
        <v>2490</v>
      </c>
      <c r="Q3" s="7">
        <v>4253</v>
      </c>
      <c r="R3" s="4">
        <v>818</v>
      </c>
      <c r="S3" s="7">
        <v>2648</v>
      </c>
      <c r="T3" s="4">
        <v>654</v>
      </c>
      <c r="U3" s="7">
        <v>4226</v>
      </c>
      <c r="V3" s="7">
        <v>2261</v>
      </c>
      <c r="W3" s="167">
        <v>353</v>
      </c>
      <c r="X3" s="4">
        <v>253</v>
      </c>
      <c r="Y3" s="4">
        <v>261</v>
      </c>
      <c r="Z3" s="7">
        <v>13736</v>
      </c>
      <c r="AA3" s="7">
        <v>8168</v>
      </c>
      <c r="AB3" s="4">
        <v>533</v>
      </c>
      <c r="AC3" s="4">
        <v>434</v>
      </c>
      <c r="AD3" s="4">
        <v>355</v>
      </c>
      <c r="AE3" s="7">
        <v>4668</v>
      </c>
      <c r="AF3" s="4">
        <v>182</v>
      </c>
      <c r="AG3" s="4">
        <v>685</v>
      </c>
      <c r="AH3" s="10">
        <v>46665</v>
      </c>
    </row>
    <row r="4" spans="1:34" x14ac:dyDescent="0.25">
      <c r="A4" s="172" t="s">
        <v>620</v>
      </c>
      <c r="B4" s="4">
        <v>103</v>
      </c>
      <c r="C4" s="7">
        <v>3744</v>
      </c>
      <c r="D4" s="4"/>
      <c r="E4" s="4">
        <v>58</v>
      </c>
      <c r="F4" s="4">
        <v>368</v>
      </c>
      <c r="G4" s="4">
        <v>183</v>
      </c>
      <c r="H4" s="7">
        <v>1640</v>
      </c>
      <c r="I4" s="4">
        <v>589</v>
      </c>
      <c r="J4" s="7">
        <v>3187</v>
      </c>
      <c r="K4" s="4">
        <v>723</v>
      </c>
      <c r="L4" s="4">
        <v>536</v>
      </c>
      <c r="M4" s="7">
        <v>5528</v>
      </c>
      <c r="N4" s="4">
        <v>251</v>
      </c>
      <c r="O4" s="7">
        <v>2261</v>
      </c>
      <c r="P4" s="7">
        <v>2192</v>
      </c>
      <c r="Q4" s="4">
        <v>721</v>
      </c>
      <c r="R4" s="4">
        <v>305</v>
      </c>
      <c r="S4" s="4">
        <v>443</v>
      </c>
      <c r="T4" s="4">
        <v>282</v>
      </c>
      <c r="U4" s="7">
        <v>1875</v>
      </c>
      <c r="V4" s="7">
        <v>1683</v>
      </c>
      <c r="W4" s="167">
        <v>163</v>
      </c>
      <c r="X4" s="4">
        <v>542</v>
      </c>
      <c r="Y4" s="4">
        <v>137</v>
      </c>
      <c r="Z4" s="7">
        <v>6455</v>
      </c>
      <c r="AA4" s="7">
        <v>1694</v>
      </c>
      <c r="AB4" s="4">
        <v>137</v>
      </c>
      <c r="AC4" s="4">
        <v>201</v>
      </c>
      <c r="AD4" s="4">
        <v>172</v>
      </c>
      <c r="AE4" s="7">
        <v>2782</v>
      </c>
      <c r="AF4" s="4">
        <v>63</v>
      </c>
      <c r="AG4" s="4">
        <v>93</v>
      </c>
      <c r="AH4" s="10">
        <v>4942</v>
      </c>
    </row>
    <row r="5" spans="1:34" x14ac:dyDescent="0.25">
      <c r="A5" s="172" t="s">
        <v>621</v>
      </c>
      <c r="B5" s="4">
        <v>31</v>
      </c>
      <c r="C5" s="4">
        <v>165</v>
      </c>
      <c r="D5" s="4">
        <v>36</v>
      </c>
      <c r="E5" s="4"/>
      <c r="F5" s="4">
        <v>131</v>
      </c>
      <c r="G5" s="4">
        <v>54</v>
      </c>
      <c r="H5" s="7">
        <v>1482</v>
      </c>
      <c r="I5" s="4">
        <v>237</v>
      </c>
      <c r="J5" s="7">
        <v>1151</v>
      </c>
      <c r="K5" s="4">
        <v>60</v>
      </c>
      <c r="L5" s="4">
        <v>113</v>
      </c>
      <c r="M5" s="4">
        <v>148</v>
      </c>
      <c r="N5" s="4">
        <v>86</v>
      </c>
      <c r="O5" s="4">
        <v>175</v>
      </c>
      <c r="P5" s="4">
        <v>448</v>
      </c>
      <c r="Q5" s="4">
        <v>206</v>
      </c>
      <c r="R5" s="4">
        <v>65</v>
      </c>
      <c r="S5" s="4">
        <v>23</v>
      </c>
      <c r="T5" s="4">
        <v>196</v>
      </c>
      <c r="U5" s="4">
        <v>367</v>
      </c>
      <c r="V5" s="4">
        <v>326</v>
      </c>
      <c r="W5" s="167">
        <v>79</v>
      </c>
      <c r="X5" s="7">
        <v>2146</v>
      </c>
      <c r="Y5" s="4">
        <v>60</v>
      </c>
      <c r="Z5" s="4">
        <v>122</v>
      </c>
      <c r="AA5" s="4">
        <v>120</v>
      </c>
      <c r="AB5" s="7">
        <v>4177</v>
      </c>
      <c r="AC5" s="4">
        <v>691</v>
      </c>
      <c r="AD5" s="4">
        <v>37</v>
      </c>
      <c r="AE5" s="7">
        <v>2731</v>
      </c>
      <c r="AF5" s="7">
        <v>1562</v>
      </c>
      <c r="AG5" s="4">
        <v>38</v>
      </c>
      <c r="AH5" s="10">
        <v>5641</v>
      </c>
    </row>
    <row r="6" spans="1:34" x14ac:dyDescent="0.25">
      <c r="A6" s="172" t="s">
        <v>652</v>
      </c>
      <c r="B6" s="4">
        <v>302</v>
      </c>
      <c r="C6" s="4">
        <v>488</v>
      </c>
      <c r="D6" s="4">
        <v>90</v>
      </c>
      <c r="E6" s="4">
        <v>65</v>
      </c>
      <c r="F6" s="4"/>
      <c r="G6" s="4">
        <v>91</v>
      </c>
      <c r="H6" s="4">
        <v>561</v>
      </c>
      <c r="I6" s="7">
        <v>5158</v>
      </c>
      <c r="J6" s="7">
        <v>1965</v>
      </c>
      <c r="K6" s="7">
        <v>4509</v>
      </c>
      <c r="L6" s="4">
        <v>907</v>
      </c>
      <c r="M6" s="4">
        <v>289</v>
      </c>
      <c r="N6" s="4">
        <v>328</v>
      </c>
      <c r="O6" s="4">
        <v>935</v>
      </c>
      <c r="P6" s="7">
        <v>1155</v>
      </c>
      <c r="Q6" s="4">
        <v>426</v>
      </c>
      <c r="R6" s="4">
        <v>262</v>
      </c>
      <c r="S6" s="4">
        <v>105</v>
      </c>
      <c r="T6" s="7">
        <v>5688</v>
      </c>
      <c r="U6" s="4">
        <v>511</v>
      </c>
      <c r="V6" s="4">
        <v>504</v>
      </c>
      <c r="W6" s="167">
        <v>312</v>
      </c>
      <c r="X6" s="4">
        <v>150</v>
      </c>
      <c r="Y6" s="4">
        <v>832</v>
      </c>
      <c r="Z6" s="4">
        <v>369</v>
      </c>
      <c r="AA6" s="4">
        <v>434</v>
      </c>
      <c r="AB6" s="4">
        <v>279</v>
      </c>
      <c r="AC6" s="7">
        <v>2297</v>
      </c>
      <c r="AD6" s="4">
        <v>95</v>
      </c>
      <c r="AE6" s="7">
        <v>1352</v>
      </c>
      <c r="AF6" s="4">
        <v>63</v>
      </c>
      <c r="AG6" s="7">
        <v>1226</v>
      </c>
      <c r="AH6" s="10">
        <v>16686</v>
      </c>
    </row>
    <row r="7" spans="1:34" x14ac:dyDescent="0.25">
      <c r="A7" s="172" t="s">
        <v>623</v>
      </c>
      <c r="B7" s="4">
        <v>167</v>
      </c>
      <c r="C7" s="7">
        <v>1232</v>
      </c>
      <c r="D7" s="4">
        <v>106</v>
      </c>
      <c r="E7" s="4">
        <v>66</v>
      </c>
      <c r="F7" s="4">
        <v>160</v>
      </c>
      <c r="G7" s="4"/>
      <c r="H7" s="4">
        <v>483</v>
      </c>
      <c r="I7" s="4">
        <v>229</v>
      </c>
      <c r="J7" s="7">
        <v>1485</v>
      </c>
      <c r="K7" s="4">
        <v>111</v>
      </c>
      <c r="L7" s="4">
        <v>513</v>
      </c>
      <c r="M7" s="7">
        <v>1189</v>
      </c>
      <c r="N7" s="4">
        <v>170</v>
      </c>
      <c r="O7" s="7">
        <v>7797</v>
      </c>
      <c r="P7" s="4">
        <v>676</v>
      </c>
      <c r="Q7" s="7">
        <v>3006</v>
      </c>
      <c r="R7" s="4">
        <v>136</v>
      </c>
      <c r="S7" s="4">
        <v>321</v>
      </c>
      <c r="T7" s="4">
        <v>210</v>
      </c>
      <c r="U7" s="4">
        <v>355</v>
      </c>
      <c r="V7" s="4">
        <v>185</v>
      </c>
      <c r="W7" s="167">
        <v>115</v>
      </c>
      <c r="X7" s="4">
        <v>110</v>
      </c>
      <c r="Y7" s="4">
        <v>141</v>
      </c>
      <c r="Z7" s="4">
        <v>361</v>
      </c>
      <c r="AA7" s="4">
        <v>247</v>
      </c>
      <c r="AB7" s="4">
        <v>193</v>
      </c>
      <c r="AC7" s="4">
        <v>285</v>
      </c>
      <c r="AD7" s="4">
        <v>29</v>
      </c>
      <c r="AE7" s="4">
        <v>626</v>
      </c>
      <c r="AF7" s="4">
        <v>51</v>
      </c>
      <c r="AG7" s="4">
        <v>121</v>
      </c>
      <c r="AH7" s="10">
        <v>9601</v>
      </c>
    </row>
    <row r="8" spans="1:34" x14ac:dyDescent="0.25">
      <c r="A8" s="172" t="s">
        <v>624</v>
      </c>
      <c r="B8" s="4">
        <v>75</v>
      </c>
      <c r="C8" s="7">
        <v>2836</v>
      </c>
      <c r="D8" s="4">
        <v>198</v>
      </c>
      <c r="E8" s="4">
        <v>505</v>
      </c>
      <c r="F8" s="4">
        <v>333</v>
      </c>
      <c r="G8" s="4">
        <v>112</v>
      </c>
      <c r="H8" s="4"/>
      <c r="I8" s="7">
        <v>1123</v>
      </c>
      <c r="J8" s="7">
        <v>3924</v>
      </c>
      <c r="K8" s="4">
        <v>74</v>
      </c>
      <c r="L8" s="4">
        <v>204</v>
      </c>
      <c r="M8" s="4">
        <v>427</v>
      </c>
      <c r="N8" s="4">
        <v>178</v>
      </c>
      <c r="O8" s="4">
        <v>992</v>
      </c>
      <c r="P8" s="7">
        <v>2050</v>
      </c>
      <c r="Q8" s="4">
        <v>420</v>
      </c>
      <c r="R8" s="4">
        <v>257</v>
      </c>
      <c r="S8" s="4">
        <v>209</v>
      </c>
      <c r="T8" s="4">
        <v>515</v>
      </c>
      <c r="U8" s="7">
        <v>2093</v>
      </c>
      <c r="V8" s="7">
        <v>1173</v>
      </c>
      <c r="W8" s="167">
        <v>181</v>
      </c>
      <c r="X8" s="7">
        <v>1784</v>
      </c>
      <c r="Y8" s="4">
        <v>86</v>
      </c>
      <c r="Z8" s="4">
        <v>448</v>
      </c>
      <c r="AA8" s="4">
        <v>508</v>
      </c>
      <c r="AB8" s="7">
        <v>2657</v>
      </c>
      <c r="AC8" s="4">
        <v>661</v>
      </c>
      <c r="AD8" s="4">
        <v>109</v>
      </c>
      <c r="AE8" s="7">
        <v>2295</v>
      </c>
      <c r="AF8" s="4">
        <v>356</v>
      </c>
      <c r="AG8" s="4">
        <v>47</v>
      </c>
      <c r="AH8" s="10">
        <v>23063</v>
      </c>
    </row>
    <row r="9" spans="1:34" x14ac:dyDescent="0.25">
      <c r="A9" s="172" t="s">
        <v>625</v>
      </c>
      <c r="B9" s="4">
        <v>236</v>
      </c>
      <c r="C9" s="4">
        <v>947</v>
      </c>
      <c r="D9" s="4">
        <v>100</v>
      </c>
      <c r="E9" s="4">
        <v>148</v>
      </c>
      <c r="F9" s="7">
        <v>3340</v>
      </c>
      <c r="G9" s="4">
        <v>104</v>
      </c>
      <c r="H9" s="7">
        <v>1074</v>
      </c>
      <c r="I9" s="4"/>
      <c r="J9" s="7">
        <v>1986</v>
      </c>
      <c r="K9" s="7">
        <v>5222</v>
      </c>
      <c r="L9" s="4">
        <v>488</v>
      </c>
      <c r="M9" s="4">
        <v>991</v>
      </c>
      <c r="N9" s="4">
        <v>243</v>
      </c>
      <c r="O9" s="4">
        <v>927</v>
      </c>
      <c r="P9" s="4">
        <v>854</v>
      </c>
      <c r="Q9" s="4">
        <v>384</v>
      </c>
      <c r="R9" s="4">
        <v>136</v>
      </c>
      <c r="S9" s="4">
        <v>187</v>
      </c>
      <c r="T9" s="4">
        <v>895</v>
      </c>
      <c r="U9" s="7">
        <v>1350</v>
      </c>
      <c r="V9" s="4">
        <v>602</v>
      </c>
      <c r="W9" s="167">
        <v>227</v>
      </c>
      <c r="X9" s="4">
        <v>119</v>
      </c>
      <c r="Y9" s="4">
        <v>264</v>
      </c>
      <c r="Z9" s="7">
        <v>1594</v>
      </c>
      <c r="AA9" s="7">
        <v>1619</v>
      </c>
      <c r="AB9" s="4">
        <v>309</v>
      </c>
      <c r="AC9" s="4">
        <v>531</v>
      </c>
      <c r="AD9" s="4">
        <v>100</v>
      </c>
      <c r="AE9" s="7">
        <v>3689</v>
      </c>
      <c r="AF9" s="4">
        <v>71</v>
      </c>
      <c r="AG9" s="7">
        <v>1097</v>
      </c>
      <c r="AH9" s="10">
        <v>38938</v>
      </c>
    </row>
    <row r="10" spans="1:34" x14ac:dyDescent="0.25">
      <c r="A10" s="172" t="s">
        <v>626</v>
      </c>
      <c r="B10" s="4">
        <v>880</v>
      </c>
      <c r="C10" s="7">
        <v>1915</v>
      </c>
      <c r="D10" s="4">
        <v>324</v>
      </c>
      <c r="E10" s="4">
        <v>459</v>
      </c>
      <c r="F10" s="4">
        <v>781</v>
      </c>
      <c r="G10" s="4">
        <v>490</v>
      </c>
      <c r="H10" s="7">
        <v>2659</v>
      </c>
      <c r="I10" s="7">
        <v>1282</v>
      </c>
      <c r="J10" s="4"/>
      <c r="K10" s="4">
        <v>437</v>
      </c>
      <c r="L10" s="7">
        <v>2606</v>
      </c>
      <c r="M10" s="7">
        <v>4366</v>
      </c>
      <c r="N10" s="7">
        <v>4195</v>
      </c>
      <c r="O10" s="7">
        <v>3624</v>
      </c>
      <c r="P10" s="7">
        <v>42200</v>
      </c>
      <c r="Q10" s="7">
        <v>3438</v>
      </c>
      <c r="R10" s="7">
        <v>3649</v>
      </c>
      <c r="S10" s="4">
        <v>326</v>
      </c>
      <c r="T10" s="7">
        <v>2114</v>
      </c>
      <c r="U10" s="7">
        <v>6075</v>
      </c>
      <c r="V10" s="7">
        <v>8401</v>
      </c>
      <c r="W10" s="168">
        <v>2061</v>
      </c>
      <c r="X10" s="7">
        <v>1669</v>
      </c>
      <c r="Y10" s="7">
        <v>1044</v>
      </c>
      <c r="Z10" s="7">
        <v>1235</v>
      </c>
      <c r="AA10" s="4">
        <v>846</v>
      </c>
      <c r="AB10" s="7">
        <v>1143</v>
      </c>
      <c r="AC10" s="7">
        <v>1346</v>
      </c>
      <c r="AD10" s="7">
        <v>1316</v>
      </c>
      <c r="AE10" s="7">
        <v>8545</v>
      </c>
      <c r="AF10" s="4">
        <v>876</v>
      </c>
      <c r="AG10" s="4">
        <v>425</v>
      </c>
      <c r="AH10" s="10">
        <v>53349</v>
      </c>
    </row>
    <row r="11" spans="1:34" x14ac:dyDescent="0.25">
      <c r="A11" s="172" t="s">
        <v>627</v>
      </c>
      <c r="B11" s="4">
        <v>169</v>
      </c>
      <c r="C11" s="7">
        <v>1255</v>
      </c>
      <c r="D11" s="4">
        <v>160</v>
      </c>
      <c r="E11" s="4">
        <v>35</v>
      </c>
      <c r="F11" s="7">
        <v>4953</v>
      </c>
      <c r="G11" s="4">
        <v>56</v>
      </c>
      <c r="H11" s="4">
        <v>101</v>
      </c>
      <c r="I11" s="7">
        <v>6101</v>
      </c>
      <c r="J11" s="4">
        <v>734</v>
      </c>
      <c r="K11" s="4"/>
      <c r="L11" s="4">
        <v>263</v>
      </c>
      <c r="M11" s="4">
        <v>164</v>
      </c>
      <c r="N11" s="4">
        <v>93</v>
      </c>
      <c r="O11" s="4">
        <v>609</v>
      </c>
      <c r="P11" s="4">
        <v>459</v>
      </c>
      <c r="Q11" s="4">
        <v>190</v>
      </c>
      <c r="R11" s="4">
        <v>79</v>
      </c>
      <c r="S11" s="4">
        <v>184</v>
      </c>
      <c r="T11" s="4">
        <v>686</v>
      </c>
      <c r="U11" s="4">
        <v>95</v>
      </c>
      <c r="V11" s="4">
        <v>173</v>
      </c>
      <c r="W11" s="167">
        <v>120</v>
      </c>
      <c r="X11" s="4">
        <v>77</v>
      </c>
      <c r="Y11" s="4">
        <v>156</v>
      </c>
      <c r="Z11" s="7">
        <v>1063</v>
      </c>
      <c r="AA11" s="4">
        <v>362</v>
      </c>
      <c r="AB11" s="4">
        <v>39</v>
      </c>
      <c r="AC11" s="4">
        <v>400</v>
      </c>
      <c r="AD11" s="4">
        <v>31</v>
      </c>
      <c r="AE11" s="4">
        <v>314</v>
      </c>
      <c r="AF11" s="4">
        <v>26</v>
      </c>
      <c r="AG11" s="4">
        <v>901</v>
      </c>
      <c r="AH11" s="10">
        <v>18597</v>
      </c>
    </row>
    <row r="12" spans="1:34" x14ac:dyDescent="0.25">
      <c r="A12" s="172" t="s">
        <v>628</v>
      </c>
      <c r="B12" s="7">
        <v>1001</v>
      </c>
      <c r="C12" s="7">
        <v>1568</v>
      </c>
      <c r="D12" s="4">
        <v>136</v>
      </c>
      <c r="E12" s="4">
        <v>69</v>
      </c>
      <c r="F12" s="4">
        <v>801</v>
      </c>
      <c r="G12" s="4">
        <v>282</v>
      </c>
      <c r="H12" s="4">
        <v>481</v>
      </c>
      <c r="I12" s="4">
        <v>864</v>
      </c>
      <c r="J12" s="7">
        <v>10130</v>
      </c>
      <c r="K12" s="4">
        <v>327</v>
      </c>
      <c r="L12" s="4"/>
      <c r="M12" s="4">
        <v>747</v>
      </c>
      <c r="N12" s="4">
        <v>895</v>
      </c>
      <c r="O12" s="7">
        <v>4242</v>
      </c>
      <c r="P12" s="7">
        <v>6002</v>
      </c>
      <c r="Q12" s="7">
        <v>4425</v>
      </c>
      <c r="R12" s="4">
        <v>521</v>
      </c>
      <c r="S12" s="4">
        <v>255</v>
      </c>
      <c r="T12" s="7">
        <v>1073</v>
      </c>
      <c r="U12" s="4">
        <v>607</v>
      </c>
      <c r="V12" s="7">
        <v>1088</v>
      </c>
      <c r="W12" s="168">
        <v>4060</v>
      </c>
      <c r="X12" s="4">
        <v>322</v>
      </c>
      <c r="Y12" s="7">
        <v>1368</v>
      </c>
      <c r="Z12" s="4">
        <v>588</v>
      </c>
      <c r="AA12" s="4">
        <v>410</v>
      </c>
      <c r="AB12" s="4">
        <v>228</v>
      </c>
      <c r="AC12" s="7">
        <v>1125</v>
      </c>
      <c r="AD12" s="4">
        <v>277</v>
      </c>
      <c r="AE12" s="7">
        <v>1277</v>
      </c>
      <c r="AF12" s="4">
        <v>161</v>
      </c>
      <c r="AG12" s="4">
        <v>570</v>
      </c>
      <c r="AH12" s="10">
        <v>73781</v>
      </c>
    </row>
    <row r="13" spans="1:34" x14ac:dyDescent="0.25">
      <c r="A13" s="172" t="s">
        <v>629</v>
      </c>
      <c r="B13" s="4">
        <v>69</v>
      </c>
      <c r="C13" s="7">
        <v>1918</v>
      </c>
      <c r="D13" s="4">
        <v>574</v>
      </c>
      <c r="E13" s="4">
        <v>63</v>
      </c>
      <c r="F13" s="4">
        <v>194</v>
      </c>
      <c r="G13" s="4">
        <v>327</v>
      </c>
      <c r="H13" s="4">
        <v>434</v>
      </c>
      <c r="I13" s="4">
        <v>450</v>
      </c>
      <c r="J13" s="7">
        <v>5510</v>
      </c>
      <c r="K13" s="4">
        <v>128</v>
      </c>
      <c r="L13" s="4">
        <v>348</v>
      </c>
      <c r="M13" s="4"/>
      <c r="N13" s="4">
        <v>278</v>
      </c>
      <c r="O13" s="7">
        <v>1187</v>
      </c>
      <c r="P13" s="7">
        <v>3930</v>
      </c>
      <c r="Q13" s="7">
        <v>2325</v>
      </c>
      <c r="R13" s="7">
        <v>2906</v>
      </c>
      <c r="S13" s="4">
        <v>151</v>
      </c>
      <c r="T13" s="4">
        <v>250</v>
      </c>
      <c r="U13" s="7">
        <v>1301</v>
      </c>
      <c r="V13" s="7">
        <v>1100</v>
      </c>
      <c r="W13" s="167">
        <v>188</v>
      </c>
      <c r="X13" s="4">
        <v>483</v>
      </c>
      <c r="Y13" s="4">
        <v>129</v>
      </c>
      <c r="Z13" s="4">
        <v>946</v>
      </c>
      <c r="AA13" s="4">
        <v>494</v>
      </c>
      <c r="AB13" s="4">
        <v>150</v>
      </c>
      <c r="AC13" s="4">
        <v>353</v>
      </c>
      <c r="AD13" s="4">
        <v>118</v>
      </c>
      <c r="AE13" s="4">
        <v>840</v>
      </c>
      <c r="AF13" s="4">
        <v>86</v>
      </c>
      <c r="AG13" s="4">
        <v>79</v>
      </c>
      <c r="AH13" s="10">
        <v>36640</v>
      </c>
    </row>
    <row r="14" spans="1:34" x14ac:dyDescent="0.25">
      <c r="A14" s="172" t="s">
        <v>630</v>
      </c>
      <c r="B14" s="4">
        <v>193</v>
      </c>
      <c r="C14" s="4">
        <v>816</v>
      </c>
      <c r="D14" s="4">
        <v>89</v>
      </c>
      <c r="E14" s="4">
        <v>89</v>
      </c>
      <c r="F14" s="4">
        <v>325</v>
      </c>
      <c r="G14" s="4">
        <v>82</v>
      </c>
      <c r="H14" s="4">
        <v>362</v>
      </c>
      <c r="I14" s="4">
        <v>500</v>
      </c>
      <c r="J14" s="7">
        <v>18509</v>
      </c>
      <c r="K14" s="4">
        <v>162</v>
      </c>
      <c r="L14" s="4">
        <v>739</v>
      </c>
      <c r="M14" s="4">
        <v>636</v>
      </c>
      <c r="N14" s="4"/>
      <c r="O14" s="4">
        <v>935</v>
      </c>
      <c r="P14" s="7">
        <v>24034</v>
      </c>
      <c r="Q14" s="4">
        <v>637</v>
      </c>
      <c r="R14" s="4">
        <v>518</v>
      </c>
      <c r="S14" s="4">
        <v>86</v>
      </c>
      <c r="T14" s="4">
        <v>992</v>
      </c>
      <c r="U14" s="4">
        <v>466</v>
      </c>
      <c r="V14" s="7">
        <v>2492</v>
      </c>
      <c r="W14" s="168">
        <v>1244</v>
      </c>
      <c r="X14" s="4">
        <v>248</v>
      </c>
      <c r="Y14" s="4">
        <v>636</v>
      </c>
      <c r="Z14" s="4">
        <v>263</v>
      </c>
      <c r="AA14" s="4">
        <v>200</v>
      </c>
      <c r="AB14" s="4">
        <v>237</v>
      </c>
      <c r="AC14" s="4">
        <v>907</v>
      </c>
      <c r="AD14" s="4">
        <v>637</v>
      </c>
      <c r="AE14" s="7">
        <v>2361</v>
      </c>
      <c r="AF14" s="4">
        <v>92</v>
      </c>
      <c r="AG14" s="4">
        <v>146</v>
      </c>
      <c r="AH14" s="10">
        <v>34701</v>
      </c>
    </row>
    <row r="15" spans="1:34" x14ac:dyDescent="0.25">
      <c r="A15" s="172" t="s">
        <v>631</v>
      </c>
      <c r="B15" s="7">
        <v>2269</v>
      </c>
      <c r="C15" s="7">
        <v>5857</v>
      </c>
      <c r="D15" s="4">
        <v>875</v>
      </c>
      <c r="E15" s="4">
        <v>176</v>
      </c>
      <c r="F15" s="4">
        <v>986</v>
      </c>
      <c r="G15" s="7">
        <v>3250</v>
      </c>
      <c r="H15" s="7">
        <v>2266</v>
      </c>
      <c r="I15" s="7">
        <v>1738</v>
      </c>
      <c r="J15" s="7">
        <v>10293</v>
      </c>
      <c r="K15" s="4">
        <v>915</v>
      </c>
      <c r="L15" s="7">
        <v>4286</v>
      </c>
      <c r="M15" s="7">
        <v>3183</v>
      </c>
      <c r="N15" s="7">
        <v>1700</v>
      </c>
      <c r="O15" s="4"/>
      <c r="P15" s="7">
        <v>5108</v>
      </c>
      <c r="Q15" s="7">
        <v>8759</v>
      </c>
      <c r="R15" s="4">
        <v>727</v>
      </c>
      <c r="S15" s="7">
        <v>6158</v>
      </c>
      <c r="T15" s="7">
        <v>1911</v>
      </c>
      <c r="U15" s="7">
        <v>1797</v>
      </c>
      <c r="V15" s="7">
        <v>1957</v>
      </c>
      <c r="W15" s="168">
        <v>1226</v>
      </c>
      <c r="X15" s="4">
        <v>857</v>
      </c>
      <c r="Y15" s="7">
        <v>1572</v>
      </c>
      <c r="Z15" s="7">
        <v>4179</v>
      </c>
      <c r="AA15" s="7">
        <v>1902</v>
      </c>
      <c r="AB15" s="4">
        <v>540</v>
      </c>
      <c r="AC15" s="7">
        <v>1148</v>
      </c>
      <c r="AD15" s="4">
        <v>347</v>
      </c>
      <c r="AE15" s="7">
        <v>3503</v>
      </c>
      <c r="AF15" s="4">
        <v>340</v>
      </c>
      <c r="AG15" s="7">
        <v>2939</v>
      </c>
      <c r="AH15" s="10">
        <v>86037</v>
      </c>
    </row>
    <row r="16" spans="1:34" x14ac:dyDescent="0.25">
      <c r="A16" s="172" t="s">
        <v>632</v>
      </c>
      <c r="B16" s="4">
        <v>909</v>
      </c>
      <c r="C16" s="7">
        <v>3322</v>
      </c>
      <c r="D16" s="4">
        <v>474</v>
      </c>
      <c r="E16" s="4">
        <v>375</v>
      </c>
      <c r="F16" s="7">
        <v>1077</v>
      </c>
      <c r="G16" s="4">
        <v>313</v>
      </c>
      <c r="H16" s="7">
        <v>3477</v>
      </c>
      <c r="I16" s="7">
        <v>1850</v>
      </c>
      <c r="J16" s="7">
        <v>187099</v>
      </c>
      <c r="K16" s="4">
        <v>592</v>
      </c>
      <c r="L16" s="7">
        <v>3775</v>
      </c>
      <c r="M16" s="7">
        <v>6056</v>
      </c>
      <c r="N16" s="7">
        <v>8904</v>
      </c>
      <c r="O16" s="7">
        <v>4375</v>
      </c>
      <c r="P16" s="4"/>
      <c r="Q16" s="7">
        <v>6517</v>
      </c>
      <c r="R16" s="7">
        <v>3943</v>
      </c>
      <c r="S16" s="4">
        <v>395</v>
      </c>
      <c r="T16" s="7">
        <v>2066</v>
      </c>
      <c r="U16" s="7">
        <v>8361</v>
      </c>
      <c r="V16" s="7">
        <v>12368</v>
      </c>
      <c r="W16" s="168">
        <v>3007</v>
      </c>
      <c r="X16" s="7">
        <v>1501</v>
      </c>
      <c r="Y16" s="7">
        <v>1530</v>
      </c>
      <c r="Z16" s="7">
        <v>1101</v>
      </c>
      <c r="AA16" s="7">
        <v>1016</v>
      </c>
      <c r="AB16" s="7">
        <v>1125</v>
      </c>
      <c r="AC16" s="7">
        <v>1718</v>
      </c>
      <c r="AD16" s="7">
        <v>2128</v>
      </c>
      <c r="AE16" s="7">
        <v>11966</v>
      </c>
      <c r="AF16" s="4">
        <v>622</v>
      </c>
      <c r="AG16" s="4">
        <v>624</v>
      </c>
      <c r="AH16" s="10">
        <v>77816</v>
      </c>
    </row>
    <row r="17" spans="1:34" x14ac:dyDescent="0.25">
      <c r="A17" s="172" t="s">
        <v>651</v>
      </c>
      <c r="B17" s="4">
        <v>224</v>
      </c>
      <c r="C17" s="7">
        <v>2816</v>
      </c>
      <c r="D17" s="4">
        <v>203</v>
      </c>
      <c r="E17" s="4">
        <v>104</v>
      </c>
      <c r="F17" s="4">
        <v>299</v>
      </c>
      <c r="G17" s="4">
        <v>961</v>
      </c>
      <c r="H17" s="4">
        <v>690</v>
      </c>
      <c r="I17" s="4">
        <v>474</v>
      </c>
      <c r="J17" s="7">
        <v>7341</v>
      </c>
      <c r="K17" s="4">
        <v>138</v>
      </c>
      <c r="L17" s="7">
        <v>3387</v>
      </c>
      <c r="M17" s="7">
        <v>4326</v>
      </c>
      <c r="N17" s="4">
        <v>437</v>
      </c>
      <c r="O17" s="7">
        <v>5137</v>
      </c>
      <c r="P17" s="7">
        <v>5595</v>
      </c>
      <c r="Q17" s="4"/>
      <c r="R17" s="4">
        <v>502</v>
      </c>
      <c r="S17" s="4">
        <v>320</v>
      </c>
      <c r="T17" s="4">
        <v>523</v>
      </c>
      <c r="U17" s="4">
        <v>553</v>
      </c>
      <c r="V17" s="4">
        <v>663</v>
      </c>
      <c r="W17" s="167">
        <v>754</v>
      </c>
      <c r="X17" s="4">
        <v>200</v>
      </c>
      <c r="Y17" s="4">
        <v>333</v>
      </c>
      <c r="Z17" s="4">
        <v>503</v>
      </c>
      <c r="AA17" s="4">
        <v>523</v>
      </c>
      <c r="AB17" s="4">
        <v>220</v>
      </c>
      <c r="AC17" s="4">
        <v>523</v>
      </c>
      <c r="AD17" s="4">
        <v>113</v>
      </c>
      <c r="AE17" s="7">
        <v>1412</v>
      </c>
      <c r="AF17" s="4">
        <v>123</v>
      </c>
      <c r="AG17" s="4">
        <v>177</v>
      </c>
      <c r="AH17" s="10">
        <v>72639</v>
      </c>
    </row>
    <row r="18" spans="1:34" x14ac:dyDescent="0.25">
      <c r="A18" s="172" t="s">
        <v>634</v>
      </c>
      <c r="B18" s="4">
        <v>156</v>
      </c>
      <c r="C18" s="4">
        <v>835</v>
      </c>
      <c r="D18" s="4">
        <v>78</v>
      </c>
      <c r="E18" s="4">
        <v>49</v>
      </c>
      <c r="F18" s="4">
        <v>229</v>
      </c>
      <c r="G18" s="4">
        <v>72</v>
      </c>
      <c r="H18" s="4">
        <v>421</v>
      </c>
      <c r="I18" s="4">
        <v>309</v>
      </c>
      <c r="J18" s="7">
        <v>12857</v>
      </c>
      <c r="K18" s="4">
        <v>81</v>
      </c>
      <c r="L18" s="4">
        <v>451</v>
      </c>
      <c r="M18" s="7">
        <v>6929</v>
      </c>
      <c r="N18" s="4">
        <v>451</v>
      </c>
      <c r="O18" s="4">
        <v>565</v>
      </c>
      <c r="P18" s="7">
        <v>6841</v>
      </c>
      <c r="Q18" s="4">
        <v>723</v>
      </c>
      <c r="R18" s="4"/>
      <c r="S18" s="4">
        <v>84</v>
      </c>
      <c r="T18" s="4">
        <v>316</v>
      </c>
      <c r="U18" s="4">
        <v>910</v>
      </c>
      <c r="V18" s="7">
        <v>2327</v>
      </c>
      <c r="W18" s="167">
        <v>344</v>
      </c>
      <c r="X18" s="4">
        <v>351</v>
      </c>
      <c r="Y18" s="4">
        <v>146</v>
      </c>
      <c r="Z18" s="4">
        <v>180</v>
      </c>
      <c r="AA18" s="4">
        <v>197</v>
      </c>
      <c r="AB18" s="4">
        <v>165</v>
      </c>
      <c r="AC18" s="4">
        <v>255</v>
      </c>
      <c r="AD18" s="4">
        <v>214</v>
      </c>
      <c r="AE18" s="7">
        <v>1260</v>
      </c>
      <c r="AF18" s="4">
        <v>106</v>
      </c>
      <c r="AG18" s="4">
        <v>81</v>
      </c>
      <c r="AH18" s="10">
        <v>19982</v>
      </c>
    </row>
    <row r="19" spans="1:34" x14ac:dyDescent="0.25">
      <c r="A19" s="172" t="s">
        <v>635</v>
      </c>
      <c r="B19" s="4">
        <v>192</v>
      </c>
      <c r="C19" s="7">
        <v>4496</v>
      </c>
      <c r="D19" s="4">
        <v>309</v>
      </c>
      <c r="E19" s="4">
        <v>14</v>
      </c>
      <c r="F19" s="4">
        <v>273</v>
      </c>
      <c r="G19" s="4">
        <v>357</v>
      </c>
      <c r="H19" s="7">
        <v>1422</v>
      </c>
      <c r="I19" s="4">
        <v>362</v>
      </c>
      <c r="J19" s="7">
        <v>1580</v>
      </c>
      <c r="K19" s="4">
        <v>451</v>
      </c>
      <c r="L19" s="4">
        <v>677</v>
      </c>
      <c r="M19" s="7">
        <v>1104</v>
      </c>
      <c r="N19" s="4">
        <v>163</v>
      </c>
      <c r="O19" s="7">
        <v>12577</v>
      </c>
      <c r="P19" s="7">
        <v>1106</v>
      </c>
      <c r="Q19" s="7">
        <v>1283</v>
      </c>
      <c r="R19" s="4">
        <v>164</v>
      </c>
      <c r="S19" s="4"/>
      <c r="T19" s="4">
        <v>244</v>
      </c>
      <c r="U19" s="4">
        <v>443</v>
      </c>
      <c r="V19" s="4">
        <v>340</v>
      </c>
      <c r="W19" s="167">
        <v>227</v>
      </c>
      <c r="X19" s="4">
        <v>228</v>
      </c>
      <c r="Y19" s="4">
        <v>174</v>
      </c>
      <c r="Z19" s="7">
        <v>1952</v>
      </c>
      <c r="AA19" s="7">
        <v>1017</v>
      </c>
      <c r="AB19" s="4">
        <v>199</v>
      </c>
      <c r="AC19" s="4">
        <v>242</v>
      </c>
      <c r="AD19" s="4">
        <v>55</v>
      </c>
      <c r="AE19" s="4">
        <v>876</v>
      </c>
      <c r="AF19" s="4">
        <v>28</v>
      </c>
      <c r="AG19" s="4">
        <v>259</v>
      </c>
      <c r="AH19" s="10">
        <v>16681</v>
      </c>
    </row>
    <row r="20" spans="1:34" x14ac:dyDescent="0.25">
      <c r="A20" s="172" t="s">
        <v>636</v>
      </c>
      <c r="B20" s="4">
        <v>476</v>
      </c>
      <c r="C20" s="7">
        <v>1077</v>
      </c>
      <c r="D20" s="4">
        <v>175</v>
      </c>
      <c r="E20" s="4">
        <v>195</v>
      </c>
      <c r="F20" s="7">
        <v>7107</v>
      </c>
      <c r="G20" s="4">
        <v>147</v>
      </c>
      <c r="H20" s="7">
        <v>1335</v>
      </c>
      <c r="I20" s="7">
        <v>2139</v>
      </c>
      <c r="J20" s="7">
        <v>5835</v>
      </c>
      <c r="K20" s="7">
        <v>1559</v>
      </c>
      <c r="L20" s="7">
        <v>1211</v>
      </c>
      <c r="M20" s="4">
        <v>590</v>
      </c>
      <c r="N20" s="7">
        <v>2410</v>
      </c>
      <c r="O20" s="7">
        <v>2055</v>
      </c>
      <c r="P20" s="7">
        <v>2508</v>
      </c>
      <c r="Q20" s="4">
        <v>742</v>
      </c>
      <c r="R20" s="4">
        <v>539</v>
      </c>
      <c r="S20" s="4">
        <v>152</v>
      </c>
      <c r="T20" s="4"/>
      <c r="U20" s="7">
        <v>1162</v>
      </c>
      <c r="V20" s="7">
        <v>1266</v>
      </c>
      <c r="W20" s="167">
        <v>825</v>
      </c>
      <c r="X20" s="4">
        <v>464</v>
      </c>
      <c r="Y20" s="7">
        <v>9679</v>
      </c>
      <c r="Z20" s="4">
        <v>953</v>
      </c>
      <c r="AA20" s="4">
        <v>953</v>
      </c>
      <c r="AB20" s="4">
        <v>983</v>
      </c>
      <c r="AC20" s="7">
        <v>10081</v>
      </c>
      <c r="AD20" s="4">
        <v>200</v>
      </c>
      <c r="AE20" s="7">
        <v>8662</v>
      </c>
      <c r="AF20" s="4">
        <v>270</v>
      </c>
      <c r="AG20" s="7">
        <v>1479</v>
      </c>
      <c r="AH20" s="10">
        <v>46181</v>
      </c>
    </row>
    <row r="21" spans="1:34" x14ac:dyDescent="0.25">
      <c r="A21" s="172" t="s">
        <v>637</v>
      </c>
      <c r="B21" s="4">
        <v>82</v>
      </c>
      <c r="C21" s="7">
        <v>2490</v>
      </c>
      <c r="D21" s="4">
        <v>495</v>
      </c>
      <c r="E21" s="4">
        <v>209</v>
      </c>
      <c r="F21" s="4">
        <v>293</v>
      </c>
      <c r="G21" s="4">
        <v>132</v>
      </c>
      <c r="H21" s="7">
        <v>2761</v>
      </c>
      <c r="I21" s="7">
        <v>1408</v>
      </c>
      <c r="J21" s="7">
        <v>8579</v>
      </c>
      <c r="K21" s="4">
        <v>98</v>
      </c>
      <c r="L21" s="4">
        <v>327</v>
      </c>
      <c r="M21" s="7">
        <v>1578</v>
      </c>
      <c r="N21" s="4">
        <v>317</v>
      </c>
      <c r="O21" s="4">
        <v>913</v>
      </c>
      <c r="P21" s="7">
        <v>7294</v>
      </c>
      <c r="Q21" s="4">
        <v>567</v>
      </c>
      <c r="R21" s="4">
        <v>617</v>
      </c>
      <c r="S21" s="4">
        <v>104</v>
      </c>
      <c r="T21" s="4">
        <v>505</v>
      </c>
      <c r="U21" s="4"/>
      <c r="V21" s="7">
        <v>3367</v>
      </c>
      <c r="W21" s="167">
        <v>248</v>
      </c>
      <c r="X21" s="4">
        <v>452</v>
      </c>
      <c r="Y21" s="4">
        <v>149</v>
      </c>
      <c r="Z21" s="7">
        <v>1034</v>
      </c>
      <c r="AA21" s="4">
        <v>699</v>
      </c>
      <c r="AB21" s="4">
        <v>553</v>
      </c>
      <c r="AC21" s="4">
        <v>685</v>
      </c>
      <c r="AD21" s="4">
        <v>191</v>
      </c>
      <c r="AE21" s="7">
        <v>5800</v>
      </c>
      <c r="AF21" s="4">
        <v>190</v>
      </c>
      <c r="AG21" s="4">
        <v>79</v>
      </c>
      <c r="AH21" s="10">
        <v>37652</v>
      </c>
    </row>
    <row r="22" spans="1:34" x14ac:dyDescent="0.25">
      <c r="A22" s="172" t="s">
        <v>638</v>
      </c>
      <c r="B22" s="4">
        <v>238</v>
      </c>
      <c r="C22" s="7">
        <v>1713</v>
      </c>
      <c r="D22" s="4">
        <v>435</v>
      </c>
      <c r="E22" s="4">
        <v>255</v>
      </c>
      <c r="F22" s="4">
        <v>399</v>
      </c>
      <c r="G22" s="4">
        <v>91</v>
      </c>
      <c r="H22" s="7">
        <v>1636</v>
      </c>
      <c r="I22" s="4">
        <v>691</v>
      </c>
      <c r="J22" s="7">
        <v>15281</v>
      </c>
      <c r="K22" s="4">
        <v>160</v>
      </c>
      <c r="L22" s="4">
        <v>682</v>
      </c>
      <c r="M22" s="7">
        <v>1764</v>
      </c>
      <c r="N22" s="7">
        <v>1857</v>
      </c>
      <c r="O22" s="7">
        <v>1240</v>
      </c>
      <c r="P22" s="7">
        <v>11118</v>
      </c>
      <c r="Q22" s="4">
        <v>814</v>
      </c>
      <c r="R22" s="7">
        <v>1674</v>
      </c>
      <c r="S22" s="4">
        <v>134</v>
      </c>
      <c r="T22" s="4">
        <v>799</v>
      </c>
      <c r="U22" s="7">
        <v>4251</v>
      </c>
      <c r="V22" s="4"/>
      <c r="W22" s="167">
        <v>592</v>
      </c>
      <c r="X22" s="4">
        <v>670</v>
      </c>
      <c r="Y22" s="4">
        <v>294</v>
      </c>
      <c r="Z22" s="4">
        <v>359</v>
      </c>
      <c r="AA22" s="4">
        <v>497</v>
      </c>
      <c r="AB22" s="4">
        <v>904</v>
      </c>
      <c r="AC22" s="4">
        <v>838</v>
      </c>
      <c r="AD22" s="7">
        <v>3804</v>
      </c>
      <c r="AE22" s="7">
        <v>9470</v>
      </c>
      <c r="AF22" s="4">
        <v>307</v>
      </c>
      <c r="AG22" s="4">
        <v>112</v>
      </c>
      <c r="AH22" s="10">
        <v>44026</v>
      </c>
    </row>
    <row r="23" spans="1:34" x14ac:dyDescent="0.25">
      <c r="A23" s="173" t="s">
        <v>664</v>
      </c>
      <c r="B23" s="169">
        <v>405</v>
      </c>
      <c r="C23" s="169">
        <v>528</v>
      </c>
      <c r="D23" s="169">
        <v>93</v>
      </c>
      <c r="E23" s="169">
        <v>77</v>
      </c>
      <c r="F23" s="169">
        <v>407</v>
      </c>
      <c r="G23" s="169">
        <v>120</v>
      </c>
      <c r="H23" s="169">
        <v>391</v>
      </c>
      <c r="I23" s="169">
        <v>567</v>
      </c>
      <c r="J23" s="170">
        <v>14584</v>
      </c>
      <c r="K23" s="169">
        <v>207</v>
      </c>
      <c r="L23" s="170">
        <v>4567</v>
      </c>
      <c r="M23" s="169">
        <v>660</v>
      </c>
      <c r="N23" s="170">
        <v>2189</v>
      </c>
      <c r="O23" s="170">
        <v>1521</v>
      </c>
      <c r="P23" s="170">
        <v>9222</v>
      </c>
      <c r="Q23" s="170">
        <v>1948</v>
      </c>
      <c r="R23" s="169">
        <v>644</v>
      </c>
      <c r="S23" s="169">
        <v>120</v>
      </c>
      <c r="T23" s="169">
        <v>762</v>
      </c>
      <c r="U23" s="169">
        <v>481</v>
      </c>
      <c r="V23" s="170">
        <v>1035</v>
      </c>
      <c r="W23" s="169"/>
      <c r="X23" s="169">
        <v>320</v>
      </c>
      <c r="Y23" s="170">
        <v>1034</v>
      </c>
      <c r="Z23" s="169">
        <v>332</v>
      </c>
      <c r="AA23" s="169">
        <v>223</v>
      </c>
      <c r="AB23" s="169">
        <v>219</v>
      </c>
      <c r="AC23" s="169">
        <v>702</v>
      </c>
      <c r="AD23" s="169">
        <v>313</v>
      </c>
      <c r="AE23" s="170">
        <v>1534</v>
      </c>
      <c r="AF23" s="169">
        <v>174</v>
      </c>
      <c r="AG23" s="169">
        <v>219</v>
      </c>
      <c r="AH23" s="171">
        <v>18185</v>
      </c>
    </row>
    <row r="24" spans="1:34" x14ac:dyDescent="0.25">
      <c r="A24" s="172" t="s">
        <v>640</v>
      </c>
      <c r="B24" s="4">
        <v>186</v>
      </c>
      <c r="C24" s="4">
        <v>638</v>
      </c>
      <c r="D24" s="4">
        <v>207</v>
      </c>
      <c r="E24" s="7">
        <v>3943</v>
      </c>
      <c r="F24" s="4">
        <v>382</v>
      </c>
      <c r="G24" s="4">
        <v>131</v>
      </c>
      <c r="H24" s="7">
        <v>11619</v>
      </c>
      <c r="I24" s="4">
        <v>548</v>
      </c>
      <c r="J24" s="7">
        <v>9952</v>
      </c>
      <c r="K24" s="4">
        <v>239</v>
      </c>
      <c r="L24" s="4">
        <v>536</v>
      </c>
      <c r="M24" s="7">
        <v>1616</v>
      </c>
      <c r="N24" s="4">
        <v>427</v>
      </c>
      <c r="O24" s="7">
        <v>1542</v>
      </c>
      <c r="P24" s="7">
        <v>3323</v>
      </c>
      <c r="Q24" s="4">
        <v>536</v>
      </c>
      <c r="R24" s="4">
        <v>749</v>
      </c>
      <c r="S24" s="4">
        <v>109</v>
      </c>
      <c r="T24" s="4">
        <v>780</v>
      </c>
      <c r="U24" s="7">
        <v>1205</v>
      </c>
      <c r="V24" s="7">
        <v>1889</v>
      </c>
      <c r="W24" s="167">
        <v>376</v>
      </c>
      <c r="X24" s="4"/>
      <c r="Y24" s="4">
        <v>266</v>
      </c>
      <c r="Z24" s="4">
        <v>265</v>
      </c>
      <c r="AA24" s="4">
        <v>253</v>
      </c>
      <c r="AB24" s="7">
        <v>10500</v>
      </c>
      <c r="AC24" s="4">
        <v>567</v>
      </c>
      <c r="AD24" s="4">
        <v>311</v>
      </c>
      <c r="AE24" s="7">
        <v>8537</v>
      </c>
      <c r="AF24" s="7">
        <v>12050</v>
      </c>
      <c r="AG24" s="4">
        <v>80</v>
      </c>
      <c r="AH24" s="10">
        <v>16131</v>
      </c>
    </row>
    <row r="25" spans="1:34" x14ac:dyDescent="0.25">
      <c r="A25" s="172" t="s">
        <v>641</v>
      </c>
      <c r="B25" s="4">
        <v>654</v>
      </c>
      <c r="C25" s="4">
        <v>364</v>
      </c>
      <c r="D25" s="4">
        <v>70</v>
      </c>
      <c r="E25" s="4">
        <v>164</v>
      </c>
      <c r="F25" s="4">
        <v>869</v>
      </c>
      <c r="G25" s="4">
        <v>80</v>
      </c>
      <c r="H25" s="4">
        <v>163</v>
      </c>
      <c r="I25" s="4">
        <v>466</v>
      </c>
      <c r="J25" s="7">
        <v>3527</v>
      </c>
      <c r="K25" s="4">
        <v>280</v>
      </c>
      <c r="L25" s="7">
        <v>1629</v>
      </c>
      <c r="M25" s="4">
        <v>321</v>
      </c>
      <c r="N25" s="4">
        <v>698</v>
      </c>
      <c r="O25" s="7">
        <v>1437</v>
      </c>
      <c r="P25" s="7">
        <v>2280</v>
      </c>
      <c r="Q25" s="4">
        <v>481</v>
      </c>
      <c r="R25" s="4">
        <v>155</v>
      </c>
      <c r="S25" s="4">
        <v>110</v>
      </c>
      <c r="T25" s="7">
        <v>5246</v>
      </c>
      <c r="U25" s="4">
        <v>264</v>
      </c>
      <c r="V25" s="4">
        <v>480</v>
      </c>
      <c r="W25" s="167">
        <v>884</v>
      </c>
      <c r="X25" s="4">
        <v>116</v>
      </c>
      <c r="Y25" s="4"/>
      <c r="Z25" s="4">
        <v>323</v>
      </c>
      <c r="AA25" s="4">
        <v>253</v>
      </c>
      <c r="AB25" s="4">
        <v>164</v>
      </c>
      <c r="AC25" s="7">
        <v>4829</v>
      </c>
      <c r="AD25" s="4">
        <v>135</v>
      </c>
      <c r="AE25" s="7">
        <v>1239</v>
      </c>
      <c r="AF25" s="4">
        <v>57</v>
      </c>
      <c r="AG25" s="4">
        <v>995</v>
      </c>
      <c r="AH25" s="10">
        <v>27150</v>
      </c>
    </row>
    <row r="26" spans="1:34" x14ac:dyDescent="0.25">
      <c r="A26" s="172" t="s">
        <v>642</v>
      </c>
      <c r="B26" s="4">
        <v>124</v>
      </c>
      <c r="C26" s="7">
        <v>11537</v>
      </c>
      <c r="D26" s="7">
        <v>1247</v>
      </c>
      <c r="E26" s="4">
        <v>61</v>
      </c>
      <c r="F26" s="4">
        <v>469</v>
      </c>
      <c r="G26" s="4">
        <v>215</v>
      </c>
      <c r="H26" s="7">
        <v>1064</v>
      </c>
      <c r="I26" s="7">
        <v>2023</v>
      </c>
      <c r="J26" s="7">
        <v>1751</v>
      </c>
      <c r="K26" s="7">
        <v>2110</v>
      </c>
      <c r="L26" s="4">
        <v>511</v>
      </c>
      <c r="M26" s="7">
        <v>1632</v>
      </c>
      <c r="N26" s="4">
        <v>183</v>
      </c>
      <c r="O26" s="7">
        <v>2708</v>
      </c>
      <c r="P26" s="4">
        <v>708</v>
      </c>
      <c r="Q26" s="4">
        <v>555</v>
      </c>
      <c r="R26" s="4">
        <v>166</v>
      </c>
      <c r="S26" s="7">
        <v>1229</v>
      </c>
      <c r="T26" s="4">
        <v>593</v>
      </c>
      <c r="U26" s="4">
        <v>832</v>
      </c>
      <c r="V26" s="4">
        <v>368</v>
      </c>
      <c r="W26" s="167">
        <v>172</v>
      </c>
      <c r="X26" s="4">
        <v>152</v>
      </c>
      <c r="Y26" s="4">
        <v>239</v>
      </c>
      <c r="Z26" s="4"/>
      <c r="AA26" s="7">
        <v>5560</v>
      </c>
      <c r="AB26" s="4">
        <v>217</v>
      </c>
      <c r="AC26" s="4">
        <v>313</v>
      </c>
      <c r="AD26" s="4">
        <v>116</v>
      </c>
      <c r="AE26" s="7">
        <v>1333</v>
      </c>
      <c r="AF26" s="4">
        <v>76</v>
      </c>
      <c r="AG26" s="4">
        <v>186</v>
      </c>
      <c r="AH26" s="10">
        <v>21584</v>
      </c>
    </row>
    <row r="27" spans="1:34" x14ac:dyDescent="0.25">
      <c r="A27" s="172" t="s">
        <v>643</v>
      </c>
      <c r="B27" s="4">
        <v>165</v>
      </c>
      <c r="C27" s="7">
        <v>8786</v>
      </c>
      <c r="D27" s="4">
        <v>733</v>
      </c>
      <c r="E27" s="4">
        <v>62</v>
      </c>
      <c r="F27" s="4">
        <v>522</v>
      </c>
      <c r="G27" s="4">
        <v>240</v>
      </c>
      <c r="H27" s="7">
        <v>1602</v>
      </c>
      <c r="I27" s="7">
        <v>3236</v>
      </c>
      <c r="J27" s="7">
        <v>2094</v>
      </c>
      <c r="K27" s="4">
        <v>728</v>
      </c>
      <c r="L27" s="4">
        <v>619</v>
      </c>
      <c r="M27" s="7">
        <v>1359</v>
      </c>
      <c r="N27" s="4">
        <v>227</v>
      </c>
      <c r="O27" s="7">
        <v>2051</v>
      </c>
      <c r="P27" s="4">
        <v>862</v>
      </c>
      <c r="Q27" s="7">
        <v>1027</v>
      </c>
      <c r="R27" s="4">
        <v>287</v>
      </c>
      <c r="S27" s="4">
        <v>895</v>
      </c>
      <c r="T27" s="4">
        <v>714</v>
      </c>
      <c r="U27" s="7">
        <v>1203</v>
      </c>
      <c r="V27" s="7">
        <v>1080</v>
      </c>
      <c r="W27" s="167">
        <v>146</v>
      </c>
      <c r="X27" s="4">
        <v>154</v>
      </c>
      <c r="Y27" s="4">
        <v>206</v>
      </c>
      <c r="Z27" s="7">
        <v>10503</v>
      </c>
      <c r="AA27" s="4"/>
      <c r="AB27" s="4">
        <v>333</v>
      </c>
      <c r="AC27" s="4">
        <v>403</v>
      </c>
      <c r="AD27" s="4">
        <v>112</v>
      </c>
      <c r="AE27" s="7">
        <v>1826</v>
      </c>
      <c r="AF27" s="4">
        <v>98</v>
      </c>
      <c r="AG27" s="4">
        <v>328</v>
      </c>
      <c r="AH27" s="10">
        <v>30054</v>
      </c>
    </row>
    <row r="28" spans="1:34" x14ac:dyDescent="0.25">
      <c r="A28" s="172" t="s">
        <v>644</v>
      </c>
      <c r="B28" s="4">
        <v>20</v>
      </c>
      <c r="C28" s="4">
        <v>399</v>
      </c>
      <c r="D28" s="4">
        <v>38</v>
      </c>
      <c r="E28" s="7">
        <v>1898</v>
      </c>
      <c r="F28" s="4">
        <v>275</v>
      </c>
      <c r="G28" s="4">
        <v>59</v>
      </c>
      <c r="H28" s="7">
        <v>3838</v>
      </c>
      <c r="I28" s="4">
        <v>420</v>
      </c>
      <c r="J28" s="7">
        <v>1694</v>
      </c>
      <c r="K28" s="4">
        <v>31</v>
      </c>
      <c r="L28" s="4">
        <v>135</v>
      </c>
      <c r="M28" s="4">
        <v>160</v>
      </c>
      <c r="N28" s="4">
        <v>168</v>
      </c>
      <c r="O28" s="4">
        <v>362</v>
      </c>
      <c r="P28" s="4">
        <v>748</v>
      </c>
      <c r="Q28" s="4">
        <v>177</v>
      </c>
      <c r="R28" s="4">
        <v>109</v>
      </c>
      <c r="S28" s="4">
        <v>37</v>
      </c>
      <c r="T28" s="4">
        <v>477</v>
      </c>
      <c r="U28" s="4">
        <v>475</v>
      </c>
      <c r="V28" s="4">
        <v>786</v>
      </c>
      <c r="W28" s="167">
        <v>96</v>
      </c>
      <c r="X28" s="7">
        <v>2223</v>
      </c>
      <c r="Y28" s="4">
        <v>100</v>
      </c>
      <c r="Z28" s="4">
        <v>145</v>
      </c>
      <c r="AA28" s="4">
        <v>183</v>
      </c>
      <c r="AB28" s="4"/>
      <c r="AC28" s="4">
        <v>892</v>
      </c>
      <c r="AD28" s="4">
        <v>84</v>
      </c>
      <c r="AE28" s="7">
        <v>3586</v>
      </c>
      <c r="AF28" s="4">
        <v>581</v>
      </c>
      <c r="AG28" s="4">
        <v>35</v>
      </c>
      <c r="AH28" s="10">
        <v>8346</v>
      </c>
    </row>
    <row r="29" spans="1:34" x14ac:dyDescent="0.25">
      <c r="A29" s="172" t="s">
        <v>645</v>
      </c>
      <c r="B29" s="4">
        <v>209</v>
      </c>
      <c r="C29" s="4">
        <v>476</v>
      </c>
      <c r="D29" s="4">
        <v>65</v>
      </c>
      <c r="E29" s="4">
        <v>373</v>
      </c>
      <c r="F29" s="7">
        <v>2215</v>
      </c>
      <c r="G29" s="4">
        <v>129</v>
      </c>
      <c r="H29" s="7">
        <v>1369</v>
      </c>
      <c r="I29" s="4">
        <v>712</v>
      </c>
      <c r="J29" s="7">
        <v>3566</v>
      </c>
      <c r="K29" s="4">
        <v>559</v>
      </c>
      <c r="L29" s="7">
        <v>1087</v>
      </c>
      <c r="M29" s="4">
        <v>556</v>
      </c>
      <c r="N29" s="7">
        <v>1043</v>
      </c>
      <c r="O29" s="4">
        <v>975</v>
      </c>
      <c r="P29" s="7">
        <v>1572</v>
      </c>
      <c r="Q29" s="4">
        <v>648</v>
      </c>
      <c r="R29" s="4">
        <v>241</v>
      </c>
      <c r="S29" s="4">
        <v>87</v>
      </c>
      <c r="T29" s="7">
        <v>6195</v>
      </c>
      <c r="U29" s="4">
        <v>887</v>
      </c>
      <c r="V29" s="7">
        <v>1159</v>
      </c>
      <c r="W29" s="167">
        <v>434</v>
      </c>
      <c r="X29" s="4">
        <v>247</v>
      </c>
      <c r="Y29" s="7">
        <v>5174</v>
      </c>
      <c r="Z29" s="4">
        <v>284</v>
      </c>
      <c r="AA29" s="4">
        <v>322</v>
      </c>
      <c r="AB29" s="7">
        <v>1153</v>
      </c>
      <c r="AC29" s="4"/>
      <c r="AD29" s="4">
        <v>139</v>
      </c>
      <c r="AE29" s="7">
        <v>20449</v>
      </c>
      <c r="AF29" s="4">
        <v>119</v>
      </c>
      <c r="AG29" s="4">
        <v>325</v>
      </c>
      <c r="AH29" s="10">
        <v>39424</v>
      </c>
    </row>
    <row r="30" spans="1:34" x14ac:dyDescent="0.25">
      <c r="A30" s="172" t="s">
        <v>646</v>
      </c>
      <c r="B30" s="4">
        <v>72</v>
      </c>
      <c r="C30" s="4">
        <v>398</v>
      </c>
      <c r="D30" s="4">
        <v>60</v>
      </c>
      <c r="E30" s="4">
        <v>55</v>
      </c>
      <c r="F30" s="4">
        <v>84</v>
      </c>
      <c r="G30" s="4">
        <v>21</v>
      </c>
      <c r="H30" s="4">
        <v>213</v>
      </c>
      <c r="I30" s="4">
        <v>154</v>
      </c>
      <c r="J30" s="7">
        <v>3934</v>
      </c>
      <c r="K30" s="4">
        <v>41</v>
      </c>
      <c r="L30" s="4">
        <v>192</v>
      </c>
      <c r="M30" s="4">
        <v>229</v>
      </c>
      <c r="N30" s="4">
        <v>676</v>
      </c>
      <c r="O30" s="4">
        <v>259</v>
      </c>
      <c r="P30" s="7">
        <v>3196</v>
      </c>
      <c r="Q30" s="4">
        <v>174</v>
      </c>
      <c r="R30" s="4">
        <v>248</v>
      </c>
      <c r="S30" s="4">
        <v>20</v>
      </c>
      <c r="T30" s="4">
        <v>128</v>
      </c>
      <c r="U30" s="4">
        <v>288</v>
      </c>
      <c r="V30" s="7">
        <v>5643</v>
      </c>
      <c r="W30" s="167">
        <v>160</v>
      </c>
      <c r="X30" s="4">
        <v>153</v>
      </c>
      <c r="Y30" s="4">
        <v>76</v>
      </c>
      <c r="Z30" s="4">
        <v>83</v>
      </c>
      <c r="AA30" s="4">
        <v>112</v>
      </c>
      <c r="AB30" s="4">
        <v>121</v>
      </c>
      <c r="AC30" s="4">
        <v>169</v>
      </c>
      <c r="AD30" s="4"/>
      <c r="AE30" s="7">
        <v>1093</v>
      </c>
      <c r="AF30" s="4">
        <v>51</v>
      </c>
      <c r="AG30" s="4">
        <v>44</v>
      </c>
      <c r="AH30" s="10">
        <v>7204</v>
      </c>
    </row>
    <row r="31" spans="1:34" x14ac:dyDescent="0.25">
      <c r="A31" s="172" t="s">
        <v>650</v>
      </c>
      <c r="B31" s="4">
        <v>325</v>
      </c>
      <c r="C31" s="7">
        <v>4188</v>
      </c>
      <c r="D31" s="4">
        <v>613</v>
      </c>
      <c r="E31" s="7">
        <v>1648</v>
      </c>
      <c r="F31" s="7">
        <v>2158</v>
      </c>
      <c r="G31" s="4">
        <v>440</v>
      </c>
      <c r="H31" s="7">
        <v>2984</v>
      </c>
      <c r="I31" s="7">
        <v>7122</v>
      </c>
      <c r="J31" s="7">
        <v>16809</v>
      </c>
      <c r="K31" s="4">
        <v>416</v>
      </c>
      <c r="L31" s="7">
        <v>1104</v>
      </c>
      <c r="M31" s="7">
        <v>1102</v>
      </c>
      <c r="N31" s="7">
        <v>2141</v>
      </c>
      <c r="O31" s="7">
        <v>2144</v>
      </c>
      <c r="P31" s="7">
        <v>10996</v>
      </c>
      <c r="Q31" s="7">
        <v>1301</v>
      </c>
      <c r="R31" s="4">
        <v>998</v>
      </c>
      <c r="S31" s="4">
        <v>173</v>
      </c>
      <c r="T31" s="7">
        <v>3658</v>
      </c>
      <c r="U31" s="7">
        <v>6345</v>
      </c>
      <c r="V31" s="7">
        <v>9721</v>
      </c>
      <c r="W31" s="167">
        <v>815</v>
      </c>
      <c r="X31" s="7">
        <v>2942</v>
      </c>
      <c r="Y31" s="7">
        <v>1036</v>
      </c>
      <c r="Z31" s="7">
        <v>1480</v>
      </c>
      <c r="AA31" s="7">
        <v>1131</v>
      </c>
      <c r="AB31" s="7">
        <v>4275</v>
      </c>
      <c r="AC31" s="7">
        <v>14951</v>
      </c>
      <c r="AD31" s="4">
        <v>845</v>
      </c>
      <c r="AE31" s="4"/>
      <c r="AF31" s="4">
        <v>720</v>
      </c>
      <c r="AG31" s="4">
        <v>221</v>
      </c>
      <c r="AH31" s="10">
        <v>57758</v>
      </c>
    </row>
    <row r="32" spans="1:34" x14ac:dyDescent="0.25">
      <c r="A32" s="172" t="s">
        <v>647</v>
      </c>
      <c r="B32" s="4">
        <v>80</v>
      </c>
      <c r="C32" s="4">
        <v>230</v>
      </c>
      <c r="D32" s="4">
        <v>49</v>
      </c>
      <c r="E32" s="7">
        <v>3087</v>
      </c>
      <c r="F32" s="4">
        <v>121</v>
      </c>
      <c r="G32" s="4">
        <v>43</v>
      </c>
      <c r="H32" s="7">
        <v>1222</v>
      </c>
      <c r="I32" s="4">
        <v>158</v>
      </c>
      <c r="J32" s="7">
        <v>3250</v>
      </c>
      <c r="K32" s="4">
        <v>47</v>
      </c>
      <c r="L32" s="4">
        <v>235</v>
      </c>
      <c r="M32" s="4">
        <v>149</v>
      </c>
      <c r="N32" s="4">
        <v>151</v>
      </c>
      <c r="O32" s="4">
        <v>436</v>
      </c>
      <c r="P32" s="4">
        <v>959</v>
      </c>
      <c r="Q32" s="4">
        <v>213</v>
      </c>
      <c r="R32" s="4">
        <v>214</v>
      </c>
      <c r="S32" s="4">
        <v>18</v>
      </c>
      <c r="T32" s="4">
        <v>356</v>
      </c>
      <c r="U32" s="4">
        <v>389</v>
      </c>
      <c r="V32" s="4">
        <v>518</v>
      </c>
      <c r="W32" s="167">
        <v>126</v>
      </c>
      <c r="X32" s="7">
        <v>8895</v>
      </c>
      <c r="Y32" s="4">
        <v>95</v>
      </c>
      <c r="Z32" s="4">
        <v>101</v>
      </c>
      <c r="AA32" s="4">
        <v>136</v>
      </c>
      <c r="AB32" s="7">
        <v>2082</v>
      </c>
      <c r="AC32" s="4">
        <v>234</v>
      </c>
      <c r="AD32" s="4">
        <v>48</v>
      </c>
      <c r="AE32" s="7">
        <v>1561</v>
      </c>
      <c r="AF32" s="4"/>
      <c r="AG32" s="4">
        <v>29</v>
      </c>
      <c r="AH32" s="10">
        <v>10171</v>
      </c>
    </row>
    <row r="33" spans="1:34" x14ac:dyDescent="0.25">
      <c r="A33" s="172" t="s">
        <v>648</v>
      </c>
      <c r="B33" s="7">
        <v>1510</v>
      </c>
      <c r="C33" s="4">
        <v>499</v>
      </c>
      <c r="D33" s="4">
        <v>50</v>
      </c>
      <c r="E33" s="4">
        <v>17</v>
      </c>
      <c r="F33" s="7">
        <v>1200</v>
      </c>
      <c r="G33" s="4">
        <v>76</v>
      </c>
      <c r="H33" s="4">
        <v>68</v>
      </c>
      <c r="I33" s="7">
        <v>1661</v>
      </c>
      <c r="J33" s="7">
        <v>1218</v>
      </c>
      <c r="K33" s="7">
        <v>1064</v>
      </c>
      <c r="L33" s="4">
        <v>453</v>
      </c>
      <c r="M33" s="4">
        <v>297</v>
      </c>
      <c r="N33" s="4">
        <v>144</v>
      </c>
      <c r="O33" s="7">
        <v>2522</v>
      </c>
      <c r="P33" s="4">
        <v>575</v>
      </c>
      <c r="Q33" s="4">
        <v>232</v>
      </c>
      <c r="R33" s="4">
        <v>50</v>
      </c>
      <c r="S33" s="4">
        <v>201</v>
      </c>
      <c r="T33" s="4">
        <v>730</v>
      </c>
      <c r="U33" s="4">
        <v>126</v>
      </c>
      <c r="V33" s="4">
        <v>143</v>
      </c>
      <c r="W33" s="167">
        <v>155</v>
      </c>
      <c r="X33" s="4">
        <v>40</v>
      </c>
      <c r="Y33" s="4">
        <v>819</v>
      </c>
      <c r="Z33" s="4">
        <v>281</v>
      </c>
      <c r="AA33" s="4">
        <v>200</v>
      </c>
      <c r="AB33" s="4">
        <v>56</v>
      </c>
      <c r="AC33" s="4">
        <v>331</v>
      </c>
      <c r="AD33" s="4">
        <v>30</v>
      </c>
      <c r="AE33" s="4">
        <v>250</v>
      </c>
      <c r="AF33" s="4">
        <v>17</v>
      </c>
      <c r="AG33" s="4"/>
      <c r="AH33" s="10">
        <v>27694</v>
      </c>
    </row>
    <row r="34" spans="1:34" x14ac:dyDescent="0.25">
      <c r="A34" s="172"/>
      <c r="B34" s="7"/>
      <c r="C34" s="4"/>
      <c r="D34" s="4"/>
      <c r="E34" s="4"/>
      <c r="F34" s="7"/>
      <c r="G34" s="4"/>
      <c r="H34" s="4"/>
      <c r="I34" s="7"/>
      <c r="J34" s="7"/>
      <c r="K34" s="7"/>
      <c r="L34" s="4"/>
      <c r="M34" s="4"/>
      <c r="N34" s="4"/>
      <c r="O34" s="7"/>
      <c r="P34" s="4"/>
      <c r="Q34" s="4"/>
      <c r="R34" s="4"/>
      <c r="S34" s="4"/>
      <c r="T34" s="4"/>
      <c r="U34" s="4"/>
      <c r="V34" s="4"/>
      <c r="W34" s="167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10"/>
    </row>
    <row r="35" spans="1:34" x14ac:dyDescent="0.25">
      <c r="A35" s="172"/>
      <c r="B35" s="7"/>
      <c r="C35" s="4"/>
      <c r="D35" s="4"/>
      <c r="E35" s="4"/>
      <c r="F35" s="7"/>
      <c r="G35" s="4"/>
      <c r="H35" s="4"/>
      <c r="I35" s="7"/>
      <c r="J35" s="7"/>
      <c r="K35" s="7"/>
      <c r="L35" s="4"/>
      <c r="M35" s="4"/>
      <c r="N35" s="4"/>
      <c r="O35" s="7"/>
      <c r="P35" s="4"/>
      <c r="Q35" s="4"/>
      <c r="R35" s="4"/>
      <c r="S35" s="4"/>
      <c r="T35" s="4"/>
      <c r="U35" s="4"/>
      <c r="V35" s="4"/>
      <c r="W35" s="167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10"/>
    </row>
    <row r="36" spans="1:34" x14ac:dyDescent="0.25">
      <c r="A36" s="223" t="s">
        <v>667</v>
      </c>
      <c r="B36" s="223"/>
      <c r="C36" s="223"/>
      <c r="D36" s="223"/>
      <c r="E36" s="223"/>
      <c r="F36" s="223"/>
      <c r="I36" s="83" t="s">
        <v>673</v>
      </c>
    </row>
    <row r="37" spans="1:34" ht="17.25" x14ac:dyDescent="0.25">
      <c r="A37" s="177" t="s">
        <v>653</v>
      </c>
      <c r="B37" s="16">
        <f>SUM(W2:W33)</f>
        <v>20053</v>
      </c>
      <c r="D37" s="228" t="s">
        <v>666</v>
      </c>
      <c r="E37" s="228"/>
      <c r="F37" s="228"/>
      <c r="J37" s="16" t="s">
        <v>672</v>
      </c>
      <c r="K37" s="16">
        <f>SUM('Tasas de crecimiento'!H11:H28)</f>
        <v>0.73026779160092525</v>
      </c>
      <c r="M37" s="179"/>
      <c r="N37" s="179"/>
      <c r="O37" s="174"/>
    </row>
    <row r="38" spans="1:34" ht="17.25" x14ac:dyDescent="0.25">
      <c r="A38" s="21" t="s">
        <v>654</v>
      </c>
      <c r="B38" s="16">
        <f>SUM(B23:AG23)</f>
        <v>45598</v>
      </c>
      <c r="D38" s="227" t="s">
        <v>656</v>
      </c>
      <c r="E38" s="227"/>
      <c r="F38" s="16">
        <f>(B39/SUM('Prospectivo y Retrospectivo'!C26:C43))*1000</f>
        <v>71.770964845358733</v>
      </c>
      <c r="J38" s="16" t="s">
        <v>668</v>
      </c>
      <c r="K38" s="16">
        <f>('Tasas de Fecundidad'!C8+'Tasas de Fecundidad'!J8)/2</f>
        <v>25.54801835490326</v>
      </c>
    </row>
    <row r="39" spans="1:34" ht="17.25" x14ac:dyDescent="0.25">
      <c r="A39" s="177" t="s">
        <v>655</v>
      </c>
      <c r="B39" s="16">
        <f>SUM(B23:AH23)</f>
        <v>63783</v>
      </c>
      <c r="D39" s="226" t="s">
        <v>657</v>
      </c>
      <c r="E39" s="226"/>
      <c r="F39" s="16">
        <f>(B38/SUM('Prospectivo y Retrospectivo'!C26:C43))*1000</f>
        <v>51.308537620034613</v>
      </c>
      <c r="J39" s="16" t="s">
        <v>669</v>
      </c>
      <c r="K39" s="93">
        <f>('TBM y TTM'!C26+'TBM y TTM'!F26)/2</f>
        <v>4.82344662163257</v>
      </c>
    </row>
    <row r="40" spans="1:34" ht="17.25" x14ac:dyDescent="0.25">
      <c r="D40" s="227" t="s">
        <v>659</v>
      </c>
      <c r="E40" s="227"/>
      <c r="F40" s="16">
        <f>(B37/SUM('Prospectivo y Retrospectivo'!C26:C43))*1000</f>
        <v>22.564369158615602</v>
      </c>
      <c r="J40" s="16" t="s">
        <v>670</v>
      </c>
      <c r="K40" s="16">
        <f>F38</f>
        <v>71.770964845358733</v>
      </c>
    </row>
    <row r="41" spans="1:34" ht="17.25" x14ac:dyDescent="0.25">
      <c r="D41" s="199" t="s">
        <v>661</v>
      </c>
      <c r="E41" s="199"/>
      <c r="F41" s="16">
        <f>((B37+B38)/SUM('Prospectivo y Retrospectivo'!C26:C43))*1000</f>
        <v>73.872906778650218</v>
      </c>
      <c r="J41" s="16" t="s">
        <v>671</v>
      </c>
      <c r="K41" s="93">
        <f>(K38-K39)+K40 -K37</f>
        <v>91.765268787028504</v>
      </c>
    </row>
    <row r="42" spans="1:34" x14ac:dyDescent="0.25">
      <c r="D42" s="227" t="s">
        <v>662</v>
      </c>
      <c r="E42" s="227"/>
      <c r="F42" s="16">
        <f>((B38-B37)/SUM('Prospectivo y Retrospectivo'!C26:C43))*1000</f>
        <v>28.744168461419015</v>
      </c>
    </row>
    <row r="43" spans="1:34" x14ac:dyDescent="0.25">
      <c r="J43" s="177" t="s">
        <v>675</v>
      </c>
      <c r="K43" s="100">
        <f>(K41* SUM('Prospectivo y Retrospectivo'!C26:C43))/1000</f>
        <v>81551.9779015698</v>
      </c>
    </row>
  </sheetData>
  <mergeCells count="8">
    <mergeCell ref="M37:N37"/>
    <mergeCell ref="D42:E42"/>
    <mergeCell ref="A36:F36"/>
    <mergeCell ref="D37:F37"/>
    <mergeCell ref="D38:E38"/>
    <mergeCell ref="D39:E39"/>
    <mergeCell ref="D40:E40"/>
    <mergeCell ref="D41:E41"/>
  </mergeCells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DF2B-949C-4768-BE7F-F1815C8D2DB3}">
  <dimension ref="A1:AH43"/>
  <sheetViews>
    <sheetView topLeftCell="A18" zoomScale="70" zoomScaleNormal="70" workbookViewId="0">
      <selection activeCell="K41" sqref="J37:K41"/>
    </sheetView>
  </sheetViews>
  <sheetFormatPr baseColWidth="10" defaultRowHeight="15" x14ac:dyDescent="0.25"/>
  <cols>
    <col min="1" max="1" width="18.5703125" customWidth="1"/>
    <col min="2" max="2" width="19.7109375" customWidth="1"/>
    <col min="3" max="3" width="14.28515625" customWidth="1"/>
    <col min="4" max="4" width="18.28515625" customWidth="1"/>
    <col min="10" max="10" width="17.140625" customWidth="1"/>
    <col min="15" max="15" width="14.85546875" bestFit="1" customWidth="1"/>
    <col min="24" max="24" width="14.42578125" customWidth="1"/>
    <col min="25" max="25" width="14.7109375" customWidth="1"/>
  </cols>
  <sheetData>
    <row r="1" spans="1:34" ht="30.6" customHeight="1" x14ac:dyDescent="0.25">
      <c r="A1" s="4" t="s">
        <v>663</v>
      </c>
      <c r="B1" s="4" t="s">
        <v>618</v>
      </c>
      <c r="C1" s="4" t="s">
        <v>619</v>
      </c>
      <c r="D1" s="4" t="s">
        <v>620</v>
      </c>
      <c r="E1" s="4" t="s">
        <v>621</v>
      </c>
      <c r="F1" s="4" t="s">
        <v>652</v>
      </c>
      <c r="G1" s="4" t="s">
        <v>623</v>
      </c>
      <c r="H1" s="4" t="s">
        <v>624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651</v>
      </c>
      <c r="R1" s="4" t="s">
        <v>634</v>
      </c>
      <c r="S1" s="4" t="s">
        <v>635</v>
      </c>
      <c r="T1" s="4" t="s">
        <v>636</v>
      </c>
      <c r="U1" s="4" t="s">
        <v>637</v>
      </c>
      <c r="V1" s="4" t="s">
        <v>638</v>
      </c>
      <c r="W1" s="167" t="s">
        <v>664</v>
      </c>
      <c r="X1" s="4" t="s">
        <v>640</v>
      </c>
      <c r="Y1" s="4" t="s">
        <v>641</v>
      </c>
      <c r="Z1" s="4" t="s">
        <v>642</v>
      </c>
      <c r="AA1" s="4" t="s">
        <v>643</v>
      </c>
      <c r="AB1" s="4" t="s">
        <v>644</v>
      </c>
      <c r="AC1" s="4" t="s">
        <v>645</v>
      </c>
      <c r="AD1" s="4" t="s">
        <v>646</v>
      </c>
      <c r="AE1" s="4" t="s">
        <v>650</v>
      </c>
      <c r="AF1" s="4" t="s">
        <v>647</v>
      </c>
      <c r="AG1" s="4" t="s">
        <v>648</v>
      </c>
      <c r="AH1" t="s">
        <v>649</v>
      </c>
    </row>
    <row r="2" spans="1:34" x14ac:dyDescent="0.25">
      <c r="A2" s="172" t="s">
        <v>618</v>
      </c>
      <c r="B2" s="4"/>
      <c r="C2" s="4">
        <v>397</v>
      </c>
      <c r="D2" s="4">
        <v>49</v>
      </c>
      <c r="E2" s="4">
        <v>15</v>
      </c>
      <c r="F2" s="4">
        <v>338</v>
      </c>
      <c r="G2" s="4">
        <v>125</v>
      </c>
      <c r="H2" s="4">
        <v>120</v>
      </c>
      <c r="I2" s="4">
        <v>487</v>
      </c>
      <c r="J2" s="7">
        <v>3911</v>
      </c>
      <c r="K2" s="4">
        <v>382</v>
      </c>
      <c r="L2" s="7">
        <v>1153</v>
      </c>
      <c r="M2" s="4">
        <v>199</v>
      </c>
      <c r="N2" s="4">
        <v>234</v>
      </c>
      <c r="O2" s="7">
        <v>3870</v>
      </c>
      <c r="P2" s="7">
        <v>1913</v>
      </c>
      <c r="Q2" s="4">
        <v>463</v>
      </c>
      <c r="R2" s="4">
        <v>212</v>
      </c>
      <c r="S2" s="4">
        <v>144</v>
      </c>
      <c r="T2" s="4">
        <v>378</v>
      </c>
      <c r="U2" s="4">
        <v>184</v>
      </c>
      <c r="V2" s="4">
        <v>281</v>
      </c>
      <c r="W2" s="167">
        <v>353</v>
      </c>
      <c r="X2" s="4">
        <v>107</v>
      </c>
      <c r="Y2" s="4">
        <v>814</v>
      </c>
      <c r="Z2" s="4">
        <v>179</v>
      </c>
      <c r="AA2" s="4">
        <v>166</v>
      </c>
      <c r="AB2" s="4">
        <v>59</v>
      </c>
      <c r="AC2" s="4">
        <v>327</v>
      </c>
      <c r="AD2" s="4">
        <v>63</v>
      </c>
      <c r="AE2" s="4">
        <v>332</v>
      </c>
      <c r="AF2" s="4">
        <v>49</v>
      </c>
      <c r="AG2" s="7">
        <v>3590</v>
      </c>
      <c r="AH2" s="10">
        <v>6831</v>
      </c>
    </row>
    <row r="3" spans="1:34" x14ac:dyDescent="0.25">
      <c r="A3" s="172" t="s">
        <v>619</v>
      </c>
      <c r="B3" s="4">
        <v>378</v>
      </c>
      <c r="C3" s="4"/>
      <c r="D3" s="7">
        <v>1438</v>
      </c>
      <c r="E3" s="4">
        <v>114</v>
      </c>
      <c r="F3" s="4">
        <v>508</v>
      </c>
      <c r="G3" s="4">
        <v>747</v>
      </c>
      <c r="H3" s="7">
        <v>6497</v>
      </c>
      <c r="I3" s="7">
        <v>1238</v>
      </c>
      <c r="J3" s="7">
        <v>4770</v>
      </c>
      <c r="K3" s="7">
        <v>1752</v>
      </c>
      <c r="L3" s="7">
        <v>1828</v>
      </c>
      <c r="M3" s="7">
        <v>3869</v>
      </c>
      <c r="N3" s="4">
        <v>561</v>
      </c>
      <c r="O3" s="7">
        <v>5698</v>
      </c>
      <c r="P3" s="7">
        <v>2315</v>
      </c>
      <c r="Q3" s="7">
        <v>4628</v>
      </c>
      <c r="R3" s="4">
        <v>825</v>
      </c>
      <c r="S3" s="7">
        <v>2831</v>
      </c>
      <c r="T3" s="4">
        <v>570</v>
      </c>
      <c r="U3" s="7">
        <v>4201</v>
      </c>
      <c r="V3" s="7">
        <v>2251</v>
      </c>
      <c r="W3" s="167">
        <v>320</v>
      </c>
      <c r="X3" s="4">
        <v>222</v>
      </c>
      <c r="Y3" s="4">
        <v>248</v>
      </c>
      <c r="Z3" s="7">
        <v>14465</v>
      </c>
      <c r="AA3" s="7">
        <v>7937</v>
      </c>
      <c r="AB3" s="4">
        <v>447</v>
      </c>
      <c r="AC3" s="4">
        <v>421</v>
      </c>
      <c r="AD3" s="4">
        <v>325</v>
      </c>
      <c r="AE3" s="7">
        <v>4602</v>
      </c>
      <c r="AF3" s="4">
        <v>160</v>
      </c>
      <c r="AG3" s="4">
        <v>699</v>
      </c>
      <c r="AH3" s="10">
        <v>30362</v>
      </c>
    </row>
    <row r="4" spans="1:34" x14ac:dyDescent="0.25">
      <c r="A4" s="172" t="s">
        <v>620</v>
      </c>
      <c r="B4" s="4">
        <v>120</v>
      </c>
      <c r="C4" s="7">
        <v>2985</v>
      </c>
      <c r="D4" s="4"/>
      <c r="E4" s="4">
        <v>29</v>
      </c>
      <c r="F4" s="4">
        <v>328</v>
      </c>
      <c r="G4" s="4">
        <v>158</v>
      </c>
      <c r="H4" s="7">
        <v>1449</v>
      </c>
      <c r="I4" s="4">
        <v>438</v>
      </c>
      <c r="J4" s="7">
        <v>2897</v>
      </c>
      <c r="K4" s="4">
        <v>638</v>
      </c>
      <c r="L4" s="4">
        <v>485</v>
      </c>
      <c r="M4" s="7">
        <v>5321</v>
      </c>
      <c r="N4" s="4">
        <v>270</v>
      </c>
      <c r="O4" s="7">
        <v>2127</v>
      </c>
      <c r="P4" s="7">
        <v>1919</v>
      </c>
      <c r="Q4" s="4">
        <v>675</v>
      </c>
      <c r="R4" s="4">
        <v>331</v>
      </c>
      <c r="S4" s="4">
        <v>427</v>
      </c>
      <c r="T4" s="4">
        <v>235</v>
      </c>
      <c r="U4" s="7">
        <v>1634</v>
      </c>
      <c r="V4" s="7">
        <v>1650</v>
      </c>
      <c r="W4" s="167">
        <v>139</v>
      </c>
      <c r="X4" s="4">
        <v>401</v>
      </c>
      <c r="Y4" s="4">
        <v>125</v>
      </c>
      <c r="Z4" s="7">
        <v>6067</v>
      </c>
      <c r="AA4" s="7">
        <v>1500</v>
      </c>
      <c r="AB4" s="4">
        <v>103</v>
      </c>
      <c r="AC4" s="4">
        <v>156</v>
      </c>
      <c r="AD4" s="4">
        <v>184</v>
      </c>
      <c r="AE4" s="7">
        <v>1849</v>
      </c>
      <c r="AF4" s="4">
        <v>83</v>
      </c>
      <c r="AG4" s="4">
        <v>86</v>
      </c>
      <c r="AH4" s="10">
        <v>3422</v>
      </c>
    </row>
    <row r="5" spans="1:34" x14ac:dyDescent="0.25">
      <c r="A5" s="172" t="s">
        <v>621</v>
      </c>
      <c r="B5" s="4">
        <v>22</v>
      </c>
      <c r="C5" s="4">
        <v>135</v>
      </c>
      <c r="D5" s="4">
        <v>18</v>
      </c>
      <c r="E5" s="4"/>
      <c r="F5" s="4">
        <v>109</v>
      </c>
      <c r="G5" s="4">
        <v>48</v>
      </c>
      <c r="H5" s="7">
        <v>1484</v>
      </c>
      <c r="I5" s="4">
        <v>233</v>
      </c>
      <c r="J5" s="4">
        <v>981</v>
      </c>
      <c r="K5" s="4">
        <v>53</v>
      </c>
      <c r="L5" s="4">
        <v>120</v>
      </c>
      <c r="M5" s="4">
        <v>157</v>
      </c>
      <c r="N5" s="4">
        <v>74</v>
      </c>
      <c r="O5" s="4">
        <v>148</v>
      </c>
      <c r="P5" s="4">
        <v>424</v>
      </c>
      <c r="Q5" s="4">
        <v>213</v>
      </c>
      <c r="R5" s="4">
        <v>59</v>
      </c>
      <c r="S5" s="4">
        <v>14</v>
      </c>
      <c r="T5" s="4">
        <v>167</v>
      </c>
      <c r="U5" s="4">
        <v>413</v>
      </c>
      <c r="V5" s="4">
        <v>313</v>
      </c>
      <c r="W5" s="167">
        <v>69</v>
      </c>
      <c r="X5" s="7">
        <v>1823</v>
      </c>
      <c r="Y5" s="4">
        <v>58</v>
      </c>
      <c r="Z5" s="4">
        <v>116</v>
      </c>
      <c r="AA5" s="4">
        <v>74</v>
      </c>
      <c r="AB5" s="7">
        <v>4371</v>
      </c>
      <c r="AC5" s="4">
        <v>583</v>
      </c>
      <c r="AD5" s="4">
        <v>35</v>
      </c>
      <c r="AE5" s="7">
        <v>2737</v>
      </c>
      <c r="AF5" s="7">
        <v>1524</v>
      </c>
      <c r="AG5" s="4">
        <v>57</v>
      </c>
      <c r="AH5" s="10">
        <v>3947</v>
      </c>
    </row>
    <row r="6" spans="1:34" x14ac:dyDescent="0.25">
      <c r="A6" s="172" t="s">
        <v>652</v>
      </c>
      <c r="B6" s="4">
        <v>313</v>
      </c>
      <c r="C6" s="4">
        <v>438</v>
      </c>
      <c r="D6" s="4">
        <v>89</v>
      </c>
      <c r="E6" s="4">
        <v>49</v>
      </c>
      <c r="F6" s="4"/>
      <c r="G6" s="4">
        <v>92</v>
      </c>
      <c r="H6" s="4">
        <v>341</v>
      </c>
      <c r="I6" s="7">
        <v>4902</v>
      </c>
      <c r="J6" s="7">
        <v>1724</v>
      </c>
      <c r="K6" s="7">
        <v>5211</v>
      </c>
      <c r="L6" s="4">
        <v>796</v>
      </c>
      <c r="M6" s="4">
        <v>252</v>
      </c>
      <c r="N6" s="4">
        <v>233</v>
      </c>
      <c r="O6" s="4">
        <v>912</v>
      </c>
      <c r="P6" s="4">
        <v>951</v>
      </c>
      <c r="Q6" s="4">
        <v>377</v>
      </c>
      <c r="R6" s="4">
        <v>185</v>
      </c>
      <c r="S6" s="4">
        <v>70</v>
      </c>
      <c r="T6" s="7">
        <v>5094</v>
      </c>
      <c r="U6" s="4">
        <v>358</v>
      </c>
      <c r="V6" s="4">
        <v>422</v>
      </c>
      <c r="W6" s="167">
        <v>294</v>
      </c>
      <c r="X6" s="4">
        <v>126</v>
      </c>
      <c r="Y6" s="4">
        <v>794</v>
      </c>
      <c r="Z6" s="4">
        <v>395</v>
      </c>
      <c r="AA6" s="4">
        <v>351</v>
      </c>
      <c r="AB6" s="4">
        <v>275</v>
      </c>
      <c r="AC6" s="7">
        <v>2127</v>
      </c>
      <c r="AD6" s="4">
        <v>66</v>
      </c>
      <c r="AE6" s="7">
        <v>1299</v>
      </c>
      <c r="AF6" s="4">
        <v>66</v>
      </c>
      <c r="AG6" s="7">
        <v>1286</v>
      </c>
      <c r="AH6" s="10">
        <v>12249</v>
      </c>
    </row>
    <row r="7" spans="1:34" x14ac:dyDescent="0.25">
      <c r="A7" s="172" t="s">
        <v>623</v>
      </c>
      <c r="B7" s="4">
        <v>152</v>
      </c>
      <c r="C7" s="7">
        <v>1175</v>
      </c>
      <c r="D7" s="4">
        <v>92</v>
      </c>
      <c r="E7" s="4">
        <v>48</v>
      </c>
      <c r="F7" s="4">
        <v>129</v>
      </c>
      <c r="G7" s="4"/>
      <c r="H7" s="4">
        <v>360</v>
      </c>
      <c r="I7" s="4">
        <v>201</v>
      </c>
      <c r="J7" s="7">
        <v>1443</v>
      </c>
      <c r="K7" s="4">
        <v>124</v>
      </c>
      <c r="L7" s="4">
        <v>486</v>
      </c>
      <c r="M7" s="7">
        <v>1179</v>
      </c>
      <c r="N7" s="4">
        <v>144</v>
      </c>
      <c r="O7" s="7">
        <v>8203</v>
      </c>
      <c r="P7" s="4">
        <v>661</v>
      </c>
      <c r="Q7" s="7">
        <v>3208</v>
      </c>
      <c r="R7" s="4">
        <v>116</v>
      </c>
      <c r="S7" s="4">
        <v>275</v>
      </c>
      <c r="T7" s="4">
        <v>169</v>
      </c>
      <c r="U7" s="4">
        <v>309</v>
      </c>
      <c r="V7" s="4">
        <v>160</v>
      </c>
      <c r="W7" s="167">
        <v>118</v>
      </c>
      <c r="X7" s="4">
        <v>92</v>
      </c>
      <c r="Y7" s="4">
        <v>131</v>
      </c>
      <c r="Z7" s="4">
        <v>329</v>
      </c>
      <c r="AA7" s="4">
        <v>213</v>
      </c>
      <c r="AB7" s="4">
        <v>142</v>
      </c>
      <c r="AC7" s="4">
        <v>207</v>
      </c>
      <c r="AD7" s="4">
        <v>28</v>
      </c>
      <c r="AE7" s="4">
        <v>546</v>
      </c>
      <c r="AF7" s="4">
        <v>45</v>
      </c>
      <c r="AG7" s="4">
        <v>122</v>
      </c>
      <c r="AH7" s="10">
        <v>6268</v>
      </c>
    </row>
    <row r="8" spans="1:34" x14ac:dyDescent="0.25">
      <c r="A8" s="172" t="s">
        <v>624</v>
      </c>
      <c r="B8" s="4">
        <v>78</v>
      </c>
      <c r="C8" s="7">
        <v>2330</v>
      </c>
      <c r="D8" s="4">
        <v>139</v>
      </c>
      <c r="E8" s="4">
        <v>455</v>
      </c>
      <c r="F8" s="4">
        <v>197</v>
      </c>
      <c r="G8" s="4">
        <v>91</v>
      </c>
      <c r="H8" s="4"/>
      <c r="I8" s="4">
        <v>963</v>
      </c>
      <c r="J8" s="7">
        <v>3617</v>
      </c>
      <c r="K8" s="4">
        <v>76</v>
      </c>
      <c r="L8" s="4">
        <v>225</v>
      </c>
      <c r="M8" s="4">
        <v>472</v>
      </c>
      <c r="N8" s="4">
        <v>169</v>
      </c>
      <c r="O8" s="4">
        <v>864</v>
      </c>
      <c r="P8" s="7">
        <v>1799</v>
      </c>
      <c r="Q8" s="4">
        <v>392</v>
      </c>
      <c r="R8" s="4">
        <v>244</v>
      </c>
      <c r="S8" s="4">
        <v>162</v>
      </c>
      <c r="T8" s="4">
        <v>412</v>
      </c>
      <c r="U8" s="7">
        <v>2026</v>
      </c>
      <c r="V8" s="7">
        <v>1096</v>
      </c>
      <c r="W8" s="167">
        <v>187</v>
      </c>
      <c r="X8" s="7">
        <v>1100</v>
      </c>
      <c r="Y8" s="4">
        <v>92</v>
      </c>
      <c r="Z8" s="4">
        <v>315</v>
      </c>
      <c r="AA8" s="4">
        <v>363</v>
      </c>
      <c r="AB8" s="7">
        <v>2638</v>
      </c>
      <c r="AC8" s="4">
        <v>570</v>
      </c>
      <c r="AD8" s="4">
        <v>90</v>
      </c>
      <c r="AE8" s="7">
        <v>2212</v>
      </c>
      <c r="AF8" s="4">
        <v>316</v>
      </c>
      <c r="AG8" s="4">
        <v>51</v>
      </c>
      <c r="AH8" s="10">
        <v>15294</v>
      </c>
    </row>
    <row r="9" spans="1:34" x14ac:dyDescent="0.25">
      <c r="A9" s="172" t="s">
        <v>625</v>
      </c>
      <c r="B9" s="4">
        <v>220</v>
      </c>
      <c r="C9" s="4">
        <v>870</v>
      </c>
      <c r="D9" s="4">
        <v>89</v>
      </c>
      <c r="E9" s="4">
        <v>150</v>
      </c>
      <c r="F9" s="7">
        <v>3287</v>
      </c>
      <c r="G9" s="4">
        <v>84</v>
      </c>
      <c r="H9" s="7">
        <v>1012</v>
      </c>
      <c r="I9" s="4"/>
      <c r="J9" s="7">
        <v>1574</v>
      </c>
      <c r="K9" s="7">
        <v>5355</v>
      </c>
      <c r="L9" s="4">
        <v>448</v>
      </c>
      <c r="M9" s="4">
        <v>980</v>
      </c>
      <c r="N9" s="4">
        <v>246</v>
      </c>
      <c r="O9" s="4">
        <v>864</v>
      </c>
      <c r="P9" s="4">
        <v>739</v>
      </c>
      <c r="Q9" s="4">
        <v>392</v>
      </c>
      <c r="R9" s="4">
        <v>157</v>
      </c>
      <c r="S9" s="4">
        <v>146</v>
      </c>
      <c r="T9" s="4">
        <v>782</v>
      </c>
      <c r="U9" s="7">
        <v>1356</v>
      </c>
      <c r="V9" s="4">
        <v>541</v>
      </c>
      <c r="W9" s="167">
        <v>211</v>
      </c>
      <c r="X9" s="4">
        <v>79</v>
      </c>
      <c r="Y9" s="4">
        <v>256</v>
      </c>
      <c r="Z9" s="7">
        <v>1526</v>
      </c>
      <c r="AA9" s="7">
        <v>1435</v>
      </c>
      <c r="AB9" s="4">
        <v>266</v>
      </c>
      <c r="AC9" s="4">
        <v>478</v>
      </c>
      <c r="AD9" s="4">
        <v>86</v>
      </c>
      <c r="AE9" s="7">
        <v>3559</v>
      </c>
      <c r="AF9" s="4">
        <v>60</v>
      </c>
      <c r="AG9" s="7">
        <v>1252</v>
      </c>
      <c r="AH9" s="10">
        <v>29377</v>
      </c>
    </row>
    <row r="10" spans="1:34" x14ac:dyDescent="0.25">
      <c r="A10" s="172" t="s">
        <v>626</v>
      </c>
      <c r="B10" s="4">
        <v>963</v>
      </c>
      <c r="C10" s="7">
        <v>1837</v>
      </c>
      <c r="D10" s="4">
        <v>303</v>
      </c>
      <c r="E10" s="4">
        <v>343</v>
      </c>
      <c r="F10" s="4">
        <v>760</v>
      </c>
      <c r="G10" s="4">
        <v>421</v>
      </c>
      <c r="H10" s="7">
        <v>2679</v>
      </c>
      <c r="I10" s="7">
        <v>1189</v>
      </c>
      <c r="J10" s="4"/>
      <c r="K10" s="4">
        <v>461</v>
      </c>
      <c r="L10" s="7">
        <v>2935</v>
      </c>
      <c r="M10" s="7">
        <v>5125</v>
      </c>
      <c r="N10" s="7">
        <v>5123</v>
      </c>
      <c r="O10" s="7">
        <v>3812</v>
      </c>
      <c r="P10" s="7">
        <v>51168</v>
      </c>
      <c r="Q10" s="7">
        <v>4579</v>
      </c>
      <c r="R10" s="7">
        <v>4151</v>
      </c>
      <c r="S10" s="4">
        <v>291</v>
      </c>
      <c r="T10" s="7">
        <v>2003</v>
      </c>
      <c r="U10" s="7">
        <v>7273</v>
      </c>
      <c r="V10" s="7">
        <v>10685</v>
      </c>
      <c r="W10" s="168">
        <v>2269</v>
      </c>
      <c r="X10" s="7">
        <v>1525</v>
      </c>
      <c r="Y10" s="7">
        <v>1162</v>
      </c>
      <c r="Z10" s="7">
        <v>1249</v>
      </c>
      <c r="AA10" s="4">
        <v>865</v>
      </c>
      <c r="AB10" s="7">
        <v>1096</v>
      </c>
      <c r="AC10" s="7">
        <v>1329</v>
      </c>
      <c r="AD10" s="7">
        <v>1737</v>
      </c>
      <c r="AE10" s="7">
        <v>9786</v>
      </c>
      <c r="AF10" s="4">
        <v>808</v>
      </c>
      <c r="AG10" s="4">
        <v>471</v>
      </c>
      <c r="AH10" s="10">
        <v>48150</v>
      </c>
    </row>
    <row r="11" spans="1:34" x14ac:dyDescent="0.25">
      <c r="A11" s="172" t="s">
        <v>627</v>
      </c>
      <c r="B11" s="4">
        <v>227</v>
      </c>
      <c r="C11" s="7">
        <v>1190</v>
      </c>
      <c r="D11" s="4">
        <v>162</v>
      </c>
      <c r="E11" s="4">
        <v>30</v>
      </c>
      <c r="F11" s="7">
        <v>4840</v>
      </c>
      <c r="G11" s="4">
        <v>65</v>
      </c>
      <c r="H11" s="4">
        <v>91</v>
      </c>
      <c r="I11" s="7">
        <v>5803</v>
      </c>
      <c r="J11" s="4">
        <v>609</v>
      </c>
      <c r="K11" s="4"/>
      <c r="L11" s="4">
        <v>247</v>
      </c>
      <c r="M11" s="4">
        <v>124</v>
      </c>
      <c r="N11" s="4">
        <v>74</v>
      </c>
      <c r="O11" s="4">
        <v>530</v>
      </c>
      <c r="P11" s="4">
        <v>428</v>
      </c>
      <c r="Q11" s="4">
        <v>198</v>
      </c>
      <c r="R11" s="4">
        <v>55</v>
      </c>
      <c r="S11" s="4">
        <v>162</v>
      </c>
      <c r="T11" s="4">
        <v>626</v>
      </c>
      <c r="U11" s="4">
        <v>99</v>
      </c>
      <c r="V11" s="4">
        <v>136</v>
      </c>
      <c r="W11" s="167">
        <v>126</v>
      </c>
      <c r="X11" s="4">
        <v>76</v>
      </c>
      <c r="Y11" s="4">
        <v>153</v>
      </c>
      <c r="Z11" s="7">
        <v>1058</v>
      </c>
      <c r="AA11" s="4">
        <v>349</v>
      </c>
      <c r="AB11" s="4">
        <v>24</v>
      </c>
      <c r="AC11" s="4">
        <v>344</v>
      </c>
      <c r="AD11" s="4">
        <v>22</v>
      </c>
      <c r="AE11" s="4">
        <v>273</v>
      </c>
      <c r="AF11" s="4">
        <v>22</v>
      </c>
      <c r="AG11" s="7">
        <v>1009</v>
      </c>
      <c r="AH11" s="10">
        <v>10954</v>
      </c>
    </row>
    <row r="12" spans="1:34" x14ac:dyDescent="0.25">
      <c r="A12" s="172" t="s">
        <v>628</v>
      </c>
      <c r="B12" s="4">
        <v>938</v>
      </c>
      <c r="C12" s="7">
        <v>1403</v>
      </c>
      <c r="D12" s="4">
        <v>129</v>
      </c>
      <c r="E12" s="4">
        <v>79</v>
      </c>
      <c r="F12" s="4">
        <v>742</v>
      </c>
      <c r="G12" s="4">
        <v>273</v>
      </c>
      <c r="H12" s="4">
        <v>446</v>
      </c>
      <c r="I12" s="4">
        <v>713</v>
      </c>
      <c r="J12" s="7">
        <v>9995</v>
      </c>
      <c r="K12" s="4">
        <v>331</v>
      </c>
      <c r="L12" s="4"/>
      <c r="M12" s="4">
        <v>769</v>
      </c>
      <c r="N12" s="4">
        <v>877</v>
      </c>
      <c r="O12" s="7">
        <v>4494</v>
      </c>
      <c r="P12" s="7">
        <v>5680</v>
      </c>
      <c r="Q12" s="7">
        <v>5210</v>
      </c>
      <c r="R12" s="4">
        <v>516</v>
      </c>
      <c r="S12" s="4">
        <v>293</v>
      </c>
      <c r="T12" s="4">
        <v>874</v>
      </c>
      <c r="U12" s="4">
        <v>568</v>
      </c>
      <c r="V12" s="7">
        <v>1010</v>
      </c>
      <c r="W12" s="168">
        <v>4156</v>
      </c>
      <c r="X12" s="4">
        <v>272</v>
      </c>
      <c r="Y12" s="7">
        <v>1397</v>
      </c>
      <c r="Z12" s="4">
        <v>549</v>
      </c>
      <c r="AA12" s="4">
        <v>384</v>
      </c>
      <c r="AB12" s="4">
        <v>204</v>
      </c>
      <c r="AC12" s="7">
        <v>1049</v>
      </c>
      <c r="AD12" s="4">
        <v>254</v>
      </c>
      <c r="AE12" s="7">
        <v>1201</v>
      </c>
      <c r="AF12" s="4">
        <v>157</v>
      </c>
      <c r="AG12" s="4">
        <v>593</v>
      </c>
      <c r="AH12" s="10">
        <v>28840</v>
      </c>
    </row>
    <row r="13" spans="1:34" x14ac:dyDescent="0.25">
      <c r="A13" s="172" t="s">
        <v>629</v>
      </c>
      <c r="B13" s="4">
        <v>68</v>
      </c>
      <c r="C13" s="7">
        <v>1736</v>
      </c>
      <c r="D13" s="4">
        <v>408</v>
      </c>
      <c r="E13" s="4">
        <v>63</v>
      </c>
      <c r="F13" s="4">
        <v>163</v>
      </c>
      <c r="G13" s="4">
        <v>292</v>
      </c>
      <c r="H13" s="4">
        <v>451</v>
      </c>
      <c r="I13" s="4">
        <v>438</v>
      </c>
      <c r="J13" s="7">
        <v>4818</v>
      </c>
      <c r="K13" s="4">
        <v>125</v>
      </c>
      <c r="L13" s="4">
        <v>389</v>
      </c>
      <c r="M13" s="4"/>
      <c r="N13" s="4">
        <v>271</v>
      </c>
      <c r="O13" s="7">
        <v>1055</v>
      </c>
      <c r="P13" s="7">
        <v>3913</v>
      </c>
      <c r="Q13" s="7">
        <v>2481</v>
      </c>
      <c r="R13" s="7">
        <v>2906</v>
      </c>
      <c r="S13" s="4">
        <v>123</v>
      </c>
      <c r="T13" s="4">
        <v>195</v>
      </c>
      <c r="U13" s="7">
        <v>1462</v>
      </c>
      <c r="V13" s="7">
        <v>1077</v>
      </c>
      <c r="W13" s="167">
        <v>178</v>
      </c>
      <c r="X13" s="4">
        <v>399</v>
      </c>
      <c r="Y13" s="4">
        <v>157</v>
      </c>
      <c r="Z13" s="4">
        <v>810</v>
      </c>
      <c r="AA13" s="4">
        <v>404</v>
      </c>
      <c r="AB13" s="4">
        <v>156</v>
      </c>
      <c r="AC13" s="4">
        <v>310</v>
      </c>
      <c r="AD13" s="4">
        <v>72</v>
      </c>
      <c r="AE13" s="4">
        <v>797</v>
      </c>
      <c r="AF13" s="4">
        <v>79</v>
      </c>
      <c r="AG13" s="4">
        <v>88</v>
      </c>
      <c r="AH13" s="10">
        <v>19285</v>
      </c>
    </row>
    <row r="14" spans="1:34" x14ac:dyDescent="0.25">
      <c r="A14" s="172" t="s">
        <v>630</v>
      </c>
      <c r="B14" s="4">
        <v>211</v>
      </c>
      <c r="C14" s="4">
        <v>728</v>
      </c>
      <c r="D14" s="4">
        <v>69</v>
      </c>
      <c r="E14" s="4">
        <v>85</v>
      </c>
      <c r="F14" s="4">
        <v>250</v>
      </c>
      <c r="G14" s="4">
        <v>89</v>
      </c>
      <c r="H14" s="4">
        <v>358</v>
      </c>
      <c r="I14" s="4">
        <v>470</v>
      </c>
      <c r="J14" s="7">
        <v>18948</v>
      </c>
      <c r="K14" s="4">
        <v>174</v>
      </c>
      <c r="L14" s="4">
        <v>905</v>
      </c>
      <c r="M14" s="4">
        <v>682</v>
      </c>
      <c r="N14" s="4"/>
      <c r="O14" s="4">
        <v>954</v>
      </c>
      <c r="P14" s="7">
        <v>25462</v>
      </c>
      <c r="Q14" s="4">
        <v>751</v>
      </c>
      <c r="R14" s="4">
        <v>598</v>
      </c>
      <c r="S14" s="4">
        <v>83</v>
      </c>
      <c r="T14" s="4">
        <v>921</v>
      </c>
      <c r="U14" s="4">
        <v>568</v>
      </c>
      <c r="V14" s="7">
        <v>2857</v>
      </c>
      <c r="W14" s="168">
        <v>1426</v>
      </c>
      <c r="X14" s="4">
        <v>201</v>
      </c>
      <c r="Y14" s="4">
        <v>788</v>
      </c>
      <c r="Z14" s="4">
        <v>213</v>
      </c>
      <c r="AA14" s="4">
        <v>161</v>
      </c>
      <c r="AB14" s="4">
        <v>229</v>
      </c>
      <c r="AC14" s="4">
        <v>885</v>
      </c>
      <c r="AD14" s="4">
        <v>698</v>
      </c>
      <c r="AE14" s="7">
        <v>2858</v>
      </c>
      <c r="AF14" s="4">
        <v>102</v>
      </c>
      <c r="AG14" s="4">
        <v>154</v>
      </c>
      <c r="AH14" s="10">
        <v>14982</v>
      </c>
    </row>
    <row r="15" spans="1:34" x14ac:dyDescent="0.25">
      <c r="A15" s="172" t="s">
        <v>631</v>
      </c>
      <c r="B15" s="7">
        <v>2383</v>
      </c>
      <c r="C15" s="7">
        <v>5269</v>
      </c>
      <c r="D15" s="4">
        <v>743</v>
      </c>
      <c r="E15" s="4">
        <v>143</v>
      </c>
      <c r="F15" s="4">
        <v>872</v>
      </c>
      <c r="G15" s="7">
        <v>3250</v>
      </c>
      <c r="H15" s="7">
        <v>1950</v>
      </c>
      <c r="I15" s="7">
        <v>1632</v>
      </c>
      <c r="J15" s="7">
        <v>8746</v>
      </c>
      <c r="K15" s="4">
        <v>910</v>
      </c>
      <c r="L15" s="7">
        <v>4120</v>
      </c>
      <c r="M15" s="7">
        <v>2757</v>
      </c>
      <c r="N15" s="7">
        <v>1875</v>
      </c>
      <c r="O15" s="4"/>
      <c r="P15" s="7">
        <v>4377</v>
      </c>
      <c r="Q15" s="7">
        <v>9411</v>
      </c>
      <c r="R15" s="4">
        <v>748</v>
      </c>
      <c r="S15" s="7">
        <v>5902</v>
      </c>
      <c r="T15" s="7">
        <v>1592</v>
      </c>
      <c r="U15" s="7">
        <v>1650</v>
      </c>
      <c r="V15" s="7">
        <v>1683</v>
      </c>
      <c r="W15" s="168">
        <v>1150</v>
      </c>
      <c r="X15" s="4">
        <v>672</v>
      </c>
      <c r="Y15" s="7">
        <v>1521</v>
      </c>
      <c r="Z15" s="7">
        <v>4283</v>
      </c>
      <c r="AA15" s="7">
        <v>1845</v>
      </c>
      <c r="AB15" s="4">
        <v>523</v>
      </c>
      <c r="AC15" s="7">
        <v>1020</v>
      </c>
      <c r="AD15" s="4">
        <v>267</v>
      </c>
      <c r="AE15" s="7">
        <v>3124</v>
      </c>
      <c r="AF15" s="4">
        <v>315</v>
      </c>
      <c r="AG15" s="7">
        <v>3356</v>
      </c>
      <c r="AH15" s="10">
        <v>53776</v>
      </c>
    </row>
    <row r="16" spans="1:34" x14ac:dyDescent="0.25">
      <c r="A16" s="172" t="s">
        <v>632</v>
      </c>
      <c r="B16" s="7">
        <v>1064</v>
      </c>
      <c r="C16" s="7">
        <v>2967</v>
      </c>
      <c r="D16" s="4">
        <v>417</v>
      </c>
      <c r="E16" s="4">
        <v>394</v>
      </c>
      <c r="F16" s="7">
        <v>1046</v>
      </c>
      <c r="G16" s="4">
        <v>341</v>
      </c>
      <c r="H16" s="7">
        <v>3522</v>
      </c>
      <c r="I16" s="7">
        <v>1755</v>
      </c>
      <c r="J16" s="7">
        <v>195103</v>
      </c>
      <c r="K16" s="4">
        <v>633</v>
      </c>
      <c r="L16" s="7">
        <v>4678</v>
      </c>
      <c r="M16" s="7">
        <v>7286</v>
      </c>
      <c r="N16" s="7">
        <v>10448</v>
      </c>
      <c r="O16" s="7">
        <v>4522</v>
      </c>
      <c r="P16" s="4"/>
      <c r="Q16" s="7">
        <v>8152</v>
      </c>
      <c r="R16" s="7">
        <v>4672</v>
      </c>
      <c r="S16" s="4">
        <v>389</v>
      </c>
      <c r="T16" s="7">
        <v>2052</v>
      </c>
      <c r="U16" s="7">
        <v>9545</v>
      </c>
      <c r="V16" s="7">
        <v>13719</v>
      </c>
      <c r="W16" s="168">
        <v>3496</v>
      </c>
      <c r="X16" s="7">
        <v>1383</v>
      </c>
      <c r="Y16" s="7">
        <v>1624</v>
      </c>
      <c r="Z16" s="7">
        <v>1088</v>
      </c>
      <c r="AA16" s="4">
        <v>878</v>
      </c>
      <c r="AB16" s="7">
        <v>1176</v>
      </c>
      <c r="AC16" s="7">
        <v>1750</v>
      </c>
      <c r="AD16" s="7">
        <v>2395</v>
      </c>
      <c r="AE16" s="7">
        <v>13176</v>
      </c>
      <c r="AF16" s="4">
        <v>663</v>
      </c>
      <c r="AG16" s="4">
        <v>687</v>
      </c>
      <c r="AH16" s="10">
        <v>57608</v>
      </c>
    </row>
    <row r="17" spans="1:34" x14ac:dyDescent="0.25">
      <c r="A17" s="172" t="s">
        <v>651</v>
      </c>
      <c r="B17" s="4">
        <v>238</v>
      </c>
      <c r="C17" s="7">
        <v>2598</v>
      </c>
      <c r="D17" s="4">
        <v>178</v>
      </c>
      <c r="E17" s="4">
        <v>109</v>
      </c>
      <c r="F17" s="4">
        <v>287</v>
      </c>
      <c r="G17" s="4">
        <v>939</v>
      </c>
      <c r="H17" s="4">
        <v>596</v>
      </c>
      <c r="I17" s="4">
        <v>407</v>
      </c>
      <c r="J17" s="7">
        <v>7187</v>
      </c>
      <c r="K17" s="4">
        <v>165</v>
      </c>
      <c r="L17" s="7">
        <v>4074</v>
      </c>
      <c r="M17" s="7">
        <v>4700</v>
      </c>
      <c r="N17" s="4">
        <v>408</v>
      </c>
      <c r="O17" s="7">
        <v>5535</v>
      </c>
      <c r="P17" s="7">
        <v>5580</v>
      </c>
      <c r="Q17" s="4"/>
      <c r="R17" s="4">
        <v>535</v>
      </c>
      <c r="S17" s="4">
        <v>310</v>
      </c>
      <c r="T17" s="4">
        <v>483</v>
      </c>
      <c r="U17" s="4">
        <v>551</v>
      </c>
      <c r="V17" s="4">
        <v>649</v>
      </c>
      <c r="W17" s="167">
        <v>764</v>
      </c>
      <c r="X17" s="4">
        <v>206</v>
      </c>
      <c r="Y17" s="4">
        <v>362</v>
      </c>
      <c r="Z17" s="4">
        <v>505</v>
      </c>
      <c r="AA17" s="4">
        <v>482</v>
      </c>
      <c r="AB17" s="4">
        <v>211</v>
      </c>
      <c r="AC17" s="4">
        <v>510</v>
      </c>
      <c r="AD17" s="4">
        <v>113</v>
      </c>
      <c r="AE17" s="7">
        <v>1286</v>
      </c>
      <c r="AF17" s="4">
        <v>108</v>
      </c>
      <c r="AG17" s="4">
        <v>216</v>
      </c>
      <c r="AH17" s="10">
        <v>35904</v>
      </c>
    </row>
    <row r="18" spans="1:34" x14ac:dyDescent="0.25">
      <c r="A18" s="172" t="s">
        <v>634</v>
      </c>
      <c r="B18" s="4">
        <v>162</v>
      </c>
      <c r="C18" s="4">
        <v>699</v>
      </c>
      <c r="D18" s="4">
        <v>78</v>
      </c>
      <c r="E18" s="4">
        <v>63</v>
      </c>
      <c r="F18" s="4">
        <v>228</v>
      </c>
      <c r="G18" s="4">
        <v>66</v>
      </c>
      <c r="H18" s="4">
        <v>426</v>
      </c>
      <c r="I18" s="4">
        <v>288</v>
      </c>
      <c r="J18" s="7">
        <v>13315</v>
      </c>
      <c r="K18" s="4">
        <v>89</v>
      </c>
      <c r="L18" s="4">
        <v>523</v>
      </c>
      <c r="M18" s="7">
        <v>8150</v>
      </c>
      <c r="N18" s="4">
        <v>487</v>
      </c>
      <c r="O18" s="4">
        <v>591</v>
      </c>
      <c r="P18" s="7">
        <v>7124</v>
      </c>
      <c r="Q18" s="4">
        <v>828</v>
      </c>
      <c r="R18" s="4"/>
      <c r="S18" s="4">
        <v>88</v>
      </c>
      <c r="T18" s="4">
        <v>291</v>
      </c>
      <c r="U18" s="7">
        <v>1046</v>
      </c>
      <c r="V18" s="7">
        <v>2663</v>
      </c>
      <c r="W18" s="167">
        <v>315</v>
      </c>
      <c r="X18" s="4">
        <v>330</v>
      </c>
      <c r="Y18" s="4">
        <v>173</v>
      </c>
      <c r="Z18" s="4">
        <v>199</v>
      </c>
      <c r="AA18" s="4">
        <v>170</v>
      </c>
      <c r="AB18" s="4">
        <v>187</v>
      </c>
      <c r="AC18" s="4">
        <v>275</v>
      </c>
      <c r="AD18" s="4">
        <v>231</v>
      </c>
      <c r="AE18" s="7">
        <v>1367</v>
      </c>
      <c r="AF18" s="4">
        <v>100</v>
      </c>
      <c r="AG18" s="4">
        <v>75</v>
      </c>
      <c r="AH18" s="10">
        <v>11693</v>
      </c>
    </row>
    <row r="19" spans="1:34" x14ac:dyDescent="0.25">
      <c r="A19" s="172" t="s">
        <v>635</v>
      </c>
      <c r="B19" s="4">
        <v>201</v>
      </c>
      <c r="C19" s="7">
        <v>3934</v>
      </c>
      <c r="D19" s="4">
        <v>277</v>
      </c>
      <c r="E19" s="4">
        <v>21</v>
      </c>
      <c r="F19" s="4">
        <v>149</v>
      </c>
      <c r="G19" s="4">
        <v>367</v>
      </c>
      <c r="H19" s="7">
        <v>1119</v>
      </c>
      <c r="I19" s="4">
        <v>268</v>
      </c>
      <c r="J19" s="7">
        <v>1288</v>
      </c>
      <c r="K19" s="4">
        <v>389</v>
      </c>
      <c r="L19" s="4">
        <v>609</v>
      </c>
      <c r="M19" s="7">
        <v>1039</v>
      </c>
      <c r="N19" s="4">
        <v>128</v>
      </c>
      <c r="O19" s="7">
        <v>12642</v>
      </c>
      <c r="P19" s="4">
        <v>897</v>
      </c>
      <c r="Q19" s="7">
        <v>1214</v>
      </c>
      <c r="R19" s="4">
        <v>160</v>
      </c>
      <c r="S19" s="4"/>
      <c r="T19" s="4">
        <v>177</v>
      </c>
      <c r="U19" s="4">
        <v>333</v>
      </c>
      <c r="V19" s="4">
        <v>254</v>
      </c>
      <c r="W19" s="167">
        <v>201</v>
      </c>
      <c r="X19" s="4">
        <v>173</v>
      </c>
      <c r="Y19" s="4">
        <v>146</v>
      </c>
      <c r="Z19" s="7">
        <v>2015</v>
      </c>
      <c r="AA19" s="4">
        <v>823</v>
      </c>
      <c r="AB19" s="4">
        <v>89</v>
      </c>
      <c r="AC19" s="4">
        <v>193</v>
      </c>
      <c r="AD19" s="4">
        <v>52</v>
      </c>
      <c r="AE19" s="4">
        <v>456</v>
      </c>
      <c r="AF19" s="4">
        <v>34</v>
      </c>
      <c r="AG19" s="4">
        <v>246</v>
      </c>
      <c r="AH19" s="10">
        <v>9669</v>
      </c>
    </row>
    <row r="20" spans="1:34" x14ac:dyDescent="0.25">
      <c r="A20" s="172" t="s">
        <v>636</v>
      </c>
      <c r="B20" s="4">
        <v>484</v>
      </c>
      <c r="C20" s="4">
        <v>853</v>
      </c>
      <c r="D20" s="4">
        <v>147</v>
      </c>
      <c r="E20" s="4">
        <v>141</v>
      </c>
      <c r="F20" s="7">
        <v>6704</v>
      </c>
      <c r="G20" s="4">
        <v>154</v>
      </c>
      <c r="H20" s="7">
        <v>1093</v>
      </c>
      <c r="I20" s="7">
        <v>1980</v>
      </c>
      <c r="J20" s="7">
        <v>4962</v>
      </c>
      <c r="K20" s="7">
        <v>1548</v>
      </c>
      <c r="L20" s="7">
        <v>1176</v>
      </c>
      <c r="M20" s="4">
        <v>613</v>
      </c>
      <c r="N20" s="7">
        <v>2998</v>
      </c>
      <c r="O20" s="7">
        <v>1941</v>
      </c>
      <c r="P20" s="7">
        <v>2174</v>
      </c>
      <c r="Q20" s="4">
        <v>756</v>
      </c>
      <c r="R20" s="4">
        <v>469</v>
      </c>
      <c r="S20" s="4">
        <v>137</v>
      </c>
      <c r="T20" s="4"/>
      <c r="U20" s="7">
        <v>1292</v>
      </c>
      <c r="V20" s="7">
        <v>1100</v>
      </c>
      <c r="W20" s="167">
        <v>845</v>
      </c>
      <c r="X20" s="4">
        <v>372</v>
      </c>
      <c r="Y20" s="7">
        <v>11387</v>
      </c>
      <c r="Z20" s="4">
        <v>910</v>
      </c>
      <c r="AA20" s="4">
        <v>910</v>
      </c>
      <c r="AB20" s="4">
        <v>895</v>
      </c>
      <c r="AC20" s="7">
        <v>9679</v>
      </c>
      <c r="AD20" s="4">
        <v>176</v>
      </c>
      <c r="AE20" s="7">
        <v>8597</v>
      </c>
      <c r="AF20" s="4">
        <v>237</v>
      </c>
      <c r="AG20" s="7">
        <v>1698</v>
      </c>
      <c r="AH20" s="10">
        <v>41252</v>
      </c>
    </row>
    <row r="21" spans="1:34" x14ac:dyDescent="0.25">
      <c r="A21" s="172" t="s">
        <v>637</v>
      </c>
      <c r="B21" s="4">
        <v>86</v>
      </c>
      <c r="C21" s="7">
        <v>2330</v>
      </c>
      <c r="D21" s="4">
        <v>387</v>
      </c>
      <c r="E21" s="4">
        <v>164</v>
      </c>
      <c r="F21" s="4">
        <v>289</v>
      </c>
      <c r="G21" s="4">
        <v>105</v>
      </c>
      <c r="H21" s="7">
        <v>2671</v>
      </c>
      <c r="I21" s="7">
        <v>1286</v>
      </c>
      <c r="J21" s="7">
        <v>8592</v>
      </c>
      <c r="K21" s="4">
        <v>108</v>
      </c>
      <c r="L21" s="4">
        <v>375</v>
      </c>
      <c r="M21" s="7">
        <v>1656</v>
      </c>
      <c r="N21" s="4">
        <v>340</v>
      </c>
      <c r="O21" s="4">
        <v>876</v>
      </c>
      <c r="P21" s="7">
        <v>7530</v>
      </c>
      <c r="Q21" s="4">
        <v>574</v>
      </c>
      <c r="R21" s="4">
        <v>666</v>
      </c>
      <c r="S21" s="4">
        <v>83</v>
      </c>
      <c r="T21" s="4">
        <v>479</v>
      </c>
      <c r="U21" s="4"/>
      <c r="V21" s="7">
        <v>3497</v>
      </c>
      <c r="W21" s="167">
        <v>246</v>
      </c>
      <c r="X21" s="4">
        <v>377</v>
      </c>
      <c r="Y21" s="4">
        <v>154</v>
      </c>
      <c r="Z21" s="4">
        <v>890</v>
      </c>
      <c r="AA21" s="4">
        <v>517</v>
      </c>
      <c r="AB21" s="4">
        <v>591</v>
      </c>
      <c r="AC21" s="4">
        <v>598</v>
      </c>
      <c r="AD21" s="4">
        <v>200</v>
      </c>
      <c r="AE21" s="7">
        <v>6386</v>
      </c>
      <c r="AF21" s="4">
        <v>187</v>
      </c>
      <c r="AG21" s="4">
        <v>78</v>
      </c>
      <c r="AH21" s="10">
        <v>18006</v>
      </c>
    </row>
    <row r="22" spans="1:34" x14ac:dyDescent="0.25">
      <c r="A22" s="172" t="s">
        <v>638</v>
      </c>
      <c r="B22" s="4">
        <v>241</v>
      </c>
      <c r="C22" s="7">
        <v>1529</v>
      </c>
      <c r="D22" s="4">
        <v>223</v>
      </c>
      <c r="E22" s="4">
        <v>258</v>
      </c>
      <c r="F22" s="4">
        <v>374</v>
      </c>
      <c r="G22" s="4">
        <v>116</v>
      </c>
      <c r="H22" s="7">
        <v>1793</v>
      </c>
      <c r="I22" s="4">
        <v>661</v>
      </c>
      <c r="J22" s="7">
        <v>15167</v>
      </c>
      <c r="K22" s="4">
        <v>162</v>
      </c>
      <c r="L22" s="4">
        <v>727</v>
      </c>
      <c r="M22" s="7">
        <v>2124</v>
      </c>
      <c r="N22" s="7">
        <v>2076</v>
      </c>
      <c r="O22" s="7">
        <v>1199</v>
      </c>
      <c r="P22" s="7">
        <v>11199</v>
      </c>
      <c r="Q22" s="4">
        <v>990</v>
      </c>
      <c r="R22" s="7">
        <v>2094</v>
      </c>
      <c r="S22" s="4">
        <v>139</v>
      </c>
      <c r="T22" s="4">
        <v>620</v>
      </c>
      <c r="U22" s="7">
        <v>4988</v>
      </c>
      <c r="V22" s="4"/>
      <c r="W22" s="167">
        <v>609</v>
      </c>
      <c r="X22" s="4">
        <v>612</v>
      </c>
      <c r="Y22" s="4">
        <v>314</v>
      </c>
      <c r="Z22" s="4">
        <v>366</v>
      </c>
      <c r="AA22" s="4">
        <v>407</v>
      </c>
      <c r="AB22" s="7">
        <v>1056</v>
      </c>
      <c r="AC22" s="4">
        <v>760</v>
      </c>
      <c r="AD22" s="7">
        <v>4452</v>
      </c>
      <c r="AE22" s="7">
        <v>11393</v>
      </c>
      <c r="AF22" s="4">
        <v>332</v>
      </c>
      <c r="AG22" s="4">
        <v>130</v>
      </c>
      <c r="AH22" s="10">
        <v>25033</v>
      </c>
    </row>
    <row r="23" spans="1:34" x14ac:dyDescent="0.25">
      <c r="A23" s="173" t="s">
        <v>664</v>
      </c>
      <c r="B23" s="169">
        <v>382</v>
      </c>
      <c r="C23" s="169">
        <v>514</v>
      </c>
      <c r="D23" s="169">
        <v>75</v>
      </c>
      <c r="E23" s="169">
        <v>70</v>
      </c>
      <c r="F23" s="169">
        <v>390</v>
      </c>
      <c r="G23" s="169">
        <v>139</v>
      </c>
      <c r="H23" s="169">
        <v>479</v>
      </c>
      <c r="I23" s="169">
        <v>530</v>
      </c>
      <c r="J23" s="170">
        <v>15107</v>
      </c>
      <c r="K23" s="169">
        <v>240</v>
      </c>
      <c r="L23" s="170">
        <v>5722</v>
      </c>
      <c r="M23" s="169">
        <v>713</v>
      </c>
      <c r="N23" s="170">
        <v>2438</v>
      </c>
      <c r="O23" s="170">
        <v>1606</v>
      </c>
      <c r="P23" s="170">
        <v>9580</v>
      </c>
      <c r="Q23" s="170">
        <v>2257</v>
      </c>
      <c r="R23" s="169">
        <v>651</v>
      </c>
      <c r="S23" s="169">
        <v>135</v>
      </c>
      <c r="T23" s="169">
        <v>753</v>
      </c>
      <c r="U23" s="169">
        <v>530</v>
      </c>
      <c r="V23" s="170">
        <v>1067</v>
      </c>
      <c r="W23" s="169"/>
      <c r="X23" s="169">
        <v>339</v>
      </c>
      <c r="Y23" s="170">
        <v>1153</v>
      </c>
      <c r="Z23" s="169">
        <v>325</v>
      </c>
      <c r="AA23" s="169">
        <v>220</v>
      </c>
      <c r="AB23" s="169">
        <v>235</v>
      </c>
      <c r="AC23" s="169">
        <v>711</v>
      </c>
      <c r="AD23" s="169">
        <v>329</v>
      </c>
      <c r="AE23" s="170">
        <v>1633</v>
      </c>
      <c r="AF23" s="169">
        <v>178</v>
      </c>
      <c r="AG23" s="169">
        <v>237</v>
      </c>
      <c r="AH23" s="171">
        <v>8763</v>
      </c>
    </row>
    <row r="24" spans="1:34" x14ac:dyDescent="0.25">
      <c r="A24" s="172" t="s">
        <v>640</v>
      </c>
      <c r="B24" s="4">
        <v>184</v>
      </c>
      <c r="C24" s="4">
        <v>491</v>
      </c>
      <c r="D24" s="4">
        <v>189</v>
      </c>
      <c r="E24" s="7">
        <v>3894</v>
      </c>
      <c r="F24" s="4">
        <v>328</v>
      </c>
      <c r="G24" s="4">
        <v>122</v>
      </c>
      <c r="H24" s="7">
        <v>10060</v>
      </c>
      <c r="I24" s="4">
        <v>428</v>
      </c>
      <c r="J24" s="7">
        <v>9472</v>
      </c>
      <c r="K24" s="4">
        <v>231</v>
      </c>
      <c r="L24" s="4">
        <v>531</v>
      </c>
      <c r="M24" s="7">
        <v>1610</v>
      </c>
      <c r="N24" s="4">
        <v>440</v>
      </c>
      <c r="O24" s="7">
        <v>1510</v>
      </c>
      <c r="P24" s="7">
        <v>3209</v>
      </c>
      <c r="Q24" s="4">
        <v>554</v>
      </c>
      <c r="R24" s="4">
        <v>779</v>
      </c>
      <c r="S24" s="4">
        <v>95</v>
      </c>
      <c r="T24" s="4">
        <v>710</v>
      </c>
      <c r="U24" s="7">
        <v>1279</v>
      </c>
      <c r="V24" s="7">
        <v>1963</v>
      </c>
      <c r="W24" s="167">
        <v>380</v>
      </c>
      <c r="X24" s="4"/>
      <c r="Y24" s="4">
        <v>275</v>
      </c>
      <c r="Z24" s="4">
        <v>214</v>
      </c>
      <c r="AA24" s="4">
        <v>213</v>
      </c>
      <c r="AB24" s="7">
        <v>10188</v>
      </c>
      <c r="AC24" s="4">
        <v>526</v>
      </c>
      <c r="AD24" s="4">
        <v>327</v>
      </c>
      <c r="AE24" s="7">
        <v>8785</v>
      </c>
      <c r="AF24" s="7">
        <v>11077</v>
      </c>
      <c r="AG24" s="4">
        <v>73</v>
      </c>
      <c r="AH24" s="10">
        <v>12785</v>
      </c>
    </row>
    <row r="25" spans="1:34" x14ac:dyDescent="0.25">
      <c r="A25" s="172" t="s">
        <v>641</v>
      </c>
      <c r="B25" s="4">
        <v>670</v>
      </c>
      <c r="C25" s="4">
        <v>299</v>
      </c>
      <c r="D25" s="4">
        <v>68</v>
      </c>
      <c r="E25" s="4">
        <v>185</v>
      </c>
      <c r="F25" s="4">
        <v>809</v>
      </c>
      <c r="G25" s="4">
        <v>80</v>
      </c>
      <c r="H25" s="4">
        <v>150</v>
      </c>
      <c r="I25" s="4">
        <v>437</v>
      </c>
      <c r="J25" s="7">
        <v>3222</v>
      </c>
      <c r="K25" s="4">
        <v>294</v>
      </c>
      <c r="L25" s="7">
        <v>1956</v>
      </c>
      <c r="M25" s="4">
        <v>333</v>
      </c>
      <c r="N25" s="4">
        <v>762</v>
      </c>
      <c r="O25" s="7">
        <v>1392</v>
      </c>
      <c r="P25" s="7">
        <v>2208</v>
      </c>
      <c r="Q25" s="4">
        <v>512</v>
      </c>
      <c r="R25" s="4">
        <v>174</v>
      </c>
      <c r="S25" s="4">
        <v>101</v>
      </c>
      <c r="T25" s="7">
        <v>4952</v>
      </c>
      <c r="U25" s="4">
        <v>280</v>
      </c>
      <c r="V25" s="4">
        <v>452</v>
      </c>
      <c r="W25" s="167">
        <v>927</v>
      </c>
      <c r="X25" s="4">
        <v>77</v>
      </c>
      <c r="Y25" s="4"/>
      <c r="Z25" s="4">
        <v>230</v>
      </c>
      <c r="AA25" s="4">
        <v>222</v>
      </c>
      <c r="AB25" s="4">
        <v>134</v>
      </c>
      <c r="AC25" s="7">
        <v>4832</v>
      </c>
      <c r="AD25" s="4">
        <v>113</v>
      </c>
      <c r="AE25" s="7">
        <v>1325</v>
      </c>
      <c r="AF25" s="4">
        <v>60</v>
      </c>
      <c r="AG25" s="7">
        <v>1379</v>
      </c>
      <c r="AH25" s="10">
        <v>12106</v>
      </c>
    </row>
    <row r="26" spans="1:34" x14ac:dyDescent="0.25">
      <c r="A26" s="172" t="s">
        <v>642</v>
      </c>
      <c r="B26" s="4">
        <v>123</v>
      </c>
      <c r="C26" s="7">
        <v>10614</v>
      </c>
      <c r="D26" s="7">
        <v>1104</v>
      </c>
      <c r="E26" s="4">
        <v>53</v>
      </c>
      <c r="F26" s="4">
        <v>369</v>
      </c>
      <c r="G26" s="4">
        <v>180</v>
      </c>
      <c r="H26" s="4">
        <v>518</v>
      </c>
      <c r="I26" s="7">
        <v>1995</v>
      </c>
      <c r="J26" s="7">
        <v>1350</v>
      </c>
      <c r="K26" s="7">
        <v>2342</v>
      </c>
      <c r="L26" s="4">
        <v>508</v>
      </c>
      <c r="M26" s="7">
        <v>1532</v>
      </c>
      <c r="N26" s="4">
        <v>130</v>
      </c>
      <c r="O26" s="7">
        <v>2635</v>
      </c>
      <c r="P26" s="4">
        <v>618</v>
      </c>
      <c r="Q26" s="4">
        <v>549</v>
      </c>
      <c r="R26" s="4">
        <v>153</v>
      </c>
      <c r="S26" s="7">
        <v>1380</v>
      </c>
      <c r="T26" s="4">
        <v>466</v>
      </c>
      <c r="U26" s="4">
        <v>725</v>
      </c>
      <c r="V26" s="4">
        <v>307</v>
      </c>
      <c r="W26" s="167">
        <v>158</v>
      </c>
      <c r="X26" s="4">
        <v>119</v>
      </c>
      <c r="Y26" s="4">
        <v>163</v>
      </c>
      <c r="Z26" s="4"/>
      <c r="AA26" s="7">
        <v>5297</v>
      </c>
      <c r="AB26" s="4">
        <v>123</v>
      </c>
      <c r="AC26" s="4">
        <v>259</v>
      </c>
      <c r="AD26" s="4">
        <v>79</v>
      </c>
      <c r="AE26" s="4">
        <v>988</v>
      </c>
      <c r="AF26" s="4">
        <v>69</v>
      </c>
      <c r="AG26" s="4">
        <v>217</v>
      </c>
      <c r="AH26" s="10">
        <v>15837</v>
      </c>
    </row>
    <row r="27" spans="1:34" x14ac:dyDescent="0.25">
      <c r="A27" s="172" t="s">
        <v>643</v>
      </c>
      <c r="B27" s="4">
        <v>164</v>
      </c>
      <c r="C27" s="7">
        <v>7576</v>
      </c>
      <c r="D27" s="4">
        <v>562</v>
      </c>
      <c r="E27" s="4">
        <v>45</v>
      </c>
      <c r="F27" s="4">
        <v>441</v>
      </c>
      <c r="G27" s="4">
        <v>197</v>
      </c>
      <c r="H27" s="4">
        <v>983</v>
      </c>
      <c r="I27" s="7">
        <v>2884</v>
      </c>
      <c r="J27" s="7">
        <v>1674</v>
      </c>
      <c r="K27" s="4">
        <v>601</v>
      </c>
      <c r="L27" s="4">
        <v>588</v>
      </c>
      <c r="M27" s="7">
        <v>1139</v>
      </c>
      <c r="N27" s="4">
        <v>164</v>
      </c>
      <c r="O27" s="7">
        <v>1903</v>
      </c>
      <c r="P27" s="4">
        <v>779</v>
      </c>
      <c r="Q27" s="4">
        <v>891</v>
      </c>
      <c r="R27" s="4">
        <v>220</v>
      </c>
      <c r="S27" s="4">
        <v>833</v>
      </c>
      <c r="T27" s="4">
        <v>623</v>
      </c>
      <c r="U27" s="7">
        <v>1122</v>
      </c>
      <c r="V27" s="4">
        <v>565</v>
      </c>
      <c r="W27" s="167">
        <v>118</v>
      </c>
      <c r="X27" s="4">
        <v>104</v>
      </c>
      <c r="Y27" s="4">
        <v>189</v>
      </c>
      <c r="Z27" s="7">
        <v>9338</v>
      </c>
      <c r="AA27" s="4"/>
      <c r="AB27" s="4">
        <v>262</v>
      </c>
      <c r="AC27" s="4">
        <v>290</v>
      </c>
      <c r="AD27" s="4">
        <v>87</v>
      </c>
      <c r="AE27" s="7">
        <v>1258</v>
      </c>
      <c r="AF27" s="4">
        <v>89</v>
      </c>
      <c r="AG27" s="4">
        <v>255</v>
      </c>
      <c r="AH27" s="10">
        <v>21656</v>
      </c>
    </row>
    <row r="28" spans="1:34" x14ac:dyDescent="0.25">
      <c r="A28" s="172" t="s">
        <v>644</v>
      </c>
      <c r="B28" s="4">
        <v>24</v>
      </c>
      <c r="C28" s="4">
        <v>336</v>
      </c>
      <c r="D28" s="4">
        <v>30</v>
      </c>
      <c r="E28" s="7">
        <v>1762</v>
      </c>
      <c r="F28" s="4">
        <v>228</v>
      </c>
      <c r="G28" s="4">
        <v>41</v>
      </c>
      <c r="H28" s="7">
        <v>4372</v>
      </c>
      <c r="I28" s="4">
        <v>341</v>
      </c>
      <c r="J28" s="7">
        <v>1383</v>
      </c>
      <c r="K28" s="4">
        <v>32</v>
      </c>
      <c r="L28" s="4">
        <v>153</v>
      </c>
      <c r="M28" s="4">
        <v>179</v>
      </c>
      <c r="N28" s="4">
        <v>146</v>
      </c>
      <c r="O28" s="4">
        <v>333</v>
      </c>
      <c r="P28" s="4">
        <v>642</v>
      </c>
      <c r="Q28" s="4">
        <v>195</v>
      </c>
      <c r="R28" s="4">
        <v>112</v>
      </c>
      <c r="S28" s="4">
        <v>30</v>
      </c>
      <c r="T28" s="4">
        <v>322</v>
      </c>
      <c r="U28" s="4">
        <v>519</v>
      </c>
      <c r="V28" s="4">
        <v>775</v>
      </c>
      <c r="W28" s="167">
        <v>92</v>
      </c>
      <c r="X28" s="7">
        <v>1765</v>
      </c>
      <c r="Y28" s="4">
        <v>68</v>
      </c>
      <c r="Z28" s="4">
        <v>127</v>
      </c>
      <c r="AA28" s="4">
        <v>123</v>
      </c>
      <c r="AB28" s="4"/>
      <c r="AC28" s="4">
        <v>778</v>
      </c>
      <c r="AD28" s="4">
        <v>61</v>
      </c>
      <c r="AE28" s="7">
        <v>3464</v>
      </c>
      <c r="AF28" s="4">
        <v>567</v>
      </c>
      <c r="AG28" s="4">
        <v>32</v>
      </c>
      <c r="AH28" s="10">
        <v>6803</v>
      </c>
    </row>
    <row r="29" spans="1:34" x14ac:dyDescent="0.25">
      <c r="A29" s="172" t="s">
        <v>645</v>
      </c>
      <c r="B29" s="4">
        <v>201</v>
      </c>
      <c r="C29" s="4">
        <v>398</v>
      </c>
      <c r="D29" s="4">
        <v>52</v>
      </c>
      <c r="E29" s="4">
        <v>366</v>
      </c>
      <c r="F29" s="7">
        <v>2051</v>
      </c>
      <c r="G29" s="4">
        <v>116</v>
      </c>
      <c r="H29" s="7">
        <v>1290</v>
      </c>
      <c r="I29" s="4">
        <v>628</v>
      </c>
      <c r="J29" s="7">
        <v>3143</v>
      </c>
      <c r="K29" s="4">
        <v>557</v>
      </c>
      <c r="L29" s="7">
        <v>1204</v>
      </c>
      <c r="M29" s="4">
        <v>557</v>
      </c>
      <c r="N29" s="4">
        <v>983</v>
      </c>
      <c r="O29" s="4">
        <v>977</v>
      </c>
      <c r="P29" s="7">
        <v>1408</v>
      </c>
      <c r="Q29" s="4">
        <v>642</v>
      </c>
      <c r="R29" s="4">
        <v>267</v>
      </c>
      <c r="S29" s="4">
        <v>76</v>
      </c>
      <c r="T29" s="7">
        <v>5881</v>
      </c>
      <c r="U29" s="4">
        <v>868</v>
      </c>
      <c r="V29" s="7">
        <v>1121</v>
      </c>
      <c r="W29" s="167">
        <v>455</v>
      </c>
      <c r="X29" s="4">
        <v>227</v>
      </c>
      <c r="Y29" s="7">
        <v>5908</v>
      </c>
      <c r="Z29" s="4">
        <v>273</v>
      </c>
      <c r="AA29" s="4">
        <v>276</v>
      </c>
      <c r="AB29" s="7">
        <v>1174</v>
      </c>
      <c r="AC29" s="4"/>
      <c r="AD29" s="4">
        <v>117</v>
      </c>
      <c r="AE29" s="7">
        <v>21972</v>
      </c>
      <c r="AF29" s="4">
        <v>94</v>
      </c>
      <c r="AG29" s="4">
        <v>359</v>
      </c>
      <c r="AH29" s="10">
        <v>31428</v>
      </c>
    </row>
    <row r="30" spans="1:34" x14ac:dyDescent="0.25">
      <c r="A30" s="172" t="s">
        <v>646</v>
      </c>
      <c r="B30" s="4">
        <v>81</v>
      </c>
      <c r="C30" s="4">
        <v>332</v>
      </c>
      <c r="D30" s="4">
        <v>34</v>
      </c>
      <c r="E30" s="4">
        <v>57</v>
      </c>
      <c r="F30" s="4">
        <v>75</v>
      </c>
      <c r="G30" s="4">
        <v>18</v>
      </c>
      <c r="H30" s="4">
        <v>241</v>
      </c>
      <c r="I30" s="4">
        <v>145</v>
      </c>
      <c r="J30" s="7">
        <v>4023</v>
      </c>
      <c r="K30" s="4">
        <v>39</v>
      </c>
      <c r="L30" s="4">
        <v>244</v>
      </c>
      <c r="M30" s="4">
        <v>256</v>
      </c>
      <c r="N30" s="4">
        <v>729</v>
      </c>
      <c r="O30" s="4">
        <v>264</v>
      </c>
      <c r="P30" s="7">
        <v>3318</v>
      </c>
      <c r="Q30" s="4">
        <v>197</v>
      </c>
      <c r="R30" s="4">
        <v>279</v>
      </c>
      <c r="S30" s="4">
        <v>17</v>
      </c>
      <c r="T30" s="4">
        <v>105</v>
      </c>
      <c r="U30" s="4">
        <v>382</v>
      </c>
      <c r="V30" s="7">
        <v>6863</v>
      </c>
      <c r="W30" s="167">
        <v>153</v>
      </c>
      <c r="X30" s="4">
        <v>137</v>
      </c>
      <c r="Y30" s="4">
        <v>81</v>
      </c>
      <c r="Z30" s="4">
        <v>74</v>
      </c>
      <c r="AA30" s="4">
        <v>84</v>
      </c>
      <c r="AB30" s="4">
        <v>161</v>
      </c>
      <c r="AC30" s="4">
        <v>137</v>
      </c>
      <c r="AD30" s="4"/>
      <c r="AE30" s="7">
        <v>1337</v>
      </c>
      <c r="AF30" s="4">
        <v>40</v>
      </c>
      <c r="AG30" s="4">
        <v>50</v>
      </c>
      <c r="AH30" s="10">
        <v>4201</v>
      </c>
    </row>
    <row r="31" spans="1:34" x14ac:dyDescent="0.25">
      <c r="A31" s="172" t="s">
        <v>650</v>
      </c>
      <c r="B31" s="4">
        <v>306</v>
      </c>
      <c r="C31" s="7">
        <v>3492</v>
      </c>
      <c r="D31" s="4">
        <v>413</v>
      </c>
      <c r="E31" s="7">
        <v>1526</v>
      </c>
      <c r="F31" s="7">
        <v>1846</v>
      </c>
      <c r="G31" s="4">
        <v>376</v>
      </c>
      <c r="H31" s="7">
        <v>3207</v>
      </c>
      <c r="I31" s="7">
        <v>6404</v>
      </c>
      <c r="J31" s="7">
        <v>15650</v>
      </c>
      <c r="K31" s="4">
        <v>381</v>
      </c>
      <c r="L31" s="7">
        <v>1138</v>
      </c>
      <c r="M31" s="7">
        <v>1263</v>
      </c>
      <c r="N31" s="7">
        <v>2233</v>
      </c>
      <c r="O31" s="7">
        <v>2086</v>
      </c>
      <c r="P31" s="7">
        <v>10728</v>
      </c>
      <c r="Q31" s="7">
        <v>1261</v>
      </c>
      <c r="R31" s="4">
        <v>987</v>
      </c>
      <c r="S31" s="4">
        <v>189</v>
      </c>
      <c r="T31" s="7">
        <v>3142</v>
      </c>
      <c r="U31" s="7">
        <v>7542</v>
      </c>
      <c r="V31" s="7">
        <v>10387</v>
      </c>
      <c r="W31" s="167">
        <v>855</v>
      </c>
      <c r="X31" s="7">
        <v>2540</v>
      </c>
      <c r="Y31" s="7">
        <v>1113</v>
      </c>
      <c r="Z31" s="7">
        <v>1198</v>
      </c>
      <c r="AA31" s="4">
        <v>862</v>
      </c>
      <c r="AB31" s="7">
        <v>4566</v>
      </c>
      <c r="AC31" s="7">
        <v>13960</v>
      </c>
      <c r="AD31" s="4">
        <v>841</v>
      </c>
      <c r="AE31" s="4"/>
      <c r="AF31" s="4">
        <v>723</v>
      </c>
      <c r="AG31" s="4">
        <v>223</v>
      </c>
      <c r="AH31" s="10">
        <v>29108</v>
      </c>
    </row>
    <row r="32" spans="1:34" x14ac:dyDescent="0.25">
      <c r="A32" s="172" t="s">
        <v>647</v>
      </c>
      <c r="B32" s="4">
        <v>78</v>
      </c>
      <c r="C32" s="4">
        <v>224</v>
      </c>
      <c r="D32" s="4">
        <v>41</v>
      </c>
      <c r="E32" s="7">
        <v>3315</v>
      </c>
      <c r="F32" s="4">
        <v>134</v>
      </c>
      <c r="G32" s="4">
        <v>43</v>
      </c>
      <c r="H32" s="7">
        <v>1284</v>
      </c>
      <c r="I32" s="4">
        <v>172</v>
      </c>
      <c r="J32" s="7">
        <v>3169</v>
      </c>
      <c r="K32" s="4">
        <v>48</v>
      </c>
      <c r="L32" s="4">
        <v>229</v>
      </c>
      <c r="M32" s="4">
        <v>177</v>
      </c>
      <c r="N32" s="4">
        <v>140</v>
      </c>
      <c r="O32" s="4">
        <v>418</v>
      </c>
      <c r="P32" s="4">
        <v>899</v>
      </c>
      <c r="Q32" s="4">
        <v>191</v>
      </c>
      <c r="R32" s="4">
        <v>190</v>
      </c>
      <c r="S32" s="4">
        <v>16</v>
      </c>
      <c r="T32" s="4">
        <v>312</v>
      </c>
      <c r="U32" s="4">
        <v>379</v>
      </c>
      <c r="V32" s="4">
        <v>439</v>
      </c>
      <c r="W32" s="167">
        <v>113</v>
      </c>
      <c r="X32" s="7">
        <v>8036</v>
      </c>
      <c r="Y32" s="4">
        <v>112</v>
      </c>
      <c r="Z32" s="4">
        <v>100</v>
      </c>
      <c r="AA32" s="4">
        <v>134</v>
      </c>
      <c r="AB32" s="7">
        <v>2370</v>
      </c>
      <c r="AC32" s="4">
        <v>209</v>
      </c>
      <c r="AD32" s="4">
        <v>32</v>
      </c>
      <c r="AE32" s="7">
        <v>1555</v>
      </c>
      <c r="AF32" s="4"/>
      <c r="AG32" s="4">
        <v>24</v>
      </c>
      <c r="AH32" s="10">
        <v>7785</v>
      </c>
    </row>
    <row r="33" spans="1:34" x14ac:dyDescent="0.25">
      <c r="A33" s="172" t="s">
        <v>648</v>
      </c>
      <c r="B33" s="7">
        <v>1758</v>
      </c>
      <c r="C33" s="4">
        <v>463</v>
      </c>
      <c r="D33" s="4">
        <v>49</v>
      </c>
      <c r="E33" s="4">
        <v>16</v>
      </c>
      <c r="F33" s="7">
        <v>1235</v>
      </c>
      <c r="G33" s="4">
        <v>77</v>
      </c>
      <c r="H33" s="4">
        <v>76</v>
      </c>
      <c r="I33" s="7">
        <v>1507</v>
      </c>
      <c r="J33" s="7">
        <v>1112</v>
      </c>
      <c r="K33" s="7">
        <v>1136</v>
      </c>
      <c r="L33" s="4">
        <v>503</v>
      </c>
      <c r="M33" s="4">
        <v>326</v>
      </c>
      <c r="N33" s="4">
        <v>114</v>
      </c>
      <c r="O33" s="7">
        <v>2771</v>
      </c>
      <c r="P33" s="4">
        <v>552</v>
      </c>
      <c r="Q33" s="4">
        <v>255</v>
      </c>
      <c r="R33" s="4">
        <v>53</v>
      </c>
      <c r="S33" s="4">
        <v>183</v>
      </c>
      <c r="T33" s="4">
        <v>764</v>
      </c>
      <c r="U33" s="4">
        <v>119</v>
      </c>
      <c r="V33" s="4">
        <v>135</v>
      </c>
      <c r="W33" s="167">
        <v>118</v>
      </c>
      <c r="X33" s="4">
        <v>39</v>
      </c>
      <c r="Y33" s="4">
        <v>963</v>
      </c>
      <c r="Z33" s="4">
        <v>244</v>
      </c>
      <c r="AA33" s="4">
        <v>165</v>
      </c>
      <c r="AB33" s="4">
        <v>55</v>
      </c>
      <c r="AC33" s="4">
        <v>287</v>
      </c>
      <c r="AD33" s="4">
        <v>25</v>
      </c>
      <c r="AE33" s="4">
        <v>197</v>
      </c>
      <c r="AF33" s="4">
        <v>10</v>
      </c>
      <c r="AG33" s="4"/>
      <c r="AH33" s="10">
        <v>12707</v>
      </c>
    </row>
    <row r="34" spans="1:34" x14ac:dyDescent="0.25">
      <c r="A34" s="172"/>
      <c r="B34" s="7"/>
      <c r="C34" s="4"/>
      <c r="D34" s="4"/>
      <c r="E34" s="4"/>
      <c r="F34" s="7"/>
      <c r="G34" s="4"/>
      <c r="H34" s="4"/>
      <c r="I34" s="7"/>
      <c r="J34" s="7"/>
      <c r="K34" s="7"/>
      <c r="L34" s="4"/>
      <c r="M34" s="4"/>
      <c r="N34" s="4"/>
      <c r="O34" s="7"/>
      <c r="P34" s="4"/>
      <c r="Q34" s="4"/>
      <c r="R34" s="4"/>
      <c r="S34" s="4"/>
      <c r="T34" s="4"/>
      <c r="U34" s="4"/>
      <c r="V34" s="4"/>
      <c r="W34" s="167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10"/>
    </row>
    <row r="35" spans="1:34" x14ac:dyDescent="0.25">
      <c r="A35" s="172"/>
      <c r="B35" s="7"/>
      <c r="C35" s="4"/>
      <c r="D35" s="4"/>
      <c r="E35" s="4"/>
      <c r="F35" s="7"/>
      <c r="G35" s="4"/>
      <c r="H35" s="4"/>
      <c r="I35" s="7"/>
      <c r="J35" s="7"/>
      <c r="K35" s="7"/>
      <c r="L35" s="4"/>
      <c r="M35" s="4"/>
      <c r="N35" s="4"/>
      <c r="O35" s="7"/>
      <c r="P35" s="4"/>
      <c r="Q35" s="4"/>
      <c r="R35" s="4"/>
      <c r="S35" s="4"/>
      <c r="T35" s="4"/>
      <c r="U35" s="4"/>
      <c r="V35" s="4"/>
      <c r="W35" s="167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10"/>
    </row>
    <row r="36" spans="1:34" x14ac:dyDescent="0.25">
      <c r="A36" s="223" t="s">
        <v>674</v>
      </c>
      <c r="B36" s="223"/>
      <c r="C36" s="223"/>
      <c r="D36" s="223"/>
      <c r="E36" s="223"/>
      <c r="F36" s="223"/>
      <c r="I36" s="83" t="s">
        <v>673</v>
      </c>
    </row>
    <row r="37" spans="1:34" ht="17.25" x14ac:dyDescent="0.25">
      <c r="A37" s="177" t="s">
        <v>653</v>
      </c>
      <c r="B37" s="16">
        <f>SUM(W2:W33)</f>
        <v>20841</v>
      </c>
      <c r="D37" s="228" t="s">
        <v>666</v>
      </c>
      <c r="E37" s="228"/>
      <c r="F37" s="228"/>
      <c r="J37" s="16" t="s">
        <v>672</v>
      </c>
      <c r="K37" s="16">
        <f>SUM('Tasas de crecimiento'!W11:W28)</f>
        <v>0.7273262565088825</v>
      </c>
    </row>
    <row r="38" spans="1:34" ht="17.25" x14ac:dyDescent="0.25">
      <c r="A38" s="21" t="s">
        <v>654</v>
      </c>
      <c r="B38" s="16">
        <f>SUM(B23:AG23)</f>
        <v>48738</v>
      </c>
      <c r="D38" s="227" t="s">
        <v>656</v>
      </c>
      <c r="E38" s="227"/>
      <c r="F38" s="16">
        <f>(B39/SUM('Prospectivo y Retrospectivo'!O26:O43))*1000</f>
        <v>61.016463547276331</v>
      </c>
      <c r="J38" s="16" t="s">
        <v>668</v>
      </c>
      <c r="K38" s="16">
        <f>('Tasas de fecundidad.'!F8+'Tasas de fecundidad.'!M8)/2</f>
        <v>23.069724380041237</v>
      </c>
      <c r="M38" s="179"/>
      <c r="N38" s="179"/>
      <c r="O38" s="175"/>
    </row>
    <row r="39" spans="1:34" ht="17.25" x14ac:dyDescent="0.25">
      <c r="A39" s="177" t="s">
        <v>655</v>
      </c>
      <c r="B39" s="16">
        <f>SUM(B23:AH23)</f>
        <v>57501</v>
      </c>
      <c r="D39" s="229" t="s">
        <v>657</v>
      </c>
      <c r="E39" s="230"/>
      <c r="F39" s="16">
        <f>(B38/SUM('Prospectivo y Retrospectivo'!O26:O43))*1000</f>
        <v>51.717716220016236</v>
      </c>
      <c r="J39" s="16" t="s">
        <v>669</v>
      </c>
      <c r="K39" s="93">
        <f>('TBM y TTM'!C26+'TBM y TTM'!F26)/2</f>
        <v>4.82344662163257</v>
      </c>
    </row>
    <row r="40" spans="1:34" ht="17.25" x14ac:dyDescent="0.25">
      <c r="D40" s="227" t="s">
        <v>659</v>
      </c>
      <c r="E40" s="227"/>
      <c r="F40" s="16">
        <f>(B37/SUM('Prospectivo y Retrospectivo'!O26:O43))*1000</f>
        <v>22.115165245626788</v>
      </c>
      <c r="J40" s="16" t="s">
        <v>670</v>
      </c>
      <c r="K40" s="16">
        <f>F38</f>
        <v>61.016463547276331</v>
      </c>
    </row>
    <row r="41" spans="1:34" ht="17.25" x14ac:dyDescent="0.25">
      <c r="D41" s="199" t="s">
        <v>661</v>
      </c>
      <c r="E41" s="199"/>
      <c r="F41" s="16">
        <f>((B37+B38)/SUM('Prospectivo y Retrospectivo'!O26:O43))*1000</f>
        <v>73.832881465643027</v>
      </c>
      <c r="J41" s="16" t="s">
        <v>671</v>
      </c>
      <c r="K41" s="93">
        <f>(K38-K39) - K37+K40</f>
        <v>78.535415049176123</v>
      </c>
    </row>
    <row r="42" spans="1:34" x14ac:dyDescent="0.25">
      <c r="C42" s="178"/>
      <c r="D42" s="227" t="s">
        <v>662</v>
      </c>
      <c r="E42" s="227"/>
      <c r="F42" s="16">
        <f>((B38-B37)/SUM('Prospectivo y Retrospectivo'!O26:O43))*1000</f>
        <v>29.602550974389448</v>
      </c>
    </row>
    <row r="43" spans="1:34" x14ac:dyDescent="0.25">
      <c r="J43" s="177" t="s">
        <v>675</v>
      </c>
      <c r="K43" s="100">
        <f>(K41*(SUM('Prospectivo y Retrospectivo'!O26:O43)))/1000</f>
        <v>74010.597111117837</v>
      </c>
    </row>
  </sheetData>
  <mergeCells count="8">
    <mergeCell ref="M38:N38"/>
    <mergeCell ref="D42:E42"/>
    <mergeCell ref="A36:F36"/>
    <mergeCell ref="D37:F37"/>
    <mergeCell ref="D38:E38"/>
    <mergeCell ref="D39:E39"/>
    <mergeCell ref="D40:E40"/>
    <mergeCell ref="D41:E4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F090-EDC7-46DC-8E13-C0EB9298D1AC}">
  <dimension ref="B2:W43"/>
  <sheetViews>
    <sheetView tabSelected="1" zoomScale="80" workbookViewId="0">
      <selection activeCell="G43" sqref="G43:K43"/>
    </sheetView>
  </sheetViews>
  <sheetFormatPr baseColWidth="10" defaultRowHeight="15" x14ac:dyDescent="0.25"/>
  <cols>
    <col min="2" max="2" width="15.140625" customWidth="1"/>
    <col min="14" max="14" width="16.5703125" customWidth="1"/>
  </cols>
  <sheetData>
    <row r="2" spans="2:23" x14ac:dyDescent="0.25">
      <c r="B2" s="204" t="s">
        <v>614</v>
      </c>
      <c r="C2" s="205"/>
      <c r="D2" s="205"/>
      <c r="E2" s="205"/>
      <c r="F2" s="205"/>
      <c r="G2" s="205"/>
      <c r="H2" s="205"/>
      <c r="I2" s="205"/>
      <c r="J2" s="205"/>
      <c r="K2" s="205"/>
      <c r="L2" s="153"/>
      <c r="N2" s="202" t="s">
        <v>616</v>
      </c>
      <c r="O2" s="203"/>
      <c r="P2" s="203"/>
      <c r="Q2" s="203"/>
      <c r="R2" s="203"/>
      <c r="S2" s="203"/>
      <c r="T2" s="203"/>
      <c r="U2" s="203"/>
      <c r="V2" s="203"/>
      <c r="W2" s="203"/>
    </row>
    <row r="3" spans="2:23" ht="17.25" x14ac:dyDescent="0.25">
      <c r="B3" s="176" t="s">
        <v>256</v>
      </c>
      <c r="C3" s="176" t="s">
        <v>606</v>
      </c>
      <c r="D3" s="176" t="s">
        <v>607</v>
      </c>
      <c r="E3" s="176" t="s">
        <v>608</v>
      </c>
      <c r="F3" s="176" t="s">
        <v>609</v>
      </c>
      <c r="G3" s="176" t="s">
        <v>610</v>
      </c>
      <c r="H3" s="176" t="s">
        <v>611</v>
      </c>
      <c r="I3" s="176" t="s">
        <v>612</v>
      </c>
      <c r="J3" s="217" t="s">
        <v>613</v>
      </c>
      <c r="K3" s="219"/>
      <c r="L3" s="156"/>
      <c r="N3" s="154" t="s">
        <v>256</v>
      </c>
      <c r="O3" s="154" t="s">
        <v>606</v>
      </c>
      <c r="P3" s="154" t="s">
        <v>607</v>
      </c>
      <c r="Q3" s="154" t="s">
        <v>608</v>
      </c>
      <c r="R3" s="154" t="s">
        <v>609</v>
      </c>
      <c r="S3" s="154" t="s">
        <v>610</v>
      </c>
      <c r="T3" s="154" t="s">
        <v>611</v>
      </c>
      <c r="U3" s="154" t="s">
        <v>612</v>
      </c>
      <c r="V3" s="216" t="s">
        <v>613</v>
      </c>
      <c r="W3" s="216"/>
    </row>
    <row r="4" spans="2:23" x14ac:dyDescent="0.25">
      <c r="B4" s="155" t="s">
        <v>605</v>
      </c>
      <c r="C4" s="16">
        <f>'Tabla de mortalidad'!C5+'Tabla de mortalidad'!C6</f>
        <v>84816</v>
      </c>
      <c r="D4" s="16">
        <f>'Tabla de mortalidad'!J5+'Tabla de mortalidad'!J6</f>
        <v>492255</v>
      </c>
      <c r="E4" s="16">
        <f>'Tabla de mortalidad'!J44+'Tabla de mortalidad'!J45</f>
        <v>492875</v>
      </c>
      <c r="F4" s="16">
        <f>(E4+D4)*0.5</f>
        <v>492565</v>
      </c>
      <c r="G4" s="16">
        <f>F5/F4</f>
        <v>0.9983210337721925</v>
      </c>
      <c r="H4" s="16"/>
      <c r="I4" s="16"/>
      <c r="J4" s="16"/>
      <c r="K4" s="16"/>
      <c r="L4" s="51"/>
      <c r="N4" s="155" t="s">
        <v>605</v>
      </c>
      <c r="O4" s="16">
        <f>'Tabla de mortalidad'!O5+'Tabla de mortalidad'!O6</f>
        <v>81872</v>
      </c>
      <c r="P4" s="16">
        <f>'Tabla de mortalidad'!V5+'Tabla de mortalidad'!V6</f>
        <v>493394</v>
      </c>
      <c r="Q4" s="16">
        <f>'Tabla de mortalidad'!V44+'Tabla de mortalidad'!V45</f>
        <v>493674</v>
      </c>
      <c r="R4" s="16">
        <f>(Q4+P4)*0.5</f>
        <v>493534</v>
      </c>
      <c r="S4" s="16">
        <f>R5/R4</f>
        <v>0.99846211203280832</v>
      </c>
      <c r="T4" s="16"/>
      <c r="U4" s="16"/>
      <c r="V4" s="16"/>
      <c r="W4" s="16"/>
    </row>
    <row r="5" spans="2:23" x14ac:dyDescent="0.25">
      <c r="B5" s="155" t="s">
        <v>513</v>
      </c>
      <c r="C5" s="16">
        <f>'Tabla de mortalidad'!C7</f>
        <v>87978</v>
      </c>
      <c r="D5" s="16">
        <f>'Tabla de mortalidad'!J7</f>
        <v>491378</v>
      </c>
      <c r="E5" s="16">
        <f>'Tabla de mortalidad'!J46</f>
        <v>492098</v>
      </c>
      <c r="F5" s="16">
        <f t="shared" ref="F5:F21" si="0">(E5+D5)*0.5</f>
        <v>491738</v>
      </c>
      <c r="G5" s="16">
        <f>F6/F5</f>
        <v>0.99828363884832982</v>
      </c>
      <c r="H5" s="16">
        <f>ROUND(C4*G4,0)</f>
        <v>84674</v>
      </c>
      <c r="I5" s="16">
        <f>'Tabla de mortalidad'!C46</f>
        <v>93976</v>
      </c>
      <c r="J5" s="16">
        <f>I5-H5</f>
        <v>9302</v>
      </c>
      <c r="K5" s="16" t="str">
        <f>IF(J5&gt;0,"Inmigración","Emigración")</f>
        <v>Inmigración</v>
      </c>
      <c r="L5" s="51"/>
      <c r="N5" s="155" t="s">
        <v>513</v>
      </c>
      <c r="O5" s="16">
        <f>'Tabla de mortalidad'!O7</f>
        <v>85034</v>
      </c>
      <c r="P5" s="16">
        <f>'Tabla de mortalidad'!V7</f>
        <v>492560</v>
      </c>
      <c r="Q5" s="16">
        <f>'Tabla de mortalidad'!V46</f>
        <v>492990</v>
      </c>
      <c r="R5" s="16">
        <f t="shared" ref="R5:R21" si="1">(Q5+P5)*0.5</f>
        <v>492775</v>
      </c>
      <c r="S5" s="16">
        <f t="shared" ref="S5:S20" si="2">R6/R5</f>
        <v>0.99850438841256151</v>
      </c>
      <c r="T5" s="16">
        <f>ROUND(O4*S4,0)</f>
        <v>81746</v>
      </c>
      <c r="U5" s="16">
        <f>'Tabla de mortalidad'!O46</f>
        <v>90996</v>
      </c>
      <c r="V5" s="16">
        <f>U5-T5</f>
        <v>9250</v>
      </c>
      <c r="W5" s="16" t="str">
        <f>IF(V5&gt;0,"Inmigración","Emigración")</f>
        <v>Inmigración</v>
      </c>
    </row>
    <row r="6" spans="2:23" x14ac:dyDescent="0.25">
      <c r="B6" s="155" t="s">
        <v>514</v>
      </c>
      <c r="C6" s="16">
        <f>'Tabla de mortalidad'!C8</f>
        <v>90325</v>
      </c>
      <c r="D6" s="16">
        <f>'Tabla de mortalidad'!J8</f>
        <v>490513</v>
      </c>
      <c r="E6" s="16">
        <f>'Tabla de mortalidad'!J47</f>
        <v>491275</v>
      </c>
      <c r="F6" s="16">
        <f t="shared" si="0"/>
        <v>490894</v>
      </c>
      <c r="G6" s="16">
        <f t="shared" ref="G6:G20" si="3">F7/F6</f>
        <v>0.99645035384421077</v>
      </c>
      <c r="H6" s="16">
        <f t="shared" ref="H6:H20" si="4">ROUND(C5*G5,0)</f>
        <v>87827</v>
      </c>
      <c r="I6" s="16">
        <f>'Tabla de mortalidad'!C47</f>
        <v>94314</v>
      </c>
      <c r="J6" s="16">
        <f t="shared" ref="J6:J21" si="5">I6-H6</f>
        <v>6487</v>
      </c>
      <c r="K6" s="16" t="str">
        <f t="shared" ref="K6:K21" si="6">IF(J6&gt;0,"Inmigración","Emigración")</f>
        <v>Inmigración</v>
      </c>
      <c r="L6" s="51"/>
      <c r="N6" s="155" t="s">
        <v>514</v>
      </c>
      <c r="O6" s="16">
        <f>'Tabla de mortalidad'!O8</f>
        <v>89390</v>
      </c>
      <c r="P6" s="16">
        <f>'Tabla de mortalidad'!V8</f>
        <v>491783</v>
      </c>
      <c r="Q6" s="16">
        <f>'Tabla de mortalidad'!V47</f>
        <v>492293</v>
      </c>
      <c r="R6" s="16">
        <f t="shared" si="1"/>
        <v>492038</v>
      </c>
      <c r="S6" s="16">
        <f t="shared" si="2"/>
        <v>0.99828773387421299</v>
      </c>
      <c r="T6" s="16">
        <f t="shared" ref="T6:T20" si="7">ROUND(O5*S5,0)</f>
        <v>84907</v>
      </c>
      <c r="U6" s="16">
        <f>'Tabla de mortalidad'!O47</f>
        <v>92185</v>
      </c>
      <c r="V6" s="16">
        <f t="shared" ref="V6:V21" si="8">U6-T6</f>
        <v>7278</v>
      </c>
      <c r="W6" s="16" t="str">
        <f t="shared" ref="W6:W21" si="9">IF(V6&gt;0,"Inmigración","Emigración")</f>
        <v>Inmigración</v>
      </c>
    </row>
    <row r="7" spans="2:23" x14ac:dyDescent="0.25">
      <c r="B7" s="155" t="s">
        <v>515</v>
      </c>
      <c r="C7" s="16">
        <f>'Tabla de mortalidad'!C9</f>
        <v>81532</v>
      </c>
      <c r="D7" s="16">
        <f>'Tabla de mortalidad'!J9</f>
        <v>488885</v>
      </c>
      <c r="E7" s="16">
        <f>'Tabla de mortalidad'!J48</f>
        <v>489418</v>
      </c>
      <c r="F7" s="16">
        <f t="shared" si="0"/>
        <v>489151.5</v>
      </c>
      <c r="G7" s="16">
        <f t="shared" si="3"/>
        <v>0.99377697911587715</v>
      </c>
      <c r="H7" s="16">
        <f t="shared" si="4"/>
        <v>90004</v>
      </c>
      <c r="I7" s="16">
        <f>'Tabla de mortalidad'!C48</f>
        <v>91788</v>
      </c>
      <c r="J7" s="16">
        <f t="shared" si="5"/>
        <v>1784</v>
      </c>
      <c r="K7" s="16" t="str">
        <f t="shared" si="6"/>
        <v>Inmigración</v>
      </c>
      <c r="L7" s="51"/>
      <c r="N7" s="155" t="s">
        <v>515</v>
      </c>
      <c r="O7" s="16">
        <f>'Tabla de mortalidad'!O9</f>
        <v>86345</v>
      </c>
      <c r="P7" s="16">
        <f>'Tabla de mortalidad'!V9</f>
        <v>490998</v>
      </c>
      <c r="Q7" s="16">
        <f>'Tabla de mortalidad'!V48</f>
        <v>491393</v>
      </c>
      <c r="R7" s="16">
        <f t="shared" si="1"/>
        <v>491195.5</v>
      </c>
      <c r="S7" s="16">
        <f t="shared" si="2"/>
        <v>0.99795804318239889</v>
      </c>
      <c r="T7" s="16">
        <f t="shared" si="7"/>
        <v>89237</v>
      </c>
      <c r="U7" s="16">
        <f>'Tabla de mortalidad'!O48</f>
        <v>93459</v>
      </c>
      <c r="V7" s="16">
        <f t="shared" si="8"/>
        <v>4222</v>
      </c>
      <c r="W7" s="16" t="str">
        <f t="shared" si="9"/>
        <v>Inmigración</v>
      </c>
    </row>
    <row r="8" spans="2:23" x14ac:dyDescent="0.25">
      <c r="B8" s="155" t="s">
        <v>516</v>
      </c>
      <c r="C8" s="16">
        <f>'Tabla de mortalidad'!C10</f>
        <v>69231</v>
      </c>
      <c r="D8" s="16">
        <f>'Tabla de mortalidad'!J10</f>
        <v>485955</v>
      </c>
      <c r="E8" s="16">
        <f>'Tabla de mortalidad'!J49</f>
        <v>486260</v>
      </c>
      <c r="F8" s="16">
        <f t="shared" si="0"/>
        <v>486107.5</v>
      </c>
      <c r="G8" s="16">
        <f t="shared" si="3"/>
        <v>0.99188245398394392</v>
      </c>
      <c r="H8" s="16">
        <f t="shared" si="4"/>
        <v>81025</v>
      </c>
      <c r="I8" s="16">
        <f>'Tabla de mortalidad'!C49</f>
        <v>82463</v>
      </c>
      <c r="J8" s="16">
        <f t="shared" si="5"/>
        <v>1438</v>
      </c>
      <c r="K8" s="16" t="str">
        <f t="shared" si="6"/>
        <v>Inmigración</v>
      </c>
      <c r="L8" s="51"/>
      <c r="N8" s="155" t="s">
        <v>516</v>
      </c>
      <c r="O8" s="16">
        <f>'Tabla de mortalidad'!O10</f>
        <v>79537</v>
      </c>
      <c r="P8" s="16">
        <f>'Tabla de mortalidad'!V10</f>
        <v>490030</v>
      </c>
      <c r="Q8" s="16">
        <f>'Tabla de mortalidad'!V49</f>
        <v>490355</v>
      </c>
      <c r="R8" s="16">
        <f t="shared" si="1"/>
        <v>490192.5</v>
      </c>
      <c r="S8" s="16">
        <f t="shared" si="2"/>
        <v>0.99739184096043898</v>
      </c>
      <c r="T8" s="16">
        <f t="shared" si="7"/>
        <v>86169</v>
      </c>
      <c r="U8" s="16">
        <f>'Tabla de mortalidad'!O49</f>
        <v>88963</v>
      </c>
      <c r="V8" s="16">
        <f t="shared" si="8"/>
        <v>2794</v>
      </c>
      <c r="W8" s="16" t="str">
        <f t="shared" si="9"/>
        <v>Inmigración</v>
      </c>
    </row>
    <row r="9" spans="2:23" x14ac:dyDescent="0.25">
      <c r="B9" s="155" t="s">
        <v>517</v>
      </c>
      <c r="C9" s="16">
        <f>'Tabla de mortalidad'!C11</f>
        <v>62339</v>
      </c>
      <c r="D9" s="16">
        <f>'Tabla de mortalidad'!J11</f>
        <v>481828</v>
      </c>
      <c r="E9" s="16">
        <f>'Tabla de mortalidad'!J50</f>
        <v>482495</v>
      </c>
      <c r="F9" s="16">
        <f t="shared" si="0"/>
        <v>482161.5</v>
      </c>
      <c r="G9" s="16">
        <f t="shared" si="3"/>
        <v>0.99037459440457187</v>
      </c>
      <c r="H9" s="16">
        <f t="shared" si="4"/>
        <v>68669</v>
      </c>
      <c r="I9" s="16">
        <f>'Tabla de mortalidad'!C50</f>
        <v>73131</v>
      </c>
      <c r="J9" s="16">
        <f t="shared" si="5"/>
        <v>4462</v>
      </c>
      <c r="K9" s="16" t="str">
        <f t="shared" si="6"/>
        <v>Inmigración</v>
      </c>
      <c r="L9" s="51"/>
      <c r="N9" s="155" t="s">
        <v>517</v>
      </c>
      <c r="O9" s="16">
        <f>'Tabla de mortalidad'!O11</f>
        <v>73164</v>
      </c>
      <c r="P9" s="16">
        <f>'Tabla de mortalidad'!V11</f>
        <v>488723</v>
      </c>
      <c r="Q9" s="16">
        <f>'Tabla de mortalidad'!V50</f>
        <v>489105</v>
      </c>
      <c r="R9" s="16">
        <f t="shared" si="1"/>
        <v>488914</v>
      </c>
      <c r="S9" s="16">
        <f t="shared" si="2"/>
        <v>0.9966916472017574</v>
      </c>
      <c r="T9" s="16">
        <f t="shared" si="7"/>
        <v>79330</v>
      </c>
      <c r="U9" s="16">
        <f>'Tabla de mortalidad'!O50</f>
        <v>82052</v>
      </c>
      <c r="V9" s="16">
        <f t="shared" si="8"/>
        <v>2722</v>
      </c>
      <c r="W9" s="16" t="str">
        <f t="shared" si="9"/>
        <v>Inmigración</v>
      </c>
    </row>
    <row r="10" spans="2:23" x14ac:dyDescent="0.25">
      <c r="B10" s="155" t="s">
        <v>518</v>
      </c>
      <c r="C10" s="16">
        <f>'Tabla de mortalidad'!C12</f>
        <v>58955</v>
      </c>
      <c r="D10" s="16">
        <f>'Tabla de mortalidad'!J12</f>
        <v>477043</v>
      </c>
      <c r="E10" s="16">
        <f>'Tabla de mortalidad'!J51</f>
        <v>477998</v>
      </c>
      <c r="F10" s="16">
        <f t="shared" si="0"/>
        <v>477520.5</v>
      </c>
      <c r="G10" s="16">
        <f t="shared" si="3"/>
        <v>0.98863399581798062</v>
      </c>
      <c r="H10" s="16">
        <f t="shared" si="4"/>
        <v>61739</v>
      </c>
      <c r="I10" s="16">
        <f>'Tabla de mortalidad'!C51</f>
        <v>69272</v>
      </c>
      <c r="J10" s="16">
        <f t="shared" si="5"/>
        <v>7533</v>
      </c>
      <c r="K10" s="16" t="str">
        <f t="shared" si="6"/>
        <v>Inmigración</v>
      </c>
      <c r="L10" s="51"/>
      <c r="N10" s="155" t="s">
        <v>518</v>
      </c>
      <c r="O10" s="16">
        <f>'Tabla de mortalidad'!O12</f>
        <v>67596</v>
      </c>
      <c r="P10" s="16">
        <f>'Tabla de mortalidad'!V12</f>
        <v>486875</v>
      </c>
      <c r="Q10" s="16">
        <f>'Tabla de mortalidad'!V51</f>
        <v>487718</v>
      </c>
      <c r="R10" s="16">
        <f t="shared" si="1"/>
        <v>487296.5</v>
      </c>
      <c r="S10" s="16">
        <f t="shared" si="2"/>
        <v>0.99614197926724279</v>
      </c>
      <c r="T10" s="16">
        <f t="shared" si="7"/>
        <v>72922</v>
      </c>
      <c r="U10" s="16">
        <f>'Tabla de mortalidad'!O51</f>
        <v>77978</v>
      </c>
      <c r="V10" s="16">
        <f t="shared" si="8"/>
        <v>5056</v>
      </c>
      <c r="W10" s="16" t="str">
        <f t="shared" si="9"/>
        <v>Inmigración</v>
      </c>
    </row>
    <row r="11" spans="2:23" x14ac:dyDescent="0.25">
      <c r="B11" s="155" t="s">
        <v>519</v>
      </c>
      <c r="C11" s="16">
        <f>'Tabla de mortalidad'!C13</f>
        <v>52788</v>
      </c>
      <c r="D11" s="16">
        <f>'Tabla de mortalidad'!J13</f>
        <v>471713</v>
      </c>
      <c r="E11" s="16">
        <f>'Tabla de mortalidad'!J52</f>
        <v>472473</v>
      </c>
      <c r="F11" s="16">
        <f t="shared" si="0"/>
        <v>472093</v>
      </c>
      <c r="G11" s="16">
        <f t="shared" si="3"/>
        <v>0.98464815195311095</v>
      </c>
      <c r="H11" s="16">
        <f t="shared" si="4"/>
        <v>58285</v>
      </c>
      <c r="I11" s="16">
        <f>'Tabla de mortalidad'!C52</f>
        <v>64846</v>
      </c>
      <c r="J11" s="16">
        <f t="shared" si="5"/>
        <v>6561</v>
      </c>
      <c r="K11" s="16" t="str">
        <f t="shared" si="6"/>
        <v>Inmigración</v>
      </c>
      <c r="L11" s="51"/>
      <c r="N11" s="155" t="s">
        <v>519</v>
      </c>
      <c r="O11" s="16">
        <f>'Tabla de mortalidad'!O13</f>
        <v>59307</v>
      </c>
      <c r="P11" s="16">
        <f>'Tabla de mortalidad'!V13</f>
        <v>484875</v>
      </c>
      <c r="Q11" s="16">
        <f>'Tabla de mortalidad'!V52</f>
        <v>485958</v>
      </c>
      <c r="R11" s="16">
        <f t="shared" si="1"/>
        <v>485416.5</v>
      </c>
      <c r="S11" s="16">
        <f t="shared" si="2"/>
        <v>0.9936600836601146</v>
      </c>
      <c r="T11" s="16">
        <f t="shared" si="7"/>
        <v>67335</v>
      </c>
      <c r="U11" s="16">
        <f>'Tabla de mortalidad'!O52</f>
        <v>72359</v>
      </c>
      <c r="V11" s="16">
        <f t="shared" si="8"/>
        <v>5024</v>
      </c>
      <c r="W11" s="16" t="str">
        <f t="shared" si="9"/>
        <v>Inmigración</v>
      </c>
    </row>
    <row r="12" spans="2:23" x14ac:dyDescent="0.25">
      <c r="B12" s="155" t="s">
        <v>520</v>
      </c>
      <c r="C12" s="16">
        <f>'Tabla de mortalidad'!C14</f>
        <v>44265</v>
      </c>
      <c r="D12" s="16">
        <f>'Tabla de mortalidad'!J14</f>
        <v>464293</v>
      </c>
      <c r="E12" s="16">
        <f>'Tabla de mortalidad'!J53</f>
        <v>465398</v>
      </c>
      <c r="F12" s="16">
        <f t="shared" si="0"/>
        <v>464845.5</v>
      </c>
      <c r="G12" s="16">
        <f t="shared" si="3"/>
        <v>0.97745487479173188</v>
      </c>
      <c r="H12" s="16">
        <f t="shared" si="4"/>
        <v>51978</v>
      </c>
      <c r="I12" s="16">
        <f>'Tabla de mortalidad'!C53</f>
        <v>55129</v>
      </c>
      <c r="J12" s="16">
        <f t="shared" si="5"/>
        <v>3151</v>
      </c>
      <c r="K12" s="16" t="str">
        <f t="shared" si="6"/>
        <v>Inmigración</v>
      </c>
      <c r="L12" s="51"/>
      <c r="N12" s="155" t="s">
        <v>520</v>
      </c>
      <c r="O12" s="16">
        <f>'Tabla de mortalidad'!O14</f>
        <v>48552</v>
      </c>
      <c r="P12" s="16">
        <f>'Tabla de mortalidad'!V14</f>
        <v>481995</v>
      </c>
      <c r="Q12" s="16">
        <f>'Tabla de mortalidad'!V53</f>
        <v>482683</v>
      </c>
      <c r="R12" s="16">
        <f t="shared" si="1"/>
        <v>482339</v>
      </c>
      <c r="S12" s="16">
        <f t="shared" si="2"/>
        <v>0.98893413138891939</v>
      </c>
      <c r="T12" s="16">
        <f t="shared" si="7"/>
        <v>58931</v>
      </c>
      <c r="U12" s="16">
        <f>'Tabla de mortalidad'!O53</f>
        <v>61473</v>
      </c>
      <c r="V12" s="16">
        <f t="shared" si="8"/>
        <v>2542</v>
      </c>
      <c r="W12" s="16" t="str">
        <f t="shared" si="9"/>
        <v>Inmigración</v>
      </c>
    </row>
    <row r="13" spans="2:23" x14ac:dyDescent="0.25">
      <c r="B13" s="155" t="s">
        <v>521</v>
      </c>
      <c r="C13" s="16">
        <f>'Tabla de mortalidad'!C15</f>
        <v>35890</v>
      </c>
      <c r="D13" s="16">
        <f>'Tabla de mortalidad'!J15</f>
        <v>452878</v>
      </c>
      <c r="E13" s="16">
        <f>'Tabla de mortalidad'!J54</f>
        <v>455853</v>
      </c>
      <c r="F13" s="16">
        <f t="shared" si="0"/>
        <v>454365.5</v>
      </c>
      <c r="G13" s="16">
        <f t="shared" si="3"/>
        <v>0.96826783723676202</v>
      </c>
      <c r="H13" s="16">
        <f t="shared" si="4"/>
        <v>43267</v>
      </c>
      <c r="I13" s="16">
        <f>'Tabla de mortalidad'!C54</f>
        <v>45032</v>
      </c>
      <c r="J13" s="16">
        <f t="shared" si="5"/>
        <v>1765</v>
      </c>
      <c r="K13" s="16" t="str">
        <f t="shared" si="6"/>
        <v>Inmigración</v>
      </c>
      <c r="L13" s="51"/>
      <c r="N13" s="155" t="s">
        <v>521</v>
      </c>
      <c r="O13" s="16">
        <f>'Tabla de mortalidad'!O15</f>
        <v>38673</v>
      </c>
      <c r="P13" s="16">
        <f>'Tabla de mortalidad'!V15</f>
        <v>476860</v>
      </c>
      <c r="Q13" s="16">
        <f>'Tabla de mortalidad'!V54</f>
        <v>477143</v>
      </c>
      <c r="R13" s="16">
        <f t="shared" si="1"/>
        <v>477001.5</v>
      </c>
      <c r="S13" s="16">
        <f t="shared" si="2"/>
        <v>0.98230823173512039</v>
      </c>
      <c r="T13" s="16">
        <f t="shared" si="7"/>
        <v>48015</v>
      </c>
      <c r="U13" s="16">
        <f>'Tabla de mortalidad'!O54</f>
        <v>49886</v>
      </c>
      <c r="V13" s="16">
        <f t="shared" si="8"/>
        <v>1871</v>
      </c>
      <c r="W13" s="16" t="str">
        <f t="shared" si="9"/>
        <v>Inmigración</v>
      </c>
    </row>
    <row r="14" spans="2:23" x14ac:dyDescent="0.25">
      <c r="B14" s="155" t="s">
        <v>522</v>
      </c>
      <c r="C14" s="16">
        <f>'Tabla de mortalidad'!C16</f>
        <v>27500</v>
      </c>
      <c r="D14" s="16">
        <f>'Tabla de mortalidad'!J16</f>
        <v>438310</v>
      </c>
      <c r="E14" s="16">
        <f>'Tabla de mortalidad'!J55</f>
        <v>441585</v>
      </c>
      <c r="F14" s="16">
        <f t="shared" si="0"/>
        <v>439947.5</v>
      </c>
      <c r="G14" s="16">
        <f t="shared" si="3"/>
        <v>0.95430477500156263</v>
      </c>
      <c r="H14" s="16">
        <f t="shared" si="4"/>
        <v>34751</v>
      </c>
      <c r="I14" s="16">
        <f>'Tabla de mortalidad'!C55</f>
        <v>36489</v>
      </c>
      <c r="J14" s="16">
        <f t="shared" si="5"/>
        <v>1738</v>
      </c>
      <c r="K14" s="16" t="str">
        <f t="shared" si="6"/>
        <v>Inmigración</v>
      </c>
      <c r="L14" s="51"/>
      <c r="N14" s="155" t="s">
        <v>522</v>
      </c>
      <c r="O14" s="16">
        <f>'Tabla de mortalidad'!O16</f>
        <v>29433</v>
      </c>
      <c r="P14" s="16">
        <f>'Tabla de mortalidad'!V16</f>
        <v>468905</v>
      </c>
      <c r="Q14" s="16">
        <f>'Tabla de mortalidad'!V55</f>
        <v>468220</v>
      </c>
      <c r="R14" s="16">
        <f t="shared" si="1"/>
        <v>468562.5</v>
      </c>
      <c r="S14" s="16">
        <f t="shared" si="2"/>
        <v>0.97261944777911169</v>
      </c>
      <c r="T14" s="16">
        <f t="shared" si="7"/>
        <v>37989</v>
      </c>
      <c r="U14" s="16">
        <f>'Tabla de mortalidad'!O55</f>
        <v>39921</v>
      </c>
      <c r="V14" s="16">
        <f t="shared" si="8"/>
        <v>1932</v>
      </c>
      <c r="W14" s="16" t="str">
        <f t="shared" si="9"/>
        <v>Inmigración</v>
      </c>
    </row>
    <row r="15" spans="2:23" x14ac:dyDescent="0.25">
      <c r="B15" s="155" t="s">
        <v>523</v>
      </c>
      <c r="C15" s="16">
        <f>'Tabla de mortalidad'!C17</f>
        <v>20388</v>
      </c>
      <c r="D15" s="16">
        <f>'Tabla de mortalidad'!J17</f>
        <v>417663</v>
      </c>
      <c r="E15" s="16">
        <f>'Tabla de mortalidad'!J56</f>
        <v>422025</v>
      </c>
      <c r="F15" s="16">
        <f t="shared" si="0"/>
        <v>419844</v>
      </c>
      <c r="G15" s="16">
        <f t="shared" si="3"/>
        <v>0.93468407313192514</v>
      </c>
      <c r="H15" s="16">
        <f t="shared" si="4"/>
        <v>26243</v>
      </c>
      <c r="I15" s="16">
        <f>'Tabla de mortalidad'!C56</f>
        <v>27586</v>
      </c>
      <c r="J15" s="16">
        <f t="shared" si="5"/>
        <v>1343</v>
      </c>
      <c r="K15" s="16" t="str">
        <f t="shared" si="6"/>
        <v>Inmigración</v>
      </c>
      <c r="L15" s="51"/>
      <c r="N15" s="155" t="s">
        <v>523</v>
      </c>
      <c r="O15" s="16">
        <f>'Tabla de mortalidad'!O17</f>
        <v>21991</v>
      </c>
      <c r="P15" s="16">
        <f>'Tabla de mortalidad'!V17</f>
        <v>456088</v>
      </c>
      <c r="Q15" s="16">
        <f>'Tabla de mortalidad'!V56</f>
        <v>455378</v>
      </c>
      <c r="R15" s="16">
        <f t="shared" si="1"/>
        <v>455733</v>
      </c>
      <c r="S15" s="16">
        <f t="shared" si="2"/>
        <v>0.95537299251974295</v>
      </c>
      <c r="T15" s="16">
        <f t="shared" si="7"/>
        <v>28627</v>
      </c>
      <c r="U15" s="16">
        <f>'Tabla de mortalidad'!O56</f>
        <v>30333</v>
      </c>
      <c r="V15" s="16">
        <f t="shared" si="8"/>
        <v>1706</v>
      </c>
      <c r="W15" s="16" t="str">
        <f t="shared" si="9"/>
        <v>Inmigración</v>
      </c>
    </row>
    <row r="16" spans="2:23" x14ac:dyDescent="0.25">
      <c r="B16" s="155" t="s">
        <v>524</v>
      </c>
      <c r="C16" s="16">
        <f>'Tabla de mortalidad'!C18</f>
        <v>15625</v>
      </c>
      <c r="D16" s="16">
        <f>'Tabla de mortalidad'!J18</f>
        <v>388243</v>
      </c>
      <c r="E16" s="16">
        <f>'Tabla de mortalidad'!J57</f>
        <v>396600</v>
      </c>
      <c r="F16" s="16">
        <f t="shared" si="0"/>
        <v>392421.5</v>
      </c>
      <c r="G16" s="16">
        <f t="shared" si="3"/>
        <v>0.90937423153420494</v>
      </c>
      <c r="H16" s="16">
        <f t="shared" si="4"/>
        <v>19056</v>
      </c>
      <c r="I16" s="16">
        <f>'Tabla de mortalidad'!C57</f>
        <v>20181</v>
      </c>
      <c r="J16" s="16">
        <f t="shared" si="5"/>
        <v>1125</v>
      </c>
      <c r="K16" s="16" t="str">
        <f t="shared" si="6"/>
        <v>Inmigración</v>
      </c>
      <c r="L16" s="51"/>
      <c r="N16" s="155" t="s">
        <v>524</v>
      </c>
      <c r="O16" s="16">
        <f>'Tabla de mortalidad'!O18</f>
        <v>17410</v>
      </c>
      <c r="P16" s="16">
        <f>'Tabla de mortalidad'!V18</f>
        <v>434935</v>
      </c>
      <c r="Q16" s="16">
        <f>'Tabla de mortalidad'!V57</f>
        <v>435855</v>
      </c>
      <c r="R16" s="16">
        <f t="shared" si="1"/>
        <v>435395</v>
      </c>
      <c r="S16" s="16">
        <f t="shared" si="2"/>
        <v>0.93026217572549064</v>
      </c>
      <c r="T16" s="16">
        <f t="shared" si="7"/>
        <v>21010</v>
      </c>
      <c r="U16" s="16">
        <f>'Tabla de mortalidad'!O57</f>
        <v>22715</v>
      </c>
      <c r="V16" s="16">
        <f t="shared" si="8"/>
        <v>1705</v>
      </c>
      <c r="W16" s="16" t="str">
        <f t="shared" si="9"/>
        <v>Inmigración</v>
      </c>
    </row>
    <row r="17" spans="2:23" x14ac:dyDescent="0.25">
      <c r="B17" s="155" t="s">
        <v>525</v>
      </c>
      <c r="C17" s="16">
        <f>'Tabla de mortalidad'!C19</f>
        <v>11879</v>
      </c>
      <c r="D17" s="16">
        <f>'Tabla de mortalidad'!J19</f>
        <v>352283</v>
      </c>
      <c r="E17" s="16">
        <f>'Tabla de mortalidad'!J58</f>
        <v>361433</v>
      </c>
      <c r="F17" s="16">
        <f t="shared" si="0"/>
        <v>356858</v>
      </c>
      <c r="G17" s="16">
        <f t="shared" si="3"/>
        <v>0.87074270438101431</v>
      </c>
      <c r="H17" s="16">
        <f t="shared" si="4"/>
        <v>14209</v>
      </c>
      <c r="I17" s="16">
        <f>'Tabla de mortalidad'!C58</f>
        <v>15098</v>
      </c>
      <c r="J17" s="16">
        <f t="shared" si="5"/>
        <v>889</v>
      </c>
      <c r="K17" s="16" t="str">
        <f t="shared" si="6"/>
        <v>Inmigración</v>
      </c>
      <c r="L17" s="51"/>
      <c r="N17" s="155" t="s">
        <v>525</v>
      </c>
      <c r="O17" s="16">
        <f>'Tabla de mortalidad'!O19</f>
        <v>13411</v>
      </c>
      <c r="P17" s="16">
        <f>'Tabla de mortalidad'!V19</f>
        <v>402893</v>
      </c>
      <c r="Q17" s="16">
        <f>'Tabla de mortalidad'!V58</f>
        <v>407170</v>
      </c>
      <c r="R17" s="16">
        <f t="shared" si="1"/>
        <v>405031.5</v>
      </c>
      <c r="S17" s="16">
        <f t="shared" si="2"/>
        <v>0.90099535468229019</v>
      </c>
      <c r="T17" s="16">
        <f t="shared" si="7"/>
        <v>16196</v>
      </c>
      <c r="U17" s="16">
        <f>'Tabla de mortalidad'!O58</f>
        <v>17312</v>
      </c>
      <c r="V17" s="16">
        <f t="shared" si="8"/>
        <v>1116</v>
      </c>
      <c r="W17" s="16" t="str">
        <f t="shared" si="9"/>
        <v>Inmigración</v>
      </c>
    </row>
    <row r="18" spans="2:23" x14ac:dyDescent="0.25">
      <c r="B18" s="155" t="s">
        <v>526</v>
      </c>
      <c r="C18" s="16">
        <f>'Tabla de mortalidad'!C20</f>
        <v>8635</v>
      </c>
      <c r="D18" s="16">
        <f>'Tabla de mortalidad'!J20</f>
        <v>304245</v>
      </c>
      <c r="E18" s="16">
        <f>'Tabla de mortalidad'!J59</f>
        <v>317218</v>
      </c>
      <c r="F18" s="16">
        <f t="shared" si="0"/>
        <v>310731.5</v>
      </c>
      <c r="G18" s="16">
        <f t="shared" si="3"/>
        <v>0.81574446105399678</v>
      </c>
      <c r="H18" s="16">
        <f t="shared" si="4"/>
        <v>10344</v>
      </c>
      <c r="I18" s="16">
        <f>'Tabla de mortalidad'!C59</f>
        <v>11283</v>
      </c>
      <c r="J18" s="16">
        <f t="shared" si="5"/>
        <v>939</v>
      </c>
      <c r="K18" s="16" t="str">
        <f t="shared" si="6"/>
        <v>Inmigración</v>
      </c>
      <c r="L18" s="51"/>
      <c r="N18" s="155" t="s">
        <v>526</v>
      </c>
      <c r="O18" s="16">
        <f>'Tabla de mortalidad'!O20</f>
        <v>9799</v>
      </c>
      <c r="P18" s="16">
        <f>'Tabla de mortalidad'!V20</f>
        <v>360338</v>
      </c>
      <c r="Q18" s="16">
        <f>'Tabla de mortalidad'!V59</f>
        <v>369525</v>
      </c>
      <c r="R18" s="16">
        <f t="shared" si="1"/>
        <v>364931.5</v>
      </c>
      <c r="S18" s="16">
        <f t="shared" si="2"/>
        <v>0.85696356713520205</v>
      </c>
      <c r="T18" s="16">
        <f t="shared" si="7"/>
        <v>12083</v>
      </c>
      <c r="U18" s="16">
        <f>'Tabla de mortalidad'!O59</f>
        <v>13048</v>
      </c>
      <c r="V18" s="16">
        <f t="shared" si="8"/>
        <v>965</v>
      </c>
      <c r="W18" s="16" t="str">
        <f t="shared" si="9"/>
        <v>Inmigración</v>
      </c>
    </row>
    <row r="19" spans="2:23" x14ac:dyDescent="0.25">
      <c r="B19" s="155" t="s">
        <v>527</v>
      </c>
      <c r="C19" s="16">
        <f>'Tabla de mortalidad'!C21</f>
        <v>6155</v>
      </c>
      <c r="D19" s="16">
        <f>'Tabla de mortalidad'!J21</f>
        <v>245225</v>
      </c>
      <c r="E19" s="16">
        <f>'Tabla de mortalidad'!J60</f>
        <v>261730</v>
      </c>
      <c r="F19" s="16">
        <f t="shared" si="0"/>
        <v>253477.5</v>
      </c>
      <c r="G19" s="16">
        <f t="shared" si="3"/>
        <v>0.73010030476077759</v>
      </c>
      <c r="H19" s="16">
        <f t="shared" si="4"/>
        <v>7044</v>
      </c>
      <c r="I19" s="16">
        <f>'Tabla de mortalidad'!C60</f>
        <v>7634</v>
      </c>
      <c r="J19" s="16">
        <f t="shared" si="5"/>
        <v>590</v>
      </c>
      <c r="K19" s="16" t="str">
        <f t="shared" si="6"/>
        <v>Inmigración</v>
      </c>
      <c r="L19" s="51"/>
      <c r="N19" s="155" t="s">
        <v>527</v>
      </c>
      <c r="O19" s="16">
        <f>'Tabla de mortalidad'!O21</f>
        <v>7207</v>
      </c>
      <c r="P19" s="16">
        <f>'Tabla de mortalidad'!V21</f>
        <v>307193</v>
      </c>
      <c r="Q19" s="16">
        <f>'Tabla de mortalidad'!V60</f>
        <v>318273</v>
      </c>
      <c r="R19" s="16">
        <f t="shared" si="1"/>
        <v>312733</v>
      </c>
      <c r="S19" s="16">
        <f t="shared" si="2"/>
        <v>0.77134488525355493</v>
      </c>
      <c r="T19" s="16">
        <f t="shared" si="7"/>
        <v>8397</v>
      </c>
      <c r="U19" s="16">
        <f>'Tabla de mortalidad'!O60</f>
        <v>9014</v>
      </c>
      <c r="V19" s="16">
        <f t="shared" si="8"/>
        <v>617</v>
      </c>
      <c r="W19" s="16" t="str">
        <f t="shared" si="9"/>
        <v>Inmigración</v>
      </c>
    </row>
    <row r="20" spans="2:23" x14ac:dyDescent="0.25">
      <c r="B20" s="155" t="s">
        <v>528</v>
      </c>
      <c r="C20" s="16">
        <f>'Tabla de mortalidad'!C22</f>
        <v>3801</v>
      </c>
      <c r="D20" s="16">
        <f>'Tabla de mortalidad'!J22</f>
        <v>179553</v>
      </c>
      <c r="E20" s="16">
        <f>'Tabla de mortalidad'!J61</f>
        <v>190575</v>
      </c>
      <c r="F20" s="16">
        <f t="shared" si="0"/>
        <v>185064</v>
      </c>
      <c r="G20" s="16">
        <f t="shared" si="3"/>
        <v>0.95830631565296331</v>
      </c>
      <c r="H20" s="16">
        <f t="shared" si="4"/>
        <v>4494</v>
      </c>
      <c r="I20" s="16">
        <f>'Tabla de mortalidad'!C61</f>
        <v>4685</v>
      </c>
      <c r="J20" s="16">
        <f t="shared" si="5"/>
        <v>191</v>
      </c>
      <c r="K20" s="16" t="str">
        <f t="shared" si="6"/>
        <v>Inmigración</v>
      </c>
      <c r="L20" s="51"/>
      <c r="N20" s="155" t="s">
        <v>528</v>
      </c>
      <c r="O20" s="16">
        <f>'Tabla de mortalidad'!O22</f>
        <v>4677</v>
      </c>
      <c r="P20" s="16">
        <f>'Tabla de mortalidad'!V22</f>
        <v>234865</v>
      </c>
      <c r="Q20" s="16">
        <f>'Tabla de mortalidad'!V61</f>
        <v>247585</v>
      </c>
      <c r="R20" s="16">
        <f t="shared" si="1"/>
        <v>241225</v>
      </c>
      <c r="S20" s="16">
        <f t="shared" si="2"/>
        <v>0.99234739351228107</v>
      </c>
      <c r="T20" s="16">
        <f t="shared" si="7"/>
        <v>5559</v>
      </c>
      <c r="U20" s="16">
        <f>'Tabla de mortalidad'!O61</f>
        <v>6178</v>
      </c>
      <c r="V20" s="16">
        <f t="shared" si="8"/>
        <v>619</v>
      </c>
      <c r="W20" s="16" t="str">
        <f t="shared" si="9"/>
        <v>Inmigración</v>
      </c>
    </row>
    <row r="21" spans="2:23" x14ac:dyDescent="0.25">
      <c r="B21" s="155" t="s">
        <v>529</v>
      </c>
      <c r="C21" s="16">
        <f>'Tabla de mortalidad'!C23</f>
        <v>2896</v>
      </c>
      <c r="D21" s="16">
        <f>'Tabla de mortalidad'!J23</f>
        <v>173232</v>
      </c>
      <c r="E21" s="16">
        <f>'Tabla de mortalidad'!J62</f>
        <v>181464</v>
      </c>
      <c r="F21" s="16">
        <f t="shared" si="0"/>
        <v>177348</v>
      </c>
      <c r="G21" s="16"/>
      <c r="H21" s="16">
        <f>ROUND(C20*G20,0)</f>
        <v>3643</v>
      </c>
      <c r="I21" s="16">
        <f>'Tabla de mortalidad'!C62</f>
        <v>4082</v>
      </c>
      <c r="J21" s="16">
        <f t="shared" si="5"/>
        <v>439</v>
      </c>
      <c r="K21" s="16" t="str">
        <f t="shared" si="6"/>
        <v>Inmigración</v>
      </c>
      <c r="L21" s="51"/>
      <c r="N21" s="155" t="s">
        <v>529</v>
      </c>
      <c r="O21" s="16">
        <f>'Tabla de mortalidad'!O23</f>
        <v>4367</v>
      </c>
      <c r="P21" s="16">
        <f>'Tabla de mortalidad'!V23</f>
        <v>230466</v>
      </c>
      <c r="Q21" s="16">
        <f>'Tabla de mortalidad'!V62</f>
        <v>248292</v>
      </c>
      <c r="R21" s="16">
        <f t="shared" si="1"/>
        <v>239379</v>
      </c>
      <c r="S21" s="16"/>
      <c r="T21" s="16">
        <f>ROUND(O20*S20,0)</f>
        <v>4641</v>
      </c>
      <c r="U21" s="16">
        <f>'Tabla de mortalidad'!O62</f>
        <v>5892</v>
      </c>
      <c r="V21" s="16">
        <f t="shared" si="8"/>
        <v>1251</v>
      </c>
      <c r="W21" s="16" t="str">
        <f t="shared" si="9"/>
        <v>Inmigración</v>
      </c>
    </row>
    <row r="24" spans="2:23" x14ac:dyDescent="0.25">
      <c r="B24" s="199" t="s">
        <v>615</v>
      </c>
      <c r="C24" s="199"/>
      <c r="D24" s="199"/>
      <c r="E24" s="199"/>
      <c r="F24" s="199"/>
      <c r="G24" s="199"/>
      <c r="H24" s="199"/>
      <c r="I24" s="199"/>
      <c r="J24" s="199"/>
      <c r="K24" s="199"/>
      <c r="N24" s="199" t="s">
        <v>660</v>
      </c>
      <c r="O24" s="199"/>
      <c r="P24" s="199"/>
      <c r="Q24" s="199"/>
      <c r="R24" s="199"/>
      <c r="S24" s="199"/>
      <c r="T24" s="199"/>
      <c r="U24" s="199"/>
      <c r="V24" s="199"/>
      <c r="W24" s="199"/>
    </row>
    <row r="25" spans="2:23" ht="17.25" x14ac:dyDescent="0.25">
      <c r="B25" s="152" t="s">
        <v>256</v>
      </c>
      <c r="C25" s="152" t="s">
        <v>612</v>
      </c>
      <c r="D25" s="152" t="s">
        <v>607</v>
      </c>
      <c r="E25" s="152" t="s">
        <v>608</v>
      </c>
      <c r="F25" s="152" t="s">
        <v>609</v>
      </c>
      <c r="G25" s="152" t="s">
        <v>610</v>
      </c>
      <c r="H25" s="152" t="s">
        <v>676</v>
      </c>
      <c r="I25" s="152" t="s">
        <v>606</v>
      </c>
      <c r="J25" s="182" t="s">
        <v>613</v>
      </c>
      <c r="K25" s="182"/>
      <c r="N25" s="152" t="s">
        <v>256</v>
      </c>
      <c r="O25" s="152" t="s">
        <v>612</v>
      </c>
      <c r="P25" s="152" t="s">
        <v>607</v>
      </c>
      <c r="Q25" s="152" t="s">
        <v>608</v>
      </c>
      <c r="R25" s="152" t="s">
        <v>609</v>
      </c>
      <c r="S25" s="152" t="s">
        <v>610</v>
      </c>
      <c r="T25" s="152" t="s">
        <v>676</v>
      </c>
      <c r="U25" s="152" t="s">
        <v>606</v>
      </c>
      <c r="V25" s="182" t="s">
        <v>613</v>
      </c>
      <c r="W25" s="182"/>
    </row>
    <row r="26" spans="2:23" x14ac:dyDescent="0.25">
      <c r="B26" s="47" t="s">
        <v>605</v>
      </c>
      <c r="C26" s="16">
        <f>'Tabla de mortalidad'!C44+'Tabla de mortalidad'!C45</f>
        <v>91713</v>
      </c>
      <c r="D26" s="16">
        <f>'Tabla de mortalidad'!J5+'Tabla de mortalidad'!J6</f>
        <v>492255</v>
      </c>
      <c r="E26" s="16">
        <f>'Tabla de mortalidad'!J44+'Tabla de mortalidad'!J45</f>
        <v>492875</v>
      </c>
      <c r="F26" s="16">
        <f>(E26+D26)*0.5</f>
        <v>492565</v>
      </c>
      <c r="G26" s="16">
        <f>F27/F26</f>
        <v>0.9983210337721925</v>
      </c>
      <c r="H26" s="16">
        <f>ROUND(C27/G26,0)</f>
        <v>94134</v>
      </c>
      <c r="I26" s="16">
        <f>'Tabla de mortalidad'!C5+'Tabla de mortalidad'!C6</f>
        <v>84816</v>
      </c>
      <c r="J26" s="16">
        <f>I26-H26</f>
        <v>-9318</v>
      </c>
      <c r="K26" s="16" t="str">
        <f>IF(J26&lt;0,"Inmigración","Emigración")</f>
        <v>Inmigración</v>
      </c>
      <c r="N26" s="47" t="s">
        <v>605</v>
      </c>
      <c r="O26" s="16">
        <f>'Tabla de mortalidad'!O44+'Tabla de mortalidad'!O45</f>
        <v>88621</v>
      </c>
      <c r="P26" s="16">
        <f>'Tabla de mortalidad'!V5+'Tabla de mortalidad'!V6</f>
        <v>493394</v>
      </c>
      <c r="Q26" s="16">
        <f>'Tabla de mortalidad'!V44+'Tabla de mortalidad'!V45</f>
        <v>493674</v>
      </c>
      <c r="R26" s="16">
        <f>(Q26+P26)*0.5</f>
        <v>493534</v>
      </c>
      <c r="S26" s="16">
        <f>R27/R26</f>
        <v>0.99846211203280832</v>
      </c>
      <c r="T26" s="16">
        <f>ROUND(O27/S26,0)</f>
        <v>91136</v>
      </c>
      <c r="U26" s="16">
        <f>'Tabla de mortalidad'!O5+'Tabla de mortalidad'!O6</f>
        <v>81872</v>
      </c>
      <c r="V26" s="16">
        <f>U26-T26</f>
        <v>-9264</v>
      </c>
      <c r="W26" s="16" t="str">
        <f>IF(V26&lt;0,"Inmigración","Emigración")</f>
        <v>Inmigración</v>
      </c>
    </row>
    <row r="27" spans="2:23" x14ac:dyDescent="0.25">
      <c r="B27" s="47" t="s">
        <v>513</v>
      </c>
      <c r="C27" s="16">
        <f>'Tabla de mortalidad'!C46</f>
        <v>93976</v>
      </c>
      <c r="D27" s="16">
        <f>'Tabla de mortalidad'!J7</f>
        <v>491378</v>
      </c>
      <c r="E27" s="16">
        <f>'Tabla de mortalidad'!J46</f>
        <v>492098</v>
      </c>
      <c r="F27" s="16">
        <f t="shared" ref="F27:F43" si="10">(E27+D27)*0.5</f>
        <v>491738</v>
      </c>
      <c r="G27" s="16">
        <f t="shared" ref="G27:G42" si="11">F28/F27</f>
        <v>0.99828363884832982</v>
      </c>
      <c r="H27" s="16">
        <f t="shared" ref="H27:H42" si="12">ROUND(C28/G27,0)</f>
        <v>94476</v>
      </c>
      <c r="I27" s="16">
        <f>'Tabla de mortalidad'!C7</f>
        <v>87978</v>
      </c>
      <c r="J27" s="16">
        <f t="shared" ref="J27:J42" si="13">I27-H27</f>
        <v>-6498</v>
      </c>
      <c r="K27" s="16" t="str">
        <f t="shared" ref="K27:K42" si="14">IF(J27&lt;0,"Inmigración","Emigración")</f>
        <v>Inmigración</v>
      </c>
      <c r="N27" s="47" t="s">
        <v>513</v>
      </c>
      <c r="O27" s="16">
        <f>'Tabla de mortalidad'!O46</f>
        <v>90996</v>
      </c>
      <c r="P27" s="16">
        <f>'Tabla de mortalidad'!V7</f>
        <v>492560</v>
      </c>
      <c r="Q27" s="16">
        <f>'Tabla de mortalidad'!V46</f>
        <v>492990</v>
      </c>
      <c r="R27" s="16">
        <f t="shared" ref="R27:R43" si="15">(Q27+P27)*0.5</f>
        <v>492775</v>
      </c>
      <c r="S27" s="16">
        <f t="shared" ref="S27:S42" si="16">R28/R27</f>
        <v>0.99850438841256151</v>
      </c>
      <c r="T27" s="16">
        <f t="shared" ref="T27:T42" si="17">ROUND(O28/S27,0)</f>
        <v>92323</v>
      </c>
      <c r="U27" s="16">
        <f>'Tabla de mortalidad'!O7</f>
        <v>85034</v>
      </c>
      <c r="V27" s="16">
        <f t="shared" ref="V27:V42" si="18">U27-T27</f>
        <v>-7289</v>
      </c>
      <c r="W27" s="16" t="str">
        <f t="shared" ref="W27:W42" si="19">IF(V27&lt;0,"Inmigración","Emigración")</f>
        <v>Inmigración</v>
      </c>
    </row>
    <row r="28" spans="2:23" x14ac:dyDescent="0.25">
      <c r="B28" s="47" t="s">
        <v>514</v>
      </c>
      <c r="C28" s="16">
        <f>'Tabla de mortalidad'!C47</f>
        <v>94314</v>
      </c>
      <c r="D28" s="16">
        <f>'Tabla de mortalidad'!J8</f>
        <v>490513</v>
      </c>
      <c r="E28" s="16">
        <f>'Tabla de mortalidad'!J47</f>
        <v>491275</v>
      </c>
      <c r="F28" s="16">
        <f t="shared" si="10"/>
        <v>490894</v>
      </c>
      <c r="G28" s="16">
        <f t="shared" si="11"/>
        <v>0.99645035384421077</v>
      </c>
      <c r="H28" s="16">
        <f t="shared" si="12"/>
        <v>92115</v>
      </c>
      <c r="I28" s="16">
        <f>'Tabla de mortalidad'!C8</f>
        <v>90325</v>
      </c>
      <c r="J28" s="16">
        <f t="shared" si="13"/>
        <v>-1790</v>
      </c>
      <c r="K28" s="16" t="str">
        <f t="shared" si="14"/>
        <v>Inmigración</v>
      </c>
      <c r="N28" s="47" t="s">
        <v>514</v>
      </c>
      <c r="O28" s="16">
        <f>'Tabla de mortalidad'!O47</f>
        <v>92185</v>
      </c>
      <c r="P28" s="16">
        <f>'Tabla de mortalidad'!V8</f>
        <v>491783</v>
      </c>
      <c r="Q28" s="16">
        <f>'Tabla de mortalidad'!V47</f>
        <v>492293</v>
      </c>
      <c r="R28" s="16">
        <f t="shared" si="15"/>
        <v>492038</v>
      </c>
      <c r="S28" s="16">
        <f t="shared" si="16"/>
        <v>0.99828773387421299</v>
      </c>
      <c r="T28" s="16">
        <f t="shared" si="17"/>
        <v>93619</v>
      </c>
      <c r="U28" s="16">
        <f>'Tabla de mortalidad'!O8</f>
        <v>89390</v>
      </c>
      <c r="V28" s="16">
        <f t="shared" si="18"/>
        <v>-4229</v>
      </c>
      <c r="W28" s="16" t="str">
        <f t="shared" si="19"/>
        <v>Inmigración</v>
      </c>
    </row>
    <row r="29" spans="2:23" x14ac:dyDescent="0.25">
      <c r="B29" s="47" t="s">
        <v>515</v>
      </c>
      <c r="C29" s="16">
        <f>'Tabla de mortalidad'!C48</f>
        <v>91788</v>
      </c>
      <c r="D29" s="16">
        <f>'Tabla de mortalidad'!J9</f>
        <v>488885</v>
      </c>
      <c r="E29" s="16">
        <f>'Tabla de mortalidad'!J48</f>
        <v>489418</v>
      </c>
      <c r="F29" s="16">
        <f t="shared" si="10"/>
        <v>489151.5</v>
      </c>
      <c r="G29" s="16">
        <f t="shared" si="11"/>
        <v>0.99377697911587715</v>
      </c>
      <c r="H29" s="16">
        <f t="shared" si="12"/>
        <v>82979</v>
      </c>
      <c r="I29" s="16">
        <f>'Tabla de mortalidad'!C9</f>
        <v>81532</v>
      </c>
      <c r="J29" s="16">
        <f t="shared" si="13"/>
        <v>-1447</v>
      </c>
      <c r="K29" s="16" t="str">
        <f t="shared" si="14"/>
        <v>Inmigración</v>
      </c>
      <c r="N29" s="47" t="s">
        <v>515</v>
      </c>
      <c r="O29" s="16">
        <f>'Tabla de mortalidad'!O48</f>
        <v>93459</v>
      </c>
      <c r="P29" s="16">
        <f>'Tabla de mortalidad'!V9</f>
        <v>490998</v>
      </c>
      <c r="Q29" s="16">
        <f>'Tabla de mortalidad'!V48</f>
        <v>491393</v>
      </c>
      <c r="R29" s="16">
        <f t="shared" si="15"/>
        <v>491195.5</v>
      </c>
      <c r="S29" s="16">
        <f t="shared" si="16"/>
        <v>0.99795804318239889</v>
      </c>
      <c r="T29" s="16">
        <f t="shared" si="17"/>
        <v>89145</v>
      </c>
      <c r="U29" s="16">
        <f>'Tabla de mortalidad'!O9</f>
        <v>86345</v>
      </c>
      <c r="V29" s="16">
        <f t="shared" si="18"/>
        <v>-2800</v>
      </c>
      <c r="W29" s="16" t="str">
        <f t="shared" si="19"/>
        <v>Inmigración</v>
      </c>
    </row>
    <row r="30" spans="2:23" x14ac:dyDescent="0.25">
      <c r="B30" s="47" t="s">
        <v>516</v>
      </c>
      <c r="C30" s="16">
        <f>'Tabla de mortalidad'!C49</f>
        <v>82463</v>
      </c>
      <c r="D30" s="16">
        <f>'Tabla de mortalidad'!J10</f>
        <v>485955</v>
      </c>
      <c r="E30" s="16">
        <f>'Tabla de mortalidad'!J49</f>
        <v>486260</v>
      </c>
      <c r="F30" s="16">
        <f t="shared" si="10"/>
        <v>486107.5</v>
      </c>
      <c r="G30" s="16">
        <f t="shared" si="11"/>
        <v>0.99188245398394392</v>
      </c>
      <c r="H30" s="16">
        <f t="shared" si="12"/>
        <v>73730</v>
      </c>
      <c r="I30" s="16">
        <f>'Tabla de mortalidad'!C10</f>
        <v>69231</v>
      </c>
      <c r="J30" s="16">
        <f t="shared" si="13"/>
        <v>-4499</v>
      </c>
      <c r="K30" s="16" t="str">
        <f t="shared" si="14"/>
        <v>Inmigración</v>
      </c>
      <c r="N30" s="47" t="s">
        <v>516</v>
      </c>
      <c r="O30" s="16">
        <f>'Tabla de mortalidad'!O49</f>
        <v>88963</v>
      </c>
      <c r="P30" s="16">
        <f>'Tabla de mortalidad'!V10</f>
        <v>490030</v>
      </c>
      <c r="Q30" s="16">
        <f>'Tabla de mortalidad'!V49</f>
        <v>490355</v>
      </c>
      <c r="R30" s="16">
        <f t="shared" si="15"/>
        <v>490192.5</v>
      </c>
      <c r="S30" s="16">
        <f t="shared" si="16"/>
        <v>0.99739184096043898</v>
      </c>
      <c r="T30" s="16">
        <f t="shared" si="17"/>
        <v>82267</v>
      </c>
      <c r="U30" s="16">
        <f>'Tabla de mortalidad'!O10</f>
        <v>79537</v>
      </c>
      <c r="V30" s="16">
        <f t="shared" si="18"/>
        <v>-2730</v>
      </c>
      <c r="W30" s="16" t="str">
        <f t="shared" si="19"/>
        <v>Inmigración</v>
      </c>
    </row>
    <row r="31" spans="2:23" x14ac:dyDescent="0.25">
      <c r="B31" s="47" t="s">
        <v>517</v>
      </c>
      <c r="C31" s="16">
        <f>'Tabla de mortalidad'!C50</f>
        <v>73131</v>
      </c>
      <c r="D31" s="16">
        <f>'Tabla de mortalidad'!J11</f>
        <v>481828</v>
      </c>
      <c r="E31" s="16">
        <f>'Tabla de mortalidad'!J50</f>
        <v>482495</v>
      </c>
      <c r="F31" s="16">
        <f t="shared" si="10"/>
        <v>482161.5</v>
      </c>
      <c r="G31" s="16">
        <f t="shared" si="11"/>
        <v>0.99037459440457187</v>
      </c>
      <c r="H31" s="16">
        <f t="shared" si="12"/>
        <v>69945</v>
      </c>
      <c r="I31" s="16">
        <f>'Tabla de mortalidad'!C11</f>
        <v>62339</v>
      </c>
      <c r="J31" s="16">
        <f t="shared" si="13"/>
        <v>-7606</v>
      </c>
      <c r="K31" s="16" t="str">
        <f t="shared" si="14"/>
        <v>Inmigración</v>
      </c>
      <c r="N31" s="47" t="s">
        <v>517</v>
      </c>
      <c r="O31" s="16">
        <f>'Tabla de mortalidad'!O50</f>
        <v>82052</v>
      </c>
      <c r="P31" s="16">
        <f>'Tabla de mortalidad'!V11</f>
        <v>488723</v>
      </c>
      <c r="Q31" s="16">
        <f>'Tabla de mortalidad'!V50</f>
        <v>489105</v>
      </c>
      <c r="R31" s="16">
        <f t="shared" si="15"/>
        <v>488914</v>
      </c>
      <c r="S31" s="16">
        <f t="shared" si="16"/>
        <v>0.9966916472017574</v>
      </c>
      <c r="T31" s="16">
        <f t="shared" si="17"/>
        <v>78237</v>
      </c>
      <c r="U31" s="16">
        <f>'Tabla de mortalidad'!O11</f>
        <v>73164</v>
      </c>
      <c r="V31" s="16">
        <f t="shared" si="18"/>
        <v>-5073</v>
      </c>
      <c r="W31" s="16" t="str">
        <f t="shared" si="19"/>
        <v>Inmigración</v>
      </c>
    </row>
    <row r="32" spans="2:23" x14ac:dyDescent="0.25">
      <c r="B32" s="47" t="s">
        <v>518</v>
      </c>
      <c r="C32" s="16">
        <f>'Tabla de mortalidad'!C51</f>
        <v>69272</v>
      </c>
      <c r="D32" s="16">
        <f>'Tabla de mortalidad'!J12</f>
        <v>477043</v>
      </c>
      <c r="E32" s="16">
        <f>'Tabla de mortalidad'!J51</f>
        <v>477998</v>
      </c>
      <c r="F32" s="16">
        <f t="shared" si="10"/>
        <v>477520.5</v>
      </c>
      <c r="G32" s="16">
        <f t="shared" si="11"/>
        <v>0.98863399581798062</v>
      </c>
      <c r="H32" s="16">
        <f t="shared" si="12"/>
        <v>65592</v>
      </c>
      <c r="I32" s="16">
        <f>'Tabla de mortalidad'!C12</f>
        <v>58955</v>
      </c>
      <c r="J32" s="16">
        <f t="shared" si="13"/>
        <v>-6637</v>
      </c>
      <c r="K32" s="16" t="str">
        <f t="shared" si="14"/>
        <v>Inmigración</v>
      </c>
      <c r="N32" s="47" t="s">
        <v>518</v>
      </c>
      <c r="O32" s="16">
        <f>'Tabla de mortalidad'!O51</f>
        <v>77978</v>
      </c>
      <c r="P32" s="16">
        <f>'Tabla de mortalidad'!V12</f>
        <v>486875</v>
      </c>
      <c r="Q32" s="16">
        <f>'Tabla de mortalidad'!V51</f>
        <v>487718</v>
      </c>
      <c r="R32" s="16">
        <f t="shared" si="15"/>
        <v>487296.5</v>
      </c>
      <c r="S32" s="16">
        <f t="shared" si="16"/>
        <v>0.99614197926724279</v>
      </c>
      <c r="T32" s="16">
        <f t="shared" si="17"/>
        <v>72639</v>
      </c>
      <c r="U32" s="16">
        <f>'Tabla de mortalidad'!O12</f>
        <v>67596</v>
      </c>
      <c r="V32" s="16">
        <f t="shared" si="18"/>
        <v>-5043</v>
      </c>
      <c r="W32" s="16" t="str">
        <f t="shared" si="19"/>
        <v>Inmigración</v>
      </c>
    </row>
    <row r="33" spans="2:23" x14ac:dyDescent="0.25">
      <c r="B33" s="47" t="s">
        <v>519</v>
      </c>
      <c r="C33" s="16">
        <f>'Tabla de mortalidad'!C52</f>
        <v>64846</v>
      </c>
      <c r="D33" s="16">
        <f>'Tabla de mortalidad'!J13</f>
        <v>471713</v>
      </c>
      <c r="E33" s="16">
        <f>'Tabla de mortalidad'!J52</f>
        <v>472473</v>
      </c>
      <c r="F33" s="16">
        <f t="shared" si="10"/>
        <v>472093</v>
      </c>
      <c r="G33" s="16">
        <f t="shared" si="11"/>
        <v>0.98464815195311095</v>
      </c>
      <c r="H33" s="16">
        <f t="shared" si="12"/>
        <v>55989</v>
      </c>
      <c r="I33" s="16">
        <f>'Tabla de mortalidad'!C13</f>
        <v>52788</v>
      </c>
      <c r="J33" s="16">
        <f t="shared" si="13"/>
        <v>-3201</v>
      </c>
      <c r="K33" s="16" t="str">
        <f t="shared" si="14"/>
        <v>Inmigración</v>
      </c>
      <c r="N33" s="47" t="s">
        <v>519</v>
      </c>
      <c r="O33" s="16">
        <f>'Tabla de mortalidad'!O52</f>
        <v>72359</v>
      </c>
      <c r="P33" s="16">
        <f>'Tabla de mortalidad'!V13</f>
        <v>484875</v>
      </c>
      <c r="Q33" s="16">
        <f>'Tabla de mortalidad'!V52</f>
        <v>485958</v>
      </c>
      <c r="R33" s="16">
        <f t="shared" si="15"/>
        <v>485416.5</v>
      </c>
      <c r="S33" s="16">
        <f t="shared" si="16"/>
        <v>0.9936600836601146</v>
      </c>
      <c r="T33" s="16">
        <f t="shared" si="17"/>
        <v>61865</v>
      </c>
      <c r="U33" s="16">
        <f>'Tabla de mortalidad'!O13</f>
        <v>59307</v>
      </c>
      <c r="V33" s="16">
        <f t="shared" si="18"/>
        <v>-2558</v>
      </c>
      <c r="W33" s="16" t="str">
        <f t="shared" si="19"/>
        <v>Inmigración</v>
      </c>
    </row>
    <row r="34" spans="2:23" x14ac:dyDescent="0.25">
      <c r="B34" s="47" t="s">
        <v>520</v>
      </c>
      <c r="C34" s="16">
        <f>'Tabla de mortalidad'!C53</f>
        <v>55129</v>
      </c>
      <c r="D34" s="16">
        <f>'Tabla de mortalidad'!J14</f>
        <v>464293</v>
      </c>
      <c r="E34" s="16">
        <f>'Tabla de mortalidad'!J53</f>
        <v>465398</v>
      </c>
      <c r="F34" s="16">
        <f t="shared" si="10"/>
        <v>464845.5</v>
      </c>
      <c r="G34" s="16">
        <f t="shared" si="11"/>
        <v>0.97745487479173188</v>
      </c>
      <c r="H34" s="16">
        <f t="shared" si="12"/>
        <v>46071</v>
      </c>
      <c r="I34" s="16">
        <f>'Tabla de mortalidad'!C14</f>
        <v>44265</v>
      </c>
      <c r="J34" s="16">
        <f t="shared" si="13"/>
        <v>-1806</v>
      </c>
      <c r="K34" s="16" t="str">
        <f t="shared" si="14"/>
        <v>Inmigración</v>
      </c>
      <c r="N34" s="47" t="s">
        <v>520</v>
      </c>
      <c r="O34" s="16">
        <f>'Tabla de mortalidad'!O53</f>
        <v>61473</v>
      </c>
      <c r="P34" s="16">
        <f>'Tabla de mortalidad'!V14</f>
        <v>481995</v>
      </c>
      <c r="Q34" s="16">
        <f>'Tabla de mortalidad'!V53</f>
        <v>482683</v>
      </c>
      <c r="R34" s="16">
        <f t="shared" si="15"/>
        <v>482339</v>
      </c>
      <c r="S34" s="16">
        <f t="shared" si="16"/>
        <v>0.98893413138891939</v>
      </c>
      <c r="T34" s="16">
        <f t="shared" si="17"/>
        <v>50444</v>
      </c>
      <c r="U34" s="16">
        <f>'Tabla de mortalidad'!O14</f>
        <v>48552</v>
      </c>
      <c r="V34" s="16">
        <f t="shared" si="18"/>
        <v>-1892</v>
      </c>
      <c r="W34" s="16" t="str">
        <f t="shared" si="19"/>
        <v>Inmigración</v>
      </c>
    </row>
    <row r="35" spans="2:23" x14ac:dyDescent="0.25">
      <c r="B35" s="47" t="s">
        <v>521</v>
      </c>
      <c r="C35" s="16">
        <f>'Tabla de mortalidad'!C54</f>
        <v>45032</v>
      </c>
      <c r="D35" s="16">
        <f>'Tabla de mortalidad'!J15</f>
        <v>452878</v>
      </c>
      <c r="E35" s="16">
        <f>'Tabla de mortalidad'!J54</f>
        <v>455853</v>
      </c>
      <c r="F35" s="16">
        <f t="shared" si="10"/>
        <v>454365.5</v>
      </c>
      <c r="G35" s="16">
        <f t="shared" si="11"/>
        <v>0.96826783723676202</v>
      </c>
      <c r="H35" s="16">
        <f t="shared" si="12"/>
        <v>37685</v>
      </c>
      <c r="I35" s="16">
        <f>'Tabla de mortalidad'!C15</f>
        <v>35890</v>
      </c>
      <c r="J35" s="16">
        <f t="shared" si="13"/>
        <v>-1795</v>
      </c>
      <c r="K35" s="16" t="str">
        <f t="shared" si="14"/>
        <v>Inmigración</v>
      </c>
      <c r="N35" s="47" t="s">
        <v>521</v>
      </c>
      <c r="O35" s="16">
        <f>'Tabla de mortalidad'!O54</f>
        <v>49886</v>
      </c>
      <c r="P35" s="16">
        <f>'Tabla de mortalidad'!V15</f>
        <v>476860</v>
      </c>
      <c r="Q35" s="16">
        <f>'Tabla de mortalidad'!V54</f>
        <v>477143</v>
      </c>
      <c r="R35" s="16">
        <f t="shared" si="15"/>
        <v>477001.5</v>
      </c>
      <c r="S35" s="16">
        <f t="shared" si="16"/>
        <v>0.98230823173512039</v>
      </c>
      <c r="T35" s="16">
        <f t="shared" si="17"/>
        <v>40640</v>
      </c>
      <c r="U35" s="16">
        <f>'Tabla de mortalidad'!O15</f>
        <v>38673</v>
      </c>
      <c r="V35" s="16">
        <f t="shared" si="18"/>
        <v>-1967</v>
      </c>
      <c r="W35" s="16" t="str">
        <f t="shared" si="19"/>
        <v>Inmigración</v>
      </c>
    </row>
    <row r="36" spans="2:23" x14ac:dyDescent="0.25">
      <c r="B36" s="47" t="s">
        <v>522</v>
      </c>
      <c r="C36" s="16">
        <f>'Tabla de mortalidad'!C55</f>
        <v>36489</v>
      </c>
      <c r="D36" s="16">
        <f>'Tabla de mortalidad'!J16</f>
        <v>438310</v>
      </c>
      <c r="E36" s="16">
        <f>'Tabla de mortalidad'!J55</f>
        <v>441585</v>
      </c>
      <c r="F36" s="16">
        <f t="shared" si="10"/>
        <v>439947.5</v>
      </c>
      <c r="G36" s="16">
        <f t="shared" si="11"/>
        <v>0.95430477500156263</v>
      </c>
      <c r="H36" s="16">
        <f t="shared" si="12"/>
        <v>28907</v>
      </c>
      <c r="I36" s="16">
        <f>'Tabla de mortalidad'!C16</f>
        <v>27500</v>
      </c>
      <c r="J36" s="16">
        <f t="shared" si="13"/>
        <v>-1407</v>
      </c>
      <c r="K36" s="16" t="str">
        <f t="shared" si="14"/>
        <v>Inmigración</v>
      </c>
      <c r="N36" s="47" t="s">
        <v>522</v>
      </c>
      <c r="O36" s="16">
        <f>'Tabla de mortalidad'!O55</f>
        <v>39921</v>
      </c>
      <c r="P36" s="16">
        <f>'Tabla de mortalidad'!V16</f>
        <v>468905</v>
      </c>
      <c r="Q36" s="16">
        <f>'Tabla de mortalidad'!V55</f>
        <v>468220</v>
      </c>
      <c r="R36" s="16">
        <f t="shared" si="15"/>
        <v>468562.5</v>
      </c>
      <c r="S36" s="16">
        <f t="shared" si="16"/>
        <v>0.97261944777911169</v>
      </c>
      <c r="T36" s="16">
        <f t="shared" si="17"/>
        <v>31187</v>
      </c>
      <c r="U36" s="16">
        <f>'Tabla de mortalidad'!O16</f>
        <v>29433</v>
      </c>
      <c r="V36" s="16">
        <f t="shared" si="18"/>
        <v>-1754</v>
      </c>
      <c r="W36" s="16" t="str">
        <f t="shared" si="19"/>
        <v>Inmigración</v>
      </c>
    </row>
    <row r="37" spans="2:23" x14ac:dyDescent="0.25">
      <c r="B37" s="47" t="s">
        <v>523</v>
      </c>
      <c r="C37" s="16">
        <f>'Tabla de mortalidad'!C56</f>
        <v>27586</v>
      </c>
      <c r="D37" s="16">
        <f>'Tabla de mortalidad'!J17</f>
        <v>417663</v>
      </c>
      <c r="E37" s="16">
        <f>'Tabla de mortalidad'!J56</f>
        <v>422025</v>
      </c>
      <c r="F37" s="16">
        <f t="shared" si="10"/>
        <v>419844</v>
      </c>
      <c r="G37" s="16">
        <f t="shared" si="11"/>
        <v>0.93468407313192514</v>
      </c>
      <c r="H37" s="16">
        <f t="shared" si="12"/>
        <v>21591</v>
      </c>
      <c r="I37" s="16">
        <f>'Tabla de mortalidad'!C17</f>
        <v>20388</v>
      </c>
      <c r="J37" s="16">
        <f t="shared" si="13"/>
        <v>-1203</v>
      </c>
      <c r="K37" s="16" t="str">
        <f t="shared" si="14"/>
        <v>Inmigración</v>
      </c>
      <c r="N37" s="47" t="s">
        <v>523</v>
      </c>
      <c r="O37" s="16">
        <f>'Tabla de mortalidad'!O56</f>
        <v>30333</v>
      </c>
      <c r="P37" s="16">
        <f>'Tabla de mortalidad'!V17</f>
        <v>456088</v>
      </c>
      <c r="Q37" s="16">
        <f>'Tabla de mortalidad'!V56</f>
        <v>455378</v>
      </c>
      <c r="R37" s="16">
        <f t="shared" si="15"/>
        <v>455733</v>
      </c>
      <c r="S37" s="16">
        <f t="shared" si="16"/>
        <v>0.95537299251974295</v>
      </c>
      <c r="T37" s="16">
        <f t="shared" si="17"/>
        <v>23776</v>
      </c>
      <c r="U37" s="16">
        <f>'Tabla de mortalidad'!O17</f>
        <v>21991</v>
      </c>
      <c r="V37" s="16">
        <f t="shared" si="18"/>
        <v>-1785</v>
      </c>
      <c r="W37" s="16" t="str">
        <f t="shared" si="19"/>
        <v>Inmigración</v>
      </c>
    </row>
    <row r="38" spans="2:23" x14ac:dyDescent="0.25">
      <c r="B38" s="47" t="s">
        <v>524</v>
      </c>
      <c r="C38" s="16">
        <f>'Tabla de mortalidad'!C57</f>
        <v>20181</v>
      </c>
      <c r="D38" s="16">
        <f>'Tabla de mortalidad'!J18</f>
        <v>388243</v>
      </c>
      <c r="E38" s="16">
        <f>'Tabla de mortalidad'!J57</f>
        <v>396600</v>
      </c>
      <c r="F38" s="16">
        <f t="shared" si="10"/>
        <v>392421.5</v>
      </c>
      <c r="G38" s="16">
        <f t="shared" si="11"/>
        <v>0.90937423153420494</v>
      </c>
      <c r="H38" s="16">
        <f t="shared" si="12"/>
        <v>16603</v>
      </c>
      <c r="I38" s="16">
        <f>'Tabla de mortalidad'!C18</f>
        <v>15625</v>
      </c>
      <c r="J38" s="16">
        <f t="shared" si="13"/>
        <v>-978</v>
      </c>
      <c r="K38" s="16" t="str">
        <f t="shared" si="14"/>
        <v>Inmigración</v>
      </c>
      <c r="N38" s="47" t="s">
        <v>524</v>
      </c>
      <c r="O38" s="16">
        <f>'Tabla de mortalidad'!O57</f>
        <v>22715</v>
      </c>
      <c r="P38" s="16">
        <f>'Tabla de mortalidad'!V18</f>
        <v>434935</v>
      </c>
      <c r="Q38" s="16">
        <f>'Tabla de mortalidad'!V57</f>
        <v>435855</v>
      </c>
      <c r="R38" s="16">
        <f t="shared" si="15"/>
        <v>435395</v>
      </c>
      <c r="S38" s="16">
        <f t="shared" si="16"/>
        <v>0.93026217572549064</v>
      </c>
      <c r="T38" s="16">
        <f t="shared" si="17"/>
        <v>18610</v>
      </c>
      <c r="U38" s="16">
        <f>'Tabla de mortalidad'!O18</f>
        <v>17410</v>
      </c>
      <c r="V38" s="16">
        <f t="shared" si="18"/>
        <v>-1200</v>
      </c>
      <c r="W38" s="16" t="str">
        <f t="shared" si="19"/>
        <v>Inmigración</v>
      </c>
    </row>
    <row r="39" spans="2:23" x14ac:dyDescent="0.25">
      <c r="B39" s="47" t="s">
        <v>525</v>
      </c>
      <c r="C39" s="16">
        <f>'Tabla de mortalidad'!C58</f>
        <v>15098</v>
      </c>
      <c r="D39" s="16">
        <f>'Tabla de mortalidad'!J19</f>
        <v>352283</v>
      </c>
      <c r="E39" s="16">
        <f>'Tabla de mortalidad'!J58</f>
        <v>361433</v>
      </c>
      <c r="F39" s="16">
        <f t="shared" si="10"/>
        <v>356858</v>
      </c>
      <c r="G39" s="16">
        <f t="shared" si="11"/>
        <v>0.87074270438101431</v>
      </c>
      <c r="H39" s="16">
        <f t="shared" si="12"/>
        <v>12958</v>
      </c>
      <c r="I39" s="16">
        <f>'Tabla de mortalidad'!C19</f>
        <v>11879</v>
      </c>
      <c r="J39" s="16">
        <f t="shared" si="13"/>
        <v>-1079</v>
      </c>
      <c r="K39" s="16" t="str">
        <f t="shared" si="14"/>
        <v>Inmigración</v>
      </c>
      <c r="N39" s="47" t="s">
        <v>525</v>
      </c>
      <c r="O39" s="16">
        <f>'Tabla de mortalidad'!O58</f>
        <v>17312</v>
      </c>
      <c r="P39" s="16">
        <f>'Tabla de mortalidad'!V19</f>
        <v>402893</v>
      </c>
      <c r="Q39" s="16">
        <f>'Tabla de mortalidad'!V58</f>
        <v>407170</v>
      </c>
      <c r="R39" s="16">
        <f t="shared" si="15"/>
        <v>405031.5</v>
      </c>
      <c r="S39" s="16">
        <f t="shared" si="16"/>
        <v>0.90099535468229019</v>
      </c>
      <c r="T39" s="16">
        <f t="shared" si="17"/>
        <v>14482</v>
      </c>
      <c r="U39" s="16">
        <f>'Tabla de mortalidad'!O19</f>
        <v>13411</v>
      </c>
      <c r="V39" s="16">
        <f t="shared" si="18"/>
        <v>-1071</v>
      </c>
      <c r="W39" s="16" t="str">
        <f t="shared" si="19"/>
        <v>Inmigración</v>
      </c>
    </row>
    <row r="40" spans="2:23" x14ac:dyDescent="0.25">
      <c r="B40" s="47" t="s">
        <v>526</v>
      </c>
      <c r="C40" s="16">
        <f>'Tabla de mortalidad'!C59</f>
        <v>11283</v>
      </c>
      <c r="D40" s="16">
        <f>'Tabla de mortalidad'!J20</f>
        <v>304245</v>
      </c>
      <c r="E40" s="16">
        <f>'Tabla de mortalidad'!J59</f>
        <v>317218</v>
      </c>
      <c r="F40" s="16">
        <f t="shared" si="10"/>
        <v>310731.5</v>
      </c>
      <c r="G40" s="16">
        <f t="shared" si="11"/>
        <v>0.81574446105399678</v>
      </c>
      <c r="H40" s="16">
        <f t="shared" si="12"/>
        <v>9358</v>
      </c>
      <c r="I40" s="16">
        <f>'Tabla de mortalidad'!C20</f>
        <v>8635</v>
      </c>
      <c r="J40" s="16">
        <f t="shared" si="13"/>
        <v>-723</v>
      </c>
      <c r="K40" s="16" t="str">
        <f t="shared" si="14"/>
        <v>Inmigración</v>
      </c>
      <c r="N40" s="47" t="s">
        <v>526</v>
      </c>
      <c r="O40" s="16">
        <f>'Tabla de mortalidad'!O59</f>
        <v>13048</v>
      </c>
      <c r="P40" s="16">
        <f>'Tabla de mortalidad'!V20</f>
        <v>360338</v>
      </c>
      <c r="Q40" s="16">
        <f>'Tabla de mortalidad'!V59</f>
        <v>369525</v>
      </c>
      <c r="R40" s="16">
        <f t="shared" si="15"/>
        <v>364931.5</v>
      </c>
      <c r="S40" s="16">
        <f t="shared" si="16"/>
        <v>0.85696356713520205</v>
      </c>
      <c r="T40" s="16">
        <f t="shared" si="17"/>
        <v>10519</v>
      </c>
      <c r="U40" s="16">
        <f>'Tabla de mortalidad'!O20</f>
        <v>9799</v>
      </c>
      <c r="V40" s="16">
        <f t="shared" si="18"/>
        <v>-720</v>
      </c>
      <c r="W40" s="16" t="str">
        <f t="shared" si="19"/>
        <v>Inmigración</v>
      </c>
    </row>
    <row r="41" spans="2:23" x14ac:dyDescent="0.25">
      <c r="B41" s="47" t="s">
        <v>527</v>
      </c>
      <c r="C41" s="16">
        <f>'Tabla de mortalidad'!C60</f>
        <v>7634</v>
      </c>
      <c r="D41" s="16">
        <f>'Tabla de mortalidad'!J21</f>
        <v>245225</v>
      </c>
      <c r="E41" s="16">
        <f>'Tabla de mortalidad'!J60</f>
        <v>261730</v>
      </c>
      <c r="F41" s="16">
        <f t="shared" si="10"/>
        <v>253477.5</v>
      </c>
      <c r="G41" s="16">
        <f t="shared" si="11"/>
        <v>0.73010030476077759</v>
      </c>
      <c r="H41" s="16">
        <f t="shared" si="12"/>
        <v>6417</v>
      </c>
      <c r="I41" s="16">
        <f>'Tabla de mortalidad'!C21</f>
        <v>6155</v>
      </c>
      <c r="J41" s="16">
        <f t="shared" si="13"/>
        <v>-262</v>
      </c>
      <c r="K41" s="16" t="str">
        <f t="shared" si="14"/>
        <v>Inmigración</v>
      </c>
      <c r="N41" s="47" t="s">
        <v>527</v>
      </c>
      <c r="O41" s="16">
        <f>'Tabla de mortalidad'!O60</f>
        <v>9014</v>
      </c>
      <c r="P41" s="16">
        <f>'Tabla de mortalidad'!V21</f>
        <v>307193</v>
      </c>
      <c r="Q41" s="16">
        <f>'Tabla de mortalidad'!V60</f>
        <v>318273</v>
      </c>
      <c r="R41" s="16">
        <f t="shared" si="15"/>
        <v>312733</v>
      </c>
      <c r="S41" s="16">
        <f t="shared" si="16"/>
        <v>0.77134488525355493</v>
      </c>
      <c r="T41" s="16">
        <f t="shared" si="17"/>
        <v>8009</v>
      </c>
      <c r="U41" s="16">
        <f>'Tabla de mortalidad'!O21</f>
        <v>7207</v>
      </c>
      <c r="V41" s="16">
        <f t="shared" si="18"/>
        <v>-802</v>
      </c>
      <c r="W41" s="16" t="str">
        <f t="shared" si="19"/>
        <v>Inmigración</v>
      </c>
    </row>
    <row r="42" spans="2:23" x14ac:dyDescent="0.25">
      <c r="B42" s="47" t="s">
        <v>528</v>
      </c>
      <c r="C42" s="16">
        <f>'Tabla de mortalidad'!C61</f>
        <v>4685</v>
      </c>
      <c r="D42" s="16">
        <f>'Tabla de mortalidad'!J22</f>
        <v>179553</v>
      </c>
      <c r="E42" s="16">
        <f>'Tabla de mortalidad'!J61</f>
        <v>190575</v>
      </c>
      <c r="F42" s="16">
        <f t="shared" si="10"/>
        <v>185064</v>
      </c>
      <c r="G42" s="16">
        <f t="shared" si="11"/>
        <v>0.95830631565296331</v>
      </c>
      <c r="H42" s="16">
        <f t="shared" si="12"/>
        <v>4260</v>
      </c>
      <c r="I42" s="16">
        <f>'Tabla de mortalidad'!C22</f>
        <v>3801</v>
      </c>
      <c r="J42" s="16">
        <f t="shared" si="13"/>
        <v>-459</v>
      </c>
      <c r="K42" s="16" t="str">
        <f t="shared" si="14"/>
        <v>Inmigración</v>
      </c>
      <c r="N42" s="47" t="s">
        <v>528</v>
      </c>
      <c r="O42" s="16">
        <f>'Tabla de mortalidad'!O61</f>
        <v>6178</v>
      </c>
      <c r="P42" s="16">
        <f>'Tabla de mortalidad'!V22</f>
        <v>234865</v>
      </c>
      <c r="Q42" s="16">
        <f>'Tabla de mortalidad'!V61</f>
        <v>247585</v>
      </c>
      <c r="R42" s="16">
        <f t="shared" si="15"/>
        <v>241225</v>
      </c>
      <c r="S42" s="16">
        <f t="shared" si="16"/>
        <v>0.99234739351228107</v>
      </c>
      <c r="T42" s="16">
        <f t="shared" si="17"/>
        <v>5937</v>
      </c>
      <c r="U42" s="16">
        <f>'Tabla de mortalidad'!O22</f>
        <v>4677</v>
      </c>
      <c r="V42" s="16">
        <f t="shared" si="18"/>
        <v>-1260</v>
      </c>
      <c r="W42" s="16" t="str">
        <f t="shared" si="19"/>
        <v>Inmigración</v>
      </c>
    </row>
    <row r="43" spans="2:23" x14ac:dyDescent="0.25">
      <c r="B43" s="47" t="s">
        <v>529</v>
      </c>
      <c r="C43" s="16">
        <f>'Tabla de mortalidad'!C62</f>
        <v>4082</v>
      </c>
      <c r="D43" s="16">
        <f>'Tabla de mortalidad'!J23</f>
        <v>173232</v>
      </c>
      <c r="E43" s="16">
        <f>'Tabla de mortalidad'!J62</f>
        <v>181464</v>
      </c>
      <c r="F43" s="16">
        <f t="shared" si="10"/>
        <v>177348</v>
      </c>
      <c r="G43" s="16"/>
      <c r="H43" s="16"/>
      <c r="I43" s="16"/>
      <c r="J43" s="16"/>
      <c r="K43" s="16"/>
      <c r="N43" s="47" t="s">
        <v>529</v>
      </c>
      <c r="O43" s="16">
        <f>'Tabla de mortalidad'!O62</f>
        <v>5892</v>
      </c>
      <c r="P43" s="16">
        <f>'Tabla de mortalidad'!V23</f>
        <v>230466</v>
      </c>
      <c r="Q43" s="16">
        <f>'Tabla de mortalidad'!V62</f>
        <v>248292</v>
      </c>
      <c r="R43" s="16">
        <f t="shared" si="15"/>
        <v>239379</v>
      </c>
      <c r="S43" s="16"/>
      <c r="T43" s="16"/>
      <c r="U43" s="16"/>
      <c r="V43" s="16"/>
      <c r="W43" s="16"/>
    </row>
  </sheetData>
  <mergeCells count="8">
    <mergeCell ref="B2:K2"/>
    <mergeCell ref="V3:W3"/>
    <mergeCell ref="N2:W2"/>
    <mergeCell ref="V25:W25"/>
    <mergeCell ref="N24:W24"/>
    <mergeCell ref="J25:K25"/>
    <mergeCell ref="B24:K24"/>
    <mergeCell ref="J3:K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A29D-6F46-43AF-A48B-4CC250C66172}">
  <dimension ref="A2:AT106"/>
  <sheetViews>
    <sheetView zoomScale="25" zoomScaleNormal="25" workbookViewId="0">
      <selection activeCell="AM6" sqref="AM6"/>
    </sheetView>
  </sheetViews>
  <sheetFormatPr baseColWidth="10" defaultRowHeight="15" x14ac:dyDescent="0.25"/>
  <cols>
    <col min="1" max="1" width="16.5703125" customWidth="1"/>
    <col min="2" max="2" width="14.42578125" customWidth="1"/>
    <col min="3" max="3" width="12.42578125" bestFit="1" customWidth="1"/>
    <col min="4" max="4" width="15.7109375" customWidth="1"/>
    <col min="5" max="5" width="15" bestFit="1" customWidth="1"/>
    <col min="6" max="6" width="13.7109375" customWidth="1"/>
    <col min="24" max="24" width="16.5703125" customWidth="1"/>
    <col min="25" max="25" width="11.28515625" customWidth="1"/>
    <col min="26" max="26" width="13" customWidth="1"/>
    <col min="41" max="41" width="14.85546875" customWidth="1"/>
    <col min="43" max="43" width="0" hidden="1" customWidth="1"/>
    <col min="45" max="45" width="20.28515625" customWidth="1"/>
    <col min="46" max="46" width="19.7109375" customWidth="1"/>
  </cols>
  <sheetData>
    <row r="2" spans="1:46" x14ac:dyDescent="0.25">
      <c r="A2" s="179" t="s">
        <v>210</v>
      </c>
      <c r="B2" s="179"/>
      <c r="C2" s="179"/>
      <c r="D2" s="179"/>
      <c r="E2" s="179" t="s">
        <v>212</v>
      </c>
      <c r="F2" s="179"/>
      <c r="X2" s="179" t="s">
        <v>213</v>
      </c>
      <c r="Y2" s="179"/>
      <c r="Z2" s="179"/>
      <c r="AA2" s="179"/>
      <c r="AB2" s="179" t="s">
        <v>212</v>
      </c>
      <c r="AC2" s="179"/>
      <c r="AO2" s="179" t="s">
        <v>211</v>
      </c>
      <c r="AP2" s="179"/>
      <c r="AQ2" s="179"/>
      <c r="AR2" s="179"/>
      <c r="AS2" s="179" t="s">
        <v>219</v>
      </c>
      <c r="AT2" s="179"/>
    </row>
    <row r="3" spans="1:46" ht="19.149999999999999" customHeight="1" x14ac:dyDescent="0.25">
      <c r="A3" s="4" t="s">
        <v>0</v>
      </c>
      <c r="B3" s="4" t="s">
        <v>2</v>
      </c>
      <c r="C3" s="4" t="s">
        <v>209</v>
      </c>
      <c r="D3" s="4" t="s">
        <v>3</v>
      </c>
      <c r="E3" s="5" t="s">
        <v>1</v>
      </c>
      <c r="F3" s="5" t="s">
        <v>4</v>
      </c>
      <c r="X3" t="s">
        <v>0</v>
      </c>
      <c r="Y3" t="s">
        <v>2</v>
      </c>
      <c r="Z3" t="s">
        <v>217</v>
      </c>
      <c r="AA3" t="s">
        <v>3</v>
      </c>
      <c r="AB3" t="s">
        <v>1</v>
      </c>
      <c r="AC3" t="s">
        <v>4</v>
      </c>
      <c r="AM3" s="14"/>
      <c r="AN3" s="14"/>
      <c r="AO3" t="s">
        <v>0</v>
      </c>
      <c r="AP3" t="s">
        <v>2</v>
      </c>
      <c r="AQ3" t="s">
        <v>217</v>
      </c>
      <c r="AR3" t="s">
        <v>3</v>
      </c>
      <c r="AS3" t="s">
        <v>1</v>
      </c>
      <c r="AT3" t="s">
        <v>218</v>
      </c>
    </row>
    <row r="4" spans="1:46" x14ac:dyDescent="0.25">
      <c r="A4" s="4" t="s">
        <v>5</v>
      </c>
      <c r="B4" s="6">
        <f>-C4</f>
        <v>-17671</v>
      </c>
      <c r="C4" s="7">
        <v>17671</v>
      </c>
      <c r="D4" s="7">
        <v>16719</v>
      </c>
      <c r="E4" s="8">
        <f t="shared" ref="E4:E35" si="0">B4/$E$106</f>
        <v>-9.7361096112608507E-3</v>
      </c>
      <c r="F4" s="8">
        <f t="shared" ref="F4:F35" si="1">D4/$E$106</f>
        <v>9.2115905489598884E-3</v>
      </c>
      <c r="V4" s="9"/>
      <c r="X4" t="s">
        <v>220</v>
      </c>
      <c r="Y4" s="9">
        <f>-Z4</f>
        <v>-90972</v>
      </c>
      <c r="Z4" s="14">
        <v>90972</v>
      </c>
      <c r="AA4">
        <v>87944</v>
      </c>
      <c r="AB4" s="13">
        <f t="shared" ref="AB4:AB18" si="2">Y4/$E$106</f>
        <v>-5.0122424512230333E-2</v>
      </c>
      <c r="AC4" s="13">
        <f t="shared" ref="AC4:AC18" si="3">AA4/$E$106</f>
        <v>4.8454101276256253E-2</v>
      </c>
      <c r="AM4" s="14"/>
      <c r="AN4" s="14"/>
      <c r="AO4" t="s">
        <v>214</v>
      </c>
      <c r="AP4" s="14">
        <f>-1*AQ4</f>
        <v>-276655</v>
      </c>
      <c r="AQ4">
        <v>276655</v>
      </c>
      <c r="AR4">
        <v>268410</v>
      </c>
      <c r="AS4" s="13">
        <f t="shared" ref="AS4:AS6" si="4">AP4/$E$106</f>
        <v>-0.15242733317318605</v>
      </c>
      <c r="AT4" s="13">
        <f t="shared" ref="AT4:AT6" si="5">AR4/$E$106</f>
        <v>0.14788462343718664</v>
      </c>
    </row>
    <row r="5" spans="1:46" x14ac:dyDescent="0.25">
      <c r="A5" s="4" t="s">
        <v>6</v>
      </c>
      <c r="B5" s="6">
        <f t="shared" ref="B5:B68" si="6">-C5</f>
        <v>-17617</v>
      </c>
      <c r="C5" s="7">
        <v>17617</v>
      </c>
      <c r="D5" s="7">
        <v>17033</v>
      </c>
      <c r="E5" s="8">
        <f t="shared" si="0"/>
        <v>-9.706357479575713E-3</v>
      </c>
      <c r="F5" s="8">
        <f t="shared" si="1"/>
        <v>9.3845936850549538E-3</v>
      </c>
      <c r="V5" s="9"/>
      <c r="X5" t="s">
        <v>221</v>
      </c>
      <c r="Y5" s="9">
        <f t="shared" ref="Y5:Y18" si="7">-Z5</f>
        <v>-93230</v>
      </c>
      <c r="Z5" s="14">
        <v>93230</v>
      </c>
      <c r="AA5">
        <v>90311</v>
      </c>
      <c r="AB5" s="13">
        <f t="shared" si="2"/>
        <v>-5.1366504388990389E-2</v>
      </c>
      <c r="AC5" s="13">
        <f t="shared" si="3"/>
        <v>4.9758236381788168E-2</v>
      </c>
      <c r="AM5" s="14"/>
      <c r="AN5" s="14"/>
      <c r="AO5" t="s">
        <v>216</v>
      </c>
      <c r="AP5" s="14">
        <f t="shared" ref="AP5:AP6" si="8">-1*AQ5</f>
        <v>-561632</v>
      </c>
      <c r="AQ5">
        <v>561632</v>
      </c>
      <c r="AR5">
        <v>614909</v>
      </c>
      <c r="AS5" s="13">
        <f t="shared" si="4"/>
        <v>-0.30943980041829294</v>
      </c>
      <c r="AT5" s="13">
        <f t="shared" si="5"/>
        <v>0.33879358411809174</v>
      </c>
    </row>
    <row r="6" spans="1:46" x14ac:dyDescent="0.25">
      <c r="A6" s="4" t="s">
        <v>7</v>
      </c>
      <c r="B6" s="6">
        <f t="shared" si="6"/>
        <v>-18726</v>
      </c>
      <c r="C6" s="7">
        <v>18726</v>
      </c>
      <c r="D6" s="7">
        <v>18113</v>
      </c>
      <c r="E6" s="8">
        <f t="shared" si="0"/>
        <v>-1.0317378109924209E-2</v>
      </c>
      <c r="F6" s="8">
        <f t="shared" si="1"/>
        <v>9.9796363187577269E-3</v>
      </c>
      <c r="V6" s="9"/>
      <c r="X6" t="s">
        <v>222</v>
      </c>
      <c r="Y6" s="9">
        <f t="shared" si="7"/>
        <v>-92453</v>
      </c>
      <c r="Z6" s="14">
        <v>92453</v>
      </c>
      <c r="AA6">
        <v>90155</v>
      </c>
      <c r="AB6" s="13">
        <f t="shared" si="2"/>
        <v>-5.0938404271965339E-2</v>
      </c>
      <c r="AC6" s="13">
        <f t="shared" si="3"/>
        <v>4.9672285779142213E-2</v>
      </c>
      <c r="AO6" t="s">
        <v>215</v>
      </c>
      <c r="AP6" s="14">
        <f t="shared" si="8"/>
        <v>-42419</v>
      </c>
      <c r="AQ6">
        <v>42419</v>
      </c>
      <c r="AR6">
        <v>50971</v>
      </c>
      <c r="AS6" s="13">
        <f t="shared" si="4"/>
        <v>-2.3371401369479603E-2</v>
      </c>
      <c r="AT6" s="13">
        <f t="shared" si="5"/>
        <v>2.8083257483763051E-2</v>
      </c>
    </row>
    <row r="7" spans="1:46" x14ac:dyDescent="0.25">
      <c r="A7" s="4" t="s">
        <v>8</v>
      </c>
      <c r="B7" s="6">
        <f t="shared" si="6"/>
        <v>-18573</v>
      </c>
      <c r="C7" s="7">
        <v>18573</v>
      </c>
      <c r="D7" s="7">
        <v>18306</v>
      </c>
      <c r="E7" s="8">
        <f t="shared" si="0"/>
        <v>-1.0233080403482983E-2</v>
      </c>
      <c r="F7" s="8">
        <f t="shared" si="1"/>
        <v>1.008597264126202E-2</v>
      </c>
      <c r="V7" s="9"/>
      <c r="X7" t="s">
        <v>223</v>
      </c>
      <c r="Y7" s="9">
        <f t="shared" si="7"/>
        <v>-92904</v>
      </c>
      <c r="Z7" s="14">
        <v>92904</v>
      </c>
      <c r="AA7">
        <v>94337</v>
      </c>
      <c r="AB7" s="13">
        <f t="shared" si="2"/>
        <v>-5.1186889668076406E-2</v>
      </c>
      <c r="AC7" s="13">
        <f t="shared" si="3"/>
        <v>5.1976423088535735E-2</v>
      </c>
    </row>
    <row r="8" spans="1:46" x14ac:dyDescent="0.25">
      <c r="A8" s="4" t="s">
        <v>9</v>
      </c>
      <c r="B8" s="6">
        <f t="shared" si="6"/>
        <v>-18385</v>
      </c>
      <c r="C8" s="7">
        <v>18385</v>
      </c>
      <c r="D8" s="7">
        <v>17773</v>
      </c>
      <c r="E8" s="8">
        <f t="shared" si="0"/>
        <v>-1.0129498907986574E-2</v>
      </c>
      <c r="F8" s="8">
        <f t="shared" si="1"/>
        <v>9.7923080822216683E-3</v>
      </c>
      <c r="V8" s="9"/>
      <c r="X8" t="s">
        <v>224</v>
      </c>
      <c r="Y8" s="9">
        <f t="shared" si="7"/>
        <v>-80717</v>
      </c>
      <c r="Z8" s="14">
        <v>80717</v>
      </c>
      <c r="AA8">
        <v>87803</v>
      </c>
      <c r="AB8" s="13">
        <f t="shared" si="2"/>
        <v>-4.4472274319061859E-2</v>
      </c>
      <c r="AC8" s="13">
        <f t="shared" si="3"/>
        <v>4.837641515463395E-2</v>
      </c>
      <c r="AR8" s="10"/>
    </row>
    <row r="9" spans="1:46" x14ac:dyDescent="0.25">
      <c r="A9" s="4" t="s">
        <v>10</v>
      </c>
      <c r="B9" s="6">
        <f t="shared" si="6"/>
        <v>-18381</v>
      </c>
      <c r="C9" s="7">
        <v>18381</v>
      </c>
      <c r="D9" s="7">
        <v>17639</v>
      </c>
      <c r="E9" s="8">
        <f t="shared" si="0"/>
        <v>-1.0127295046380267E-2</v>
      </c>
      <c r="F9" s="8">
        <f t="shared" si="1"/>
        <v>9.718478718410398E-3</v>
      </c>
      <c r="V9" s="9"/>
      <c r="X9" t="s">
        <v>225</v>
      </c>
      <c r="Y9" s="9">
        <f t="shared" si="7"/>
        <v>-72317</v>
      </c>
      <c r="Z9" s="14">
        <v>72317</v>
      </c>
      <c r="AA9">
        <v>80983</v>
      </c>
      <c r="AB9" s="13">
        <f t="shared" si="2"/>
        <v>-3.9844164945818064E-2</v>
      </c>
      <c r="AC9" s="13">
        <f t="shared" si="3"/>
        <v>4.4618831115881247E-2</v>
      </c>
      <c r="AR9" s="10"/>
    </row>
    <row r="10" spans="1:46" x14ac:dyDescent="0.25">
      <c r="A10" s="4" t="s">
        <v>11</v>
      </c>
      <c r="B10" s="6">
        <f t="shared" si="6"/>
        <v>-18275</v>
      </c>
      <c r="C10" s="7">
        <v>18275</v>
      </c>
      <c r="D10" s="7">
        <v>17979</v>
      </c>
      <c r="E10" s="8">
        <f t="shared" si="0"/>
        <v>-1.0068892713813143E-2</v>
      </c>
      <c r="F10" s="8">
        <f t="shared" si="1"/>
        <v>9.9058069549464566E-3</v>
      </c>
      <c r="V10" s="9"/>
      <c r="X10" t="s">
        <v>226</v>
      </c>
      <c r="Y10" s="9">
        <f t="shared" si="7"/>
        <v>-68081</v>
      </c>
      <c r="Z10" s="14">
        <v>68081</v>
      </c>
      <c r="AA10">
        <v>77088</v>
      </c>
      <c r="AB10" s="13">
        <f t="shared" si="2"/>
        <v>-3.7510275504739406E-2</v>
      </c>
      <c r="AC10" s="13">
        <f t="shared" si="3"/>
        <v>4.2472820876740223E-2</v>
      </c>
      <c r="AP10" s="9"/>
      <c r="AR10" s="10"/>
    </row>
    <row r="11" spans="1:46" x14ac:dyDescent="0.25">
      <c r="A11" s="4" t="s">
        <v>12</v>
      </c>
      <c r="B11" s="6">
        <f t="shared" si="6"/>
        <v>-18632</v>
      </c>
      <c r="C11" s="7">
        <v>18632</v>
      </c>
      <c r="D11" s="7">
        <v>18147</v>
      </c>
      <c r="E11" s="8">
        <f t="shared" si="0"/>
        <v>-1.0265587362176004E-2</v>
      </c>
      <c r="F11" s="8">
        <f t="shared" si="1"/>
        <v>9.9983691424113327E-3</v>
      </c>
      <c r="V11" s="9"/>
      <c r="X11" t="s">
        <v>227</v>
      </c>
      <c r="Y11" s="9">
        <f t="shared" si="7"/>
        <v>-65728</v>
      </c>
      <c r="Z11" s="14">
        <v>65728</v>
      </c>
      <c r="AA11">
        <v>72710</v>
      </c>
      <c r="AB11" s="13">
        <f t="shared" si="2"/>
        <v>-3.6213853914829564E-2</v>
      </c>
      <c r="AC11" s="13">
        <f t="shared" si="3"/>
        <v>4.0060694348637682E-2</v>
      </c>
      <c r="AP11" s="9"/>
    </row>
    <row r="12" spans="1:46" x14ac:dyDescent="0.25">
      <c r="A12" s="4" t="s">
        <v>13</v>
      </c>
      <c r="B12" s="6">
        <f t="shared" si="6"/>
        <v>-19044</v>
      </c>
      <c r="C12" s="7">
        <v>19044</v>
      </c>
      <c r="D12" s="7">
        <v>18261</v>
      </c>
      <c r="E12" s="8">
        <f t="shared" si="0"/>
        <v>-1.0492585107625581E-2</v>
      </c>
      <c r="F12" s="8">
        <f t="shared" si="1"/>
        <v>1.0061179198191071E-2</v>
      </c>
      <c r="V12" s="9"/>
      <c r="X12" t="s">
        <v>228</v>
      </c>
      <c r="Y12" s="9">
        <f t="shared" si="7"/>
        <v>-53763</v>
      </c>
      <c r="Z12" s="14">
        <v>53763</v>
      </c>
      <c r="AA12">
        <v>60512</v>
      </c>
      <c r="AB12" s="13">
        <f t="shared" si="2"/>
        <v>-2.9621552884965034E-2</v>
      </c>
      <c r="AC12" s="13">
        <f t="shared" si="3"/>
        <v>3.3340018380205796E-2</v>
      </c>
    </row>
    <row r="13" spans="1:46" x14ac:dyDescent="0.25">
      <c r="A13" s="4" t="s">
        <v>14</v>
      </c>
      <c r="B13" s="6">
        <f t="shared" si="6"/>
        <v>-18898</v>
      </c>
      <c r="C13" s="7">
        <v>18898</v>
      </c>
      <c r="D13" s="7">
        <v>18285</v>
      </c>
      <c r="E13" s="8">
        <f t="shared" si="0"/>
        <v>-1.0412144158995391E-2</v>
      </c>
      <c r="F13" s="8">
        <f t="shared" si="1"/>
        <v>1.0074402367828909E-2</v>
      </c>
      <c r="V13" s="9"/>
      <c r="X13" t="s">
        <v>229</v>
      </c>
      <c r="Y13" s="9">
        <f t="shared" si="7"/>
        <v>-44472</v>
      </c>
      <c r="Z13" s="14">
        <v>44472</v>
      </c>
      <c r="AA13">
        <v>48977</v>
      </c>
      <c r="AB13" s="13">
        <f t="shared" si="2"/>
        <v>-2.450253333891645E-2</v>
      </c>
      <c r="AC13" s="13">
        <f t="shared" si="3"/>
        <v>2.6984632473019226E-2</v>
      </c>
    </row>
    <row r="14" spans="1:46" x14ac:dyDescent="0.25">
      <c r="A14" s="4" t="s">
        <v>15</v>
      </c>
      <c r="B14" s="6">
        <f t="shared" si="6"/>
        <v>-19701</v>
      </c>
      <c r="C14" s="7">
        <v>19701</v>
      </c>
      <c r="D14" s="7">
        <v>19475</v>
      </c>
      <c r="E14" s="8">
        <f t="shared" si="0"/>
        <v>-1.0854569376461436E-2</v>
      </c>
      <c r="F14" s="8">
        <f t="shared" si="1"/>
        <v>1.0730051195705114E-2</v>
      </c>
      <c r="V14" s="9"/>
      <c r="X14" t="s">
        <v>230</v>
      </c>
      <c r="Y14" s="9">
        <f t="shared" si="7"/>
        <v>-36628</v>
      </c>
      <c r="Z14" s="14">
        <v>36628</v>
      </c>
      <c r="AA14">
        <v>40242</v>
      </c>
      <c r="AB14" s="13">
        <f t="shared" si="2"/>
        <v>-2.0180760728949265E-2</v>
      </c>
      <c r="AC14" s="13">
        <f t="shared" si="3"/>
        <v>2.2171949690247252E-2</v>
      </c>
    </row>
    <row r="15" spans="1:46" x14ac:dyDescent="0.25">
      <c r="A15" s="4" t="s">
        <v>16</v>
      </c>
      <c r="B15" s="6">
        <f t="shared" si="6"/>
        <v>-17885</v>
      </c>
      <c r="C15" s="7">
        <v>17885</v>
      </c>
      <c r="D15" s="7">
        <v>17226</v>
      </c>
      <c r="E15" s="8">
        <f t="shared" si="0"/>
        <v>-9.8540162071982535E-3</v>
      </c>
      <c r="F15" s="8">
        <f t="shared" si="1"/>
        <v>9.4909300075592447E-3</v>
      </c>
      <c r="V15" s="9"/>
      <c r="X15" t="s">
        <v>231</v>
      </c>
      <c r="Y15" s="9">
        <f t="shared" si="7"/>
        <v>-26912</v>
      </c>
      <c r="Z15" s="14">
        <v>26912</v>
      </c>
      <c r="AA15">
        <v>29376</v>
      </c>
      <c r="AB15" s="13">
        <f t="shared" si="2"/>
        <v>-1.4827580887230605E-2</v>
      </c>
      <c r="AC15" s="13">
        <f t="shared" si="3"/>
        <v>1.6185159636715452E-2</v>
      </c>
    </row>
    <row r="16" spans="1:46" x14ac:dyDescent="0.25">
      <c r="A16" s="4" t="s">
        <v>17</v>
      </c>
      <c r="B16" s="6">
        <f t="shared" si="6"/>
        <v>-18698</v>
      </c>
      <c r="C16" s="7">
        <v>18698</v>
      </c>
      <c r="D16" s="7">
        <v>17995</v>
      </c>
      <c r="E16" s="8">
        <f t="shared" si="0"/>
        <v>-1.0301951078680063E-2</v>
      </c>
      <c r="F16" s="8">
        <f t="shared" si="1"/>
        <v>9.9146224013716838E-3</v>
      </c>
      <c r="V16" s="9"/>
      <c r="X16" t="s">
        <v>232</v>
      </c>
      <c r="Y16" s="9">
        <f t="shared" si="7"/>
        <v>-20110</v>
      </c>
      <c r="Z16" s="14">
        <v>20110</v>
      </c>
      <c r="AA16">
        <v>22881</v>
      </c>
      <c r="AB16" s="13">
        <f t="shared" si="2"/>
        <v>-1.1079914225706283E-2</v>
      </c>
      <c r="AC16" s="13">
        <f t="shared" si="3"/>
        <v>1.260663935347516E-2</v>
      </c>
    </row>
    <row r="17" spans="1:29" x14ac:dyDescent="0.25">
      <c r="A17" s="4" t="s">
        <v>18</v>
      </c>
      <c r="B17" s="6">
        <f t="shared" si="6"/>
        <v>-17962</v>
      </c>
      <c r="C17" s="7">
        <v>17962</v>
      </c>
      <c r="D17" s="7">
        <v>17317</v>
      </c>
      <c r="E17" s="8">
        <f>B17/$E$106</f>
        <v>-9.8964405431196546E-3</v>
      </c>
      <c r="F17" s="8">
        <f t="shared" si="1"/>
        <v>9.5410678591027198E-3</v>
      </c>
      <c r="V17" s="9"/>
      <c r="X17" t="s">
        <v>233</v>
      </c>
      <c r="Y17" s="9">
        <f t="shared" si="7"/>
        <v>-14757</v>
      </c>
      <c r="Z17" s="14">
        <v>14757</v>
      </c>
      <c r="AA17">
        <v>16805</v>
      </c>
      <c r="AB17" s="13">
        <f t="shared" si="2"/>
        <v>-8.1305964310665144E-3</v>
      </c>
      <c r="AC17" s="13">
        <f t="shared" si="3"/>
        <v>9.2589735734954787E-3</v>
      </c>
    </row>
    <row r="18" spans="1:29" x14ac:dyDescent="0.25">
      <c r="A18" s="4" t="s">
        <v>19</v>
      </c>
      <c r="B18" s="6">
        <f t="shared" si="6"/>
        <v>-18207</v>
      </c>
      <c r="C18" s="7">
        <v>18207</v>
      </c>
      <c r="D18" s="7">
        <v>18142</v>
      </c>
      <c r="E18" s="8">
        <f t="shared" si="0"/>
        <v>-1.0031427066505932E-2</v>
      </c>
      <c r="F18" s="8">
        <f t="shared" si="1"/>
        <v>9.9956143154034498E-3</v>
      </c>
      <c r="V18" s="9"/>
      <c r="X18" t="s">
        <v>234</v>
      </c>
      <c r="Y18" s="9">
        <f t="shared" si="7"/>
        <v>-11421</v>
      </c>
      <c r="Z18" s="14">
        <v>11421</v>
      </c>
      <c r="AA18">
        <v>13280</v>
      </c>
      <c r="AB18" s="13">
        <f t="shared" si="2"/>
        <v>-6.2925758514068347E-3</v>
      </c>
      <c r="AC18" s="13">
        <f t="shared" si="3"/>
        <v>7.3168205329378136E-3</v>
      </c>
    </row>
    <row r="19" spans="1:29" x14ac:dyDescent="0.25">
      <c r="A19" s="4" t="s">
        <v>20</v>
      </c>
      <c r="B19" s="6">
        <f t="shared" si="6"/>
        <v>-19266</v>
      </c>
      <c r="C19" s="7">
        <v>19266</v>
      </c>
      <c r="D19" s="7">
        <v>19103</v>
      </c>
      <c r="E19" s="8">
        <f t="shared" si="0"/>
        <v>-1.0614899426775596E-2</v>
      </c>
      <c r="F19" s="8">
        <f t="shared" si="1"/>
        <v>1.0525092066318603E-2</v>
      </c>
      <c r="V19" s="10"/>
      <c r="X19" t="s">
        <v>235</v>
      </c>
      <c r="Y19" s="9">
        <f>-Z19</f>
        <v>-7562</v>
      </c>
      <c r="Z19" s="14">
        <v>7562</v>
      </c>
      <c r="AA19" s="10">
        <v>8932</v>
      </c>
      <c r="AB19" s="13">
        <f>Y19/$E$106</f>
        <v>-4.1664003667225714E-3</v>
      </c>
      <c r="AC19" s="13">
        <f>AA19/$E$106</f>
        <v>4.9212229668825717E-3</v>
      </c>
    </row>
    <row r="20" spans="1:29" x14ac:dyDescent="0.25">
      <c r="A20" s="4" t="s">
        <v>21</v>
      </c>
      <c r="B20" s="6">
        <f t="shared" si="6"/>
        <v>-18349</v>
      </c>
      <c r="C20" s="7">
        <v>18349</v>
      </c>
      <c r="D20" s="7">
        <v>18525</v>
      </c>
      <c r="E20" s="8">
        <f t="shared" si="0"/>
        <v>-1.0109664153529815E-2</v>
      </c>
      <c r="F20" s="8">
        <f t="shared" si="1"/>
        <v>1.0206634064207304E-2</v>
      </c>
      <c r="V20" s="10"/>
      <c r="X20" t="s">
        <v>236</v>
      </c>
      <c r="Y20" s="9">
        <f>-Z20</f>
        <v>-4641</v>
      </c>
      <c r="Z20" s="14">
        <v>4641</v>
      </c>
      <c r="AA20" s="10">
        <v>6119</v>
      </c>
      <c r="AB20" s="13">
        <f>Y20/$E$106</f>
        <v>-2.5570304287171981E-3</v>
      </c>
      <c r="AC20" s="13">
        <f>AA20/$E$106</f>
        <v>3.371357292247476E-3</v>
      </c>
    </row>
    <row r="21" spans="1:29" x14ac:dyDescent="0.25">
      <c r="A21" s="4" t="s">
        <v>22</v>
      </c>
      <c r="B21" s="6">
        <f t="shared" si="6"/>
        <v>-19463</v>
      </c>
      <c r="C21" s="7">
        <v>19463</v>
      </c>
      <c r="D21" s="7">
        <v>19305</v>
      </c>
      <c r="E21" s="8">
        <f t="shared" si="0"/>
        <v>-1.0723439610886195E-2</v>
      </c>
      <c r="F21" s="8">
        <f t="shared" si="1"/>
        <v>1.0636387077437085E-2</v>
      </c>
      <c r="V21" s="10"/>
      <c r="X21" t="s">
        <v>290</v>
      </c>
      <c r="Y21" s="9">
        <f>-Z21</f>
        <v>-4038</v>
      </c>
      <c r="Z21" s="14">
        <v>4038</v>
      </c>
      <c r="AA21">
        <v>5835</v>
      </c>
      <c r="AB21" s="13">
        <f>Y21/$E$106</f>
        <v>-2.2247982915664828E-3</v>
      </c>
      <c r="AC21" s="13">
        <f>AA21/$E$106</f>
        <v>3.2148831181997095E-3</v>
      </c>
    </row>
    <row r="22" spans="1:29" x14ac:dyDescent="0.25">
      <c r="A22" s="4" t="s">
        <v>23</v>
      </c>
      <c r="B22" s="6">
        <f t="shared" si="6"/>
        <v>-19299</v>
      </c>
      <c r="C22" s="7">
        <v>19299</v>
      </c>
      <c r="D22" s="7">
        <v>19688</v>
      </c>
      <c r="E22" s="8">
        <f t="shared" si="0"/>
        <v>-1.0633081285027626E-2</v>
      </c>
      <c r="F22" s="8">
        <f t="shared" si="1"/>
        <v>1.0847406826240939E-2</v>
      </c>
      <c r="V22" s="10"/>
      <c r="X22" t="s">
        <v>106</v>
      </c>
      <c r="Y22" s="9">
        <f>-Z22</f>
        <v>-6482</v>
      </c>
      <c r="Z22" s="14">
        <v>6482</v>
      </c>
      <c r="AA22">
        <v>6459</v>
      </c>
      <c r="AB22" s="13">
        <f>Y22/$E$106</f>
        <v>-3.5713577330197975E-3</v>
      </c>
      <c r="AC22" s="13">
        <f>AA22/$E$106</f>
        <v>3.5586855287835346E-3</v>
      </c>
    </row>
    <row r="23" spans="1:29" x14ac:dyDescent="0.25">
      <c r="A23" s="4" t="s">
        <v>24</v>
      </c>
      <c r="B23" s="6">
        <f t="shared" si="6"/>
        <v>-16527</v>
      </c>
      <c r="C23" s="7">
        <v>16527</v>
      </c>
      <c r="D23" s="7">
        <v>17716</v>
      </c>
      <c r="E23" s="8">
        <f t="shared" si="0"/>
        <v>-9.1058051918571723E-3</v>
      </c>
      <c r="F23" s="8">
        <f t="shared" si="1"/>
        <v>9.7609030543318008E-3</v>
      </c>
    </row>
    <row r="24" spans="1:29" x14ac:dyDescent="0.25">
      <c r="A24" s="4" t="s">
        <v>25</v>
      </c>
      <c r="B24" s="6">
        <f t="shared" si="6"/>
        <v>-17278</v>
      </c>
      <c r="C24" s="7">
        <v>17278</v>
      </c>
      <c r="D24" s="7">
        <v>18990</v>
      </c>
      <c r="E24" s="8">
        <f t="shared" si="0"/>
        <v>-9.519580208441231E-3</v>
      </c>
      <c r="F24" s="8">
        <f t="shared" si="1"/>
        <v>1.0462832975940443E-2</v>
      </c>
    </row>
    <row r="25" spans="1:29" x14ac:dyDescent="0.25">
      <c r="A25" s="4" t="s">
        <v>26</v>
      </c>
      <c r="B25" s="6">
        <f t="shared" si="6"/>
        <v>-15174</v>
      </c>
      <c r="C25" s="7">
        <v>15174</v>
      </c>
      <c r="D25" s="7">
        <v>16527</v>
      </c>
      <c r="E25" s="8">
        <f t="shared" si="0"/>
        <v>-8.3603490035239741E-3</v>
      </c>
      <c r="F25" s="8">
        <f t="shared" si="1"/>
        <v>9.1058051918571723E-3</v>
      </c>
    </row>
    <row r="26" spans="1:29" x14ac:dyDescent="0.25">
      <c r="A26" s="4" t="s">
        <v>27</v>
      </c>
      <c r="B26" s="6">
        <f t="shared" si="6"/>
        <v>-16941</v>
      </c>
      <c r="C26" s="7">
        <v>16941</v>
      </c>
      <c r="D26" s="7">
        <v>17775</v>
      </c>
      <c r="E26" s="8">
        <f t="shared" si="0"/>
        <v>-9.3339048681099022E-3</v>
      </c>
      <c r="F26" s="8">
        <f t="shared" si="1"/>
        <v>9.7934100130248215E-3</v>
      </c>
    </row>
    <row r="27" spans="1:29" x14ac:dyDescent="0.25">
      <c r="A27" s="4" t="s">
        <v>28</v>
      </c>
      <c r="B27" s="6">
        <f t="shared" si="6"/>
        <v>-15871</v>
      </c>
      <c r="C27" s="7">
        <v>15871</v>
      </c>
      <c r="D27" s="7">
        <v>17465</v>
      </c>
      <c r="E27" s="8">
        <f t="shared" si="0"/>
        <v>-8.7443718884228951E-3</v>
      </c>
      <c r="F27" s="8">
        <f t="shared" si="1"/>
        <v>9.6226107385360624E-3</v>
      </c>
    </row>
    <row r="28" spans="1:29" x14ac:dyDescent="0.25">
      <c r="A28" s="4" t="s">
        <v>29</v>
      </c>
      <c r="B28" s="6">
        <f t="shared" si="6"/>
        <v>-15453</v>
      </c>
      <c r="C28" s="7">
        <v>15453</v>
      </c>
      <c r="D28" s="7">
        <v>17046</v>
      </c>
      <c r="E28" s="8">
        <f t="shared" si="0"/>
        <v>-8.5140683505638588E-3</v>
      </c>
      <c r="F28" s="8">
        <f t="shared" si="1"/>
        <v>9.3917562352754495E-3</v>
      </c>
    </row>
    <row r="29" spans="1:29" x14ac:dyDescent="0.25">
      <c r="A29" s="4" t="s">
        <v>30</v>
      </c>
      <c r="B29" s="6">
        <f t="shared" si="6"/>
        <v>-15446</v>
      </c>
      <c r="C29" s="7">
        <v>15446</v>
      </c>
      <c r="D29" s="7">
        <v>17106</v>
      </c>
      <c r="E29" s="8">
        <f t="shared" si="0"/>
        <v>-8.5102115927528209E-3</v>
      </c>
      <c r="F29" s="8">
        <f t="shared" si="1"/>
        <v>9.4248141593700485E-3</v>
      </c>
    </row>
    <row r="30" spans="1:29" x14ac:dyDescent="0.25">
      <c r="A30" s="4" t="s">
        <v>31</v>
      </c>
      <c r="B30" s="6">
        <f t="shared" si="6"/>
        <v>-14208</v>
      </c>
      <c r="C30" s="7">
        <v>14208</v>
      </c>
      <c r="D30" s="7">
        <v>16096</v>
      </c>
      <c r="E30" s="8">
        <f t="shared" si="0"/>
        <v>-7.8281164256009377E-3</v>
      </c>
      <c r="F30" s="8">
        <f t="shared" si="1"/>
        <v>8.8683391037776386E-3</v>
      </c>
    </row>
    <row r="31" spans="1:29" x14ac:dyDescent="0.25">
      <c r="A31" s="4" t="s">
        <v>32</v>
      </c>
      <c r="B31" s="6">
        <f t="shared" si="6"/>
        <v>-14511</v>
      </c>
      <c r="C31" s="7">
        <v>14511</v>
      </c>
      <c r="D31" s="7">
        <v>16236</v>
      </c>
      <c r="E31" s="8">
        <f t="shared" si="0"/>
        <v>-7.9950589422786607E-3</v>
      </c>
      <c r="F31" s="8">
        <f t="shared" si="1"/>
        <v>8.9454742599983685E-3</v>
      </c>
    </row>
    <row r="32" spans="1:29" x14ac:dyDescent="0.25">
      <c r="A32" s="4" t="s">
        <v>33</v>
      </c>
      <c r="B32" s="6">
        <f t="shared" si="6"/>
        <v>-14895</v>
      </c>
      <c r="C32" s="7">
        <v>14895</v>
      </c>
      <c r="D32" s="7">
        <v>16486</v>
      </c>
      <c r="E32" s="8">
        <f t="shared" si="0"/>
        <v>-8.2066296564840911E-3</v>
      </c>
      <c r="F32" s="8">
        <f t="shared" si="1"/>
        <v>9.0832156103925303E-3</v>
      </c>
    </row>
    <row r="33" spans="1:6" x14ac:dyDescent="0.25">
      <c r="A33" s="4" t="s">
        <v>34</v>
      </c>
      <c r="B33" s="6">
        <f t="shared" si="6"/>
        <v>-13257</v>
      </c>
      <c r="C33" s="7">
        <v>13257</v>
      </c>
      <c r="D33" s="7">
        <v>15059</v>
      </c>
      <c r="E33" s="8">
        <f t="shared" si="0"/>
        <v>-7.3041483287015511E-3</v>
      </c>
      <c r="F33" s="8">
        <f t="shared" si="1"/>
        <v>8.2969879823426608E-3</v>
      </c>
    </row>
    <row r="34" spans="1:6" x14ac:dyDescent="0.25">
      <c r="A34" s="4" t="s">
        <v>35</v>
      </c>
      <c r="B34" s="6">
        <f t="shared" si="6"/>
        <v>-16325</v>
      </c>
      <c r="C34" s="7">
        <v>16325</v>
      </c>
      <c r="D34" s="7">
        <v>18447</v>
      </c>
      <c r="E34" s="8">
        <f t="shared" si="0"/>
        <v>-8.9945101807386903E-3</v>
      </c>
      <c r="F34" s="8">
        <f t="shared" si="1"/>
        <v>1.0163658762884326E-2</v>
      </c>
    </row>
    <row r="35" spans="1:6" x14ac:dyDescent="0.25">
      <c r="A35" s="4" t="s">
        <v>36</v>
      </c>
      <c r="B35" s="6">
        <f t="shared" si="6"/>
        <v>-11151</v>
      </c>
      <c r="C35" s="7">
        <v>11151</v>
      </c>
      <c r="D35" s="7">
        <v>12925</v>
      </c>
      <c r="E35" s="8">
        <f t="shared" si="0"/>
        <v>-6.1438151929811419E-3</v>
      </c>
      <c r="F35" s="8">
        <f t="shared" si="1"/>
        <v>7.1212278153781053E-3</v>
      </c>
    </row>
    <row r="36" spans="1:6" x14ac:dyDescent="0.25">
      <c r="A36" s="4" t="s">
        <v>37</v>
      </c>
      <c r="B36" s="6">
        <f t="shared" si="6"/>
        <v>-14290</v>
      </c>
      <c r="C36" s="7">
        <v>14290</v>
      </c>
      <c r="D36" s="7">
        <v>16253</v>
      </c>
      <c r="E36" s="8">
        <f t="shared" ref="E36:E67" si="9">B36/$E$106</f>
        <v>-7.8732955885302235E-3</v>
      </c>
      <c r="F36" s="8">
        <f t="shared" ref="F36:F67" si="10">D36/$E$106</f>
        <v>8.9548406718251723E-3</v>
      </c>
    </row>
    <row r="37" spans="1:6" x14ac:dyDescent="0.25">
      <c r="A37" s="4" t="s">
        <v>38</v>
      </c>
      <c r="B37" s="6">
        <f t="shared" si="6"/>
        <v>-13229</v>
      </c>
      <c r="C37" s="7">
        <v>13229</v>
      </c>
      <c r="D37" s="7">
        <v>15067</v>
      </c>
      <c r="E37" s="8">
        <f t="shared" si="9"/>
        <v>-7.2887212974574048E-3</v>
      </c>
      <c r="F37" s="8">
        <f t="shared" si="10"/>
        <v>8.3013957055552735E-3</v>
      </c>
    </row>
    <row r="38" spans="1:6" x14ac:dyDescent="0.25">
      <c r="A38" s="4" t="s">
        <v>39</v>
      </c>
      <c r="B38" s="6">
        <f t="shared" si="6"/>
        <v>-13086</v>
      </c>
      <c r="C38" s="7">
        <v>13086</v>
      </c>
      <c r="D38" s="7">
        <v>14396</v>
      </c>
      <c r="E38" s="8">
        <f t="shared" si="9"/>
        <v>-7.2099332450319452E-3</v>
      </c>
      <c r="F38" s="8">
        <f t="shared" si="10"/>
        <v>7.9316979210973474E-3</v>
      </c>
    </row>
    <row r="39" spans="1:6" x14ac:dyDescent="0.25">
      <c r="A39" s="4" t="s">
        <v>40</v>
      </c>
      <c r="B39" s="6">
        <f t="shared" si="6"/>
        <v>-14156</v>
      </c>
      <c r="C39" s="7">
        <v>14156</v>
      </c>
      <c r="D39" s="7">
        <v>15971</v>
      </c>
      <c r="E39" s="8">
        <f t="shared" si="9"/>
        <v>-7.7994662247189523E-3</v>
      </c>
      <c r="F39" s="8">
        <f t="shared" si="10"/>
        <v>8.7994684285805595E-3</v>
      </c>
    </row>
    <row r="40" spans="1:6" x14ac:dyDescent="0.25">
      <c r="A40" s="4" t="s">
        <v>41</v>
      </c>
      <c r="B40" s="6">
        <f t="shared" si="6"/>
        <v>-13404</v>
      </c>
      <c r="C40" s="7">
        <v>13404</v>
      </c>
      <c r="D40" s="7">
        <v>14896</v>
      </c>
      <c r="E40" s="8">
        <f t="shared" si="9"/>
        <v>-7.3851402427333171E-3</v>
      </c>
      <c r="F40" s="8">
        <f t="shared" si="10"/>
        <v>8.2071806218856676E-3</v>
      </c>
    </row>
    <row r="41" spans="1:6" x14ac:dyDescent="0.25">
      <c r="A41" s="4" t="s">
        <v>42</v>
      </c>
      <c r="B41" s="6">
        <f t="shared" si="6"/>
        <v>-12945</v>
      </c>
      <c r="C41" s="7">
        <v>12945</v>
      </c>
      <c r="D41" s="7">
        <v>13944</v>
      </c>
      <c r="E41" s="8">
        <f t="shared" si="9"/>
        <v>-7.132247123409638E-3</v>
      </c>
      <c r="F41" s="8">
        <f t="shared" si="10"/>
        <v>7.6826615595847044E-3</v>
      </c>
    </row>
    <row r="42" spans="1:6" x14ac:dyDescent="0.25">
      <c r="A42" s="4" t="s">
        <v>43</v>
      </c>
      <c r="B42" s="6">
        <f t="shared" si="6"/>
        <v>-13716</v>
      </c>
      <c r="C42" s="7">
        <v>13716</v>
      </c>
      <c r="D42" s="7">
        <v>15039</v>
      </c>
      <c r="E42" s="8">
        <f t="shared" si="9"/>
        <v>-7.5570414480252302E-3</v>
      </c>
      <c r="F42" s="8">
        <f t="shared" si="10"/>
        <v>8.2859686743111272E-3</v>
      </c>
    </row>
    <row r="43" spans="1:6" x14ac:dyDescent="0.25">
      <c r="A43" s="4" t="s">
        <v>44</v>
      </c>
      <c r="B43" s="6">
        <f t="shared" si="6"/>
        <v>-11507</v>
      </c>
      <c r="C43" s="7">
        <v>11507</v>
      </c>
      <c r="D43" s="7">
        <v>12860</v>
      </c>
      <c r="E43" s="8">
        <f t="shared" si="9"/>
        <v>-6.3399588759424259E-3</v>
      </c>
      <c r="F43" s="8">
        <f t="shared" si="10"/>
        <v>7.0854150642756242E-3</v>
      </c>
    </row>
    <row r="44" spans="1:6" x14ac:dyDescent="0.25">
      <c r="A44" s="4" t="s">
        <v>45</v>
      </c>
      <c r="B44" s="6">
        <f t="shared" si="6"/>
        <v>-13918</v>
      </c>
      <c r="C44" s="7">
        <v>13918</v>
      </c>
      <c r="D44" s="7">
        <v>15907</v>
      </c>
      <c r="E44" s="8">
        <f t="shared" si="9"/>
        <v>-7.6683364591437113E-3</v>
      </c>
      <c r="F44" s="8">
        <f t="shared" si="10"/>
        <v>8.7642066428796541E-3</v>
      </c>
    </row>
    <row r="45" spans="1:6" x14ac:dyDescent="0.25">
      <c r="A45" s="4" t="s">
        <v>46</v>
      </c>
      <c r="B45" s="6">
        <f t="shared" si="6"/>
        <v>-8747</v>
      </c>
      <c r="C45" s="7">
        <v>8747</v>
      </c>
      <c r="D45" s="7">
        <v>9801</v>
      </c>
      <c r="E45" s="8">
        <f t="shared" si="9"/>
        <v>-4.8192943675908926E-3</v>
      </c>
      <c r="F45" s="8">
        <f t="shared" si="10"/>
        <v>5.4000119008526743E-3</v>
      </c>
    </row>
    <row r="46" spans="1:6" x14ac:dyDescent="0.25">
      <c r="A46" s="4" t="s">
        <v>47</v>
      </c>
      <c r="B46" s="6">
        <f t="shared" si="6"/>
        <v>-12285</v>
      </c>
      <c r="C46" s="7">
        <v>12285</v>
      </c>
      <c r="D46" s="7">
        <v>13548</v>
      </c>
      <c r="E46" s="8">
        <f t="shared" si="9"/>
        <v>-6.7686099583690543E-3</v>
      </c>
      <c r="F46" s="8">
        <f t="shared" si="10"/>
        <v>7.4644792605603541E-3</v>
      </c>
    </row>
    <row r="47" spans="1:6" x14ac:dyDescent="0.25">
      <c r="A47" s="4" t="s">
        <v>48</v>
      </c>
      <c r="B47" s="6">
        <f t="shared" si="6"/>
        <v>-9917</v>
      </c>
      <c r="C47" s="7">
        <v>9917</v>
      </c>
      <c r="D47" s="7">
        <v>11142</v>
      </c>
      <c r="E47" s="8">
        <f t="shared" si="9"/>
        <v>-5.463923887435565E-3</v>
      </c>
      <c r="F47" s="8">
        <f t="shared" si="10"/>
        <v>6.1388565043669517E-3</v>
      </c>
    </row>
    <row r="48" spans="1:6" x14ac:dyDescent="0.25">
      <c r="A48" s="4" t="s">
        <v>49</v>
      </c>
      <c r="B48" s="6">
        <f t="shared" si="6"/>
        <v>-8896</v>
      </c>
      <c r="C48" s="7">
        <v>8896</v>
      </c>
      <c r="D48" s="7">
        <v>10114</v>
      </c>
      <c r="E48" s="8">
        <f t="shared" si="9"/>
        <v>-4.9013882124258126E-3</v>
      </c>
      <c r="F48" s="8">
        <f t="shared" si="10"/>
        <v>5.5724640715461632E-3</v>
      </c>
    </row>
    <row r="49" spans="1:6" x14ac:dyDescent="0.25">
      <c r="A49" s="4" t="s">
        <v>50</v>
      </c>
      <c r="B49" s="6">
        <f t="shared" si="6"/>
        <v>-10558</v>
      </c>
      <c r="C49" s="7">
        <v>10558</v>
      </c>
      <c r="D49" s="7">
        <v>11587</v>
      </c>
      <c r="E49" s="8">
        <f t="shared" si="9"/>
        <v>-5.8170927098461925E-3</v>
      </c>
      <c r="F49" s="8">
        <f t="shared" si="10"/>
        <v>6.3840361080685576E-3</v>
      </c>
    </row>
    <row r="50" spans="1:6" x14ac:dyDescent="0.25">
      <c r="A50" s="4" t="s">
        <v>51</v>
      </c>
      <c r="B50" s="6">
        <f t="shared" si="6"/>
        <v>-8744</v>
      </c>
      <c r="C50" s="7">
        <v>8744</v>
      </c>
      <c r="D50" s="7">
        <v>9894</v>
      </c>
      <c r="E50" s="8">
        <f t="shared" si="9"/>
        <v>-4.8176414713861629E-3</v>
      </c>
      <c r="F50" s="8">
        <f t="shared" si="10"/>
        <v>5.4512516831993017E-3</v>
      </c>
    </row>
    <row r="51" spans="1:6" x14ac:dyDescent="0.25">
      <c r="A51" s="4" t="s">
        <v>52</v>
      </c>
      <c r="B51" s="6">
        <f t="shared" si="6"/>
        <v>-8471</v>
      </c>
      <c r="C51" s="7">
        <v>8471</v>
      </c>
      <c r="D51" s="7">
        <v>9123</v>
      </c>
      <c r="E51" s="8">
        <f t="shared" si="9"/>
        <v>-4.6672279167557394E-3</v>
      </c>
      <c r="F51" s="8">
        <f t="shared" si="10"/>
        <v>5.0264573585837103E-3</v>
      </c>
    </row>
    <row r="52" spans="1:6" x14ac:dyDescent="0.25">
      <c r="A52" s="4" t="s">
        <v>53</v>
      </c>
      <c r="B52" s="6">
        <f t="shared" si="6"/>
        <v>-8658</v>
      </c>
      <c r="C52" s="7">
        <v>8658</v>
      </c>
      <c r="D52" s="7">
        <v>9638</v>
      </c>
      <c r="E52" s="8">
        <f t="shared" si="9"/>
        <v>-4.7702584468505716E-3</v>
      </c>
      <c r="F52" s="8">
        <f t="shared" si="10"/>
        <v>5.3102045403956811E-3</v>
      </c>
    </row>
    <row r="53" spans="1:6" x14ac:dyDescent="0.25">
      <c r="A53" s="4" t="s">
        <v>54</v>
      </c>
      <c r="B53" s="6">
        <f t="shared" si="6"/>
        <v>-8041</v>
      </c>
      <c r="C53" s="7">
        <v>8041</v>
      </c>
      <c r="D53" s="7">
        <v>8735</v>
      </c>
      <c r="E53" s="8">
        <f t="shared" si="9"/>
        <v>-4.4303127940777832E-3</v>
      </c>
      <c r="F53" s="8">
        <f t="shared" si="10"/>
        <v>4.8126827827719727E-3</v>
      </c>
    </row>
    <row r="54" spans="1:6" x14ac:dyDescent="0.25">
      <c r="A54" s="4" t="s">
        <v>55</v>
      </c>
      <c r="B54" s="6">
        <f t="shared" si="6"/>
        <v>-9968</v>
      </c>
      <c r="C54" s="7">
        <v>9968</v>
      </c>
      <c r="D54" s="7">
        <v>10787</v>
      </c>
      <c r="E54" s="8">
        <f t="shared" si="9"/>
        <v>-5.4920231229159738E-3</v>
      </c>
      <c r="F54" s="8">
        <f t="shared" si="10"/>
        <v>5.9432637868072433E-3</v>
      </c>
    </row>
    <row r="55" spans="1:6" x14ac:dyDescent="0.25">
      <c r="A55" s="4" t="s">
        <v>56</v>
      </c>
      <c r="B55" s="6">
        <f t="shared" si="6"/>
        <v>-5999</v>
      </c>
      <c r="C55" s="7">
        <v>5999</v>
      </c>
      <c r="D55" s="7">
        <v>6625</v>
      </c>
      <c r="E55" s="8">
        <f t="shared" si="9"/>
        <v>-3.3052414440582789E-3</v>
      </c>
      <c r="F55" s="8">
        <f t="shared" si="10"/>
        <v>3.6501457854452571E-3</v>
      </c>
    </row>
    <row r="56" spans="1:6" x14ac:dyDescent="0.25">
      <c r="A56" s="4" t="s">
        <v>57</v>
      </c>
      <c r="B56" s="6">
        <f t="shared" si="6"/>
        <v>-7630</v>
      </c>
      <c r="C56" s="7">
        <v>7630</v>
      </c>
      <c r="D56" s="7">
        <v>8252</v>
      </c>
      <c r="E56" s="8">
        <f t="shared" si="9"/>
        <v>-4.2038660140297831E-3</v>
      </c>
      <c r="F56" s="8">
        <f t="shared" si="10"/>
        <v>4.5465664938104545E-3</v>
      </c>
    </row>
    <row r="57" spans="1:6" x14ac:dyDescent="0.25">
      <c r="A57" s="4" t="s">
        <v>58</v>
      </c>
      <c r="B57" s="6">
        <f t="shared" si="6"/>
        <v>-6675</v>
      </c>
      <c r="C57" s="7">
        <v>6675</v>
      </c>
      <c r="D57" s="7">
        <v>7439</v>
      </c>
      <c r="E57" s="8">
        <f t="shared" si="9"/>
        <v>-3.6776940555240892E-3</v>
      </c>
      <c r="F57" s="8">
        <f t="shared" si="10"/>
        <v>4.0986316223286445E-3</v>
      </c>
    </row>
    <row r="58" spans="1:6" x14ac:dyDescent="0.25">
      <c r="A58" s="4" t="s">
        <v>59</v>
      </c>
      <c r="B58" s="6">
        <f t="shared" si="6"/>
        <v>-6356</v>
      </c>
      <c r="C58" s="7">
        <v>6356</v>
      </c>
      <c r="D58" s="7">
        <v>7139</v>
      </c>
      <c r="E58" s="8">
        <f t="shared" si="9"/>
        <v>-3.5019360924211404E-3</v>
      </c>
      <c r="F58" s="8">
        <f t="shared" si="10"/>
        <v>3.9333420018556513E-3</v>
      </c>
    </row>
    <row r="59" spans="1:6" x14ac:dyDescent="0.25">
      <c r="A59" s="4" t="s">
        <v>60</v>
      </c>
      <c r="B59" s="6">
        <f t="shared" si="6"/>
        <v>-6666</v>
      </c>
      <c r="C59" s="7">
        <v>6666</v>
      </c>
      <c r="D59" s="7">
        <v>7331</v>
      </c>
      <c r="E59" s="8">
        <f t="shared" si="9"/>
        <v>-3.6727353669098995E-3</v>
      </c>
      <c r="F59" s="8">
        <f t="shared" si="10"/>
        <v>4.0391273589583665E-3</v>
      </c>
    </row>
    <row r="60" spans="1:6" x14ac:dyDescent="0.25">
      <c r="A60" s="4" t="s">
        <v>61</v>
      </c>
      <c r="B60" s="6">
        <f t="shared" si="6"/>
        <v>-5898</v>
      </c>
      <c r="C60" s="7">
        <v>5898</v>
      </c>
      <c r="D60" s="7">
        <v>6371</v>
      </c>
      <c r="E60" s="8">
        <f t="shared" si="9"/>
        <v>-3.2495939384990379E-3</v>
      </c>
      <c r="F60" s="8">
        <f t="shared" si="10"/>
        <v>3.5102005734447901E-3</v>
      </c>
    </row>
    <row r="61" spans="1:6" x14ac:dyDescent="0.25">
      <c r="A61" s="4" t="s">
        <v>62</v>
      </c>
      <c r="B61" s="6">
        <f t="shared" si="6"/>
        <v>-4798</v>
      </c>
      <c r="C61" s="7">
        <v>4798</v>
      </c>
      <c r="D61" s="7">
        <v>5407</v>
      </c>
      <c r="E61" s="8">
        <f t="shared" si="9"/>
        <v>-2.6435319967647313E-3</v>
      </c>
      <c r="F61" s="8">
        <f t="shared" si="10"/>
        <v>2.9790699263249065E-3</v>
      </c>
    </row>
    <row r="62" spans="1:6" x14ac:dyDescent="0.25">
      <c r="A62" s="4" t="s">
        <v>63</v>
      </c>
      <c r="B62" s="6">
        <f t="shared" si="6"/>
        <v>-4897</v>
      </c>
      <c r="C62" s="7">
        <v>4897</v>
      </c>
      <c r="D62" s="7">
        <v>5384</v>
      </c>
      <c r="E62" s="8">
        <f t="shared" si="9"/>
        <v>-2.6980775715208186E-3</v>
      </c>
      <c r="F62" s="8">
        <f t="shared" si="10"/>
        <v>2.9663977220886436E-3</v>
      </c>
    </row>
    <row r="63" spans="1:6" x14ac:dyDescent="0.25">
      <c r="A63" s="4" t="s">
        <v>64</v>
      </c>
      <c r="B63" s="6">
        <f t="shared" si="6"/>
        <v>-4653</v>
      </c>
      <c r="C63" s="7">
        <v>4653</v>
      </c>
      <c r="D63" s="7">
        <v>4883</v>
      </c>
      <c r="E63" s="8">
        <f t="shared" si="9"/>
        <v>-2.5636420135361181E-3</v>
      </c>
      <c r="F63" s="8">
        <f t="shared" si="10"/>
        <v>2.6903640558987459E-3</v>
      </c>
    </row>
    <row r="64" spans="1:6" x14ac:dyDescent="0.25">
      <c r="A64" s="4" t="s">
        <v>65</v>
      </c>
      <c r="B64" s="6">
        <f t="shared" si="6"/>
        <v>-5694</v>
      </c>
      <c r="C64" s="7">
        <v>5694</v>
      </c>
      <c r="D64" s="7">
        <v>6187</v>
      </c>
      <c r="E64" s="8">
        <f t="shared" si="9"/>
        <v>-3.1371969965774027E-3</v>
      </c>
      <c r="F64" s="8">
        <f t="shared" si="10"/>
        <v>3.4088229395546877E-3</v>
      </c>
    </row>
    <row r="65" spans="1:6" x14ac:dyDescent="0.25">
      <c r="A65" s="4" t="s">
        <v>66</v>
      </c>
      <c r="B65" s="6">
        <f t="shared" si="6"/>
        <v>-2947</v>
      </c>
      <c r="C65" s="7">
        <v>2947</v>
      </c>
      <c r="D65" s="7">
        <v>3473</v>
      </c>
      <c r="E65" s="8">
        <f t="shared" si="9"/>
        <v>-1.6236950384463658E-3</v>
      </c>
      <c r="F65" s="8">
        <f t="shared" si="10"/>
        <v>1.9135028396756798E-3</v>
      </c>
    </row>
    <row r="66" spans="1:6" x14ac:dyDescent="0.25">
      <c r="A66" s="4" t="s">
        <v>67</v>
      </c>
      <c r="B66" s="6">
        <f t="shared" si="6"/>
        <v>-3959</v>
      </c>
      <c r="C66" s="7">
        <v>3959</v>
      </c>
      <c r="D66" s="7">
        <v>4559</v>
      </c>
      <c r="E66" s="8">
        <f t="shared" si="9"/>
        <v>-2.1812720248419282E-3</v>
      </c>
      <c r="F66" s="8">
        <f t="shared" si="10"/>
        <v>2.5118512657879137E-3</v>
      </c>
    </row>
    <row r="67" spans="1:6" x14ac:dyDescent="0.25">
      <c r="A67" s="4" t="s">
        <v>68</v>
      </c>
      <c r="B67" s="6">
        <f t="shared" si="6"/>
        <v>-4015</v>
      </c>
      <c r="C67" s="7">
        <v>4015</v>
      </c>
      <c r="D67" s="7">
        <v>4514</v>
      </c>
      <c r="E67" s="8">
        <f t="shared" si="9"/>
        <v>-2.2121260873302199E-3</v>
      </c>
      <c r="F67" s="8">
        <f t="shared" si="10"/>
        <v>2.4870578227169648E-3</v>
      </c>
    </row>
    <row r="68" spans="1:6" x14ac:dyDescent="0.25">
      <c r="A68" s="4" t="s">
        <v>69</v>
      </c>
      <c r="B68" s="6">
        <f t="shared" si="6"/>
        <v>-3495</v>
      </c>
      <c r="C68" s="7">
        <v>3495</v>
      </c>
      <c r="D68" s="7">
        <v>4148</v>
      </c>
      <c r="E68" s="8">
        <f t="shared" ref="E68:E99" si="11">B68/$E$106</f>
        <v>-1.9256240785103659E-3</v>
      </c>
      <c r="F68" s="8">
        <f t="shared" ref="F68:F99" si="12">D68/$E$106</f>
        <v>2.2854044857399136E-3</v>
      </c>
    </row>
    <row r="69" spans="1:6" x14ac:dyDescent="0.25">
      <c r="A69" s="4" t="s">
        <v>70</v>
      </c>
      <c r="B69" s="6">
        <f t="shared" ref="B69:B105" si="13">-C69</f>
        <v>-3725</v>
      </c>
      <c r="C69" s="7">
        <v>3725</v>
      </c>
      <c r="D69" s="7">
        <v>4392</v>
      </c>
      <c r="E69" s="8">
        <f t="shared" si="11"/>
        <v>-2.0523461208729935E-3</v>
      </c>
      <c r="F69" s="8">
        <f t="shared" si="12"/>
        <v>2.4198400437246141E-3</v>
      </c>
    </row>
    <row r="70" spans="1:6" x14ac:dyDescent="0.25">
      <c r="A70" s="4" t="s">
        <v>71</v>
      </c>
      <c r="B70" s="6">
        <f t="shared" si="13"/>
        <v>-2934</v>
      </c>
      <c r="C70" s="7">
        <v>2934</v>
      </c>
      <c r="D70" s="7">
        <v>3276</v>
      </c>
      <c r="E70" s="8">
        <f t="shared" si="11"/>
        <v>-1.6165324882258694E-3</v>
      </c>
      <c r="F70" s="8">
        <f t="shared" si="12"/>
        <v>1.8049626555650812E-3</v>
      </c>
    </row>
    <row r="71" spans="1:6" x14ac:dyDescent="0.25">
      <c r="A71" s="4" t="s">
        <v>72</v>
      </c>
      <c r="B71" s="6">
        <f t="shared" si="13"/>
        <v>-2763</v>
      </c>
      <c r="C71" s="7">
        <v>2763</v>
      </c>
      <c r="D71" s="7">
        <v>3019</v>
      </c>
      <c r="E71" s="8">
        <f t="shared" si="11"/>
        <v>-1.5223174045562635E-3</v>
      </c>
      <c r="F71" s="8">
        <f t="shared" si="12"/>
        <v>1.6633645473598841E-3</v>
      </c>
    </row>
    <row r="72" spans="1:6" x14ac:dyDescent="0.25">
      <c r="A72" s="4" t="s">
        <v>73</v>
      </c>
      <c r="B72" s="6">
        <f t="shared" si="13"/>
        <v>-2829</v>
      </c>
      <c r="C72" s="7">
        <v>2829</v>
      </c>
      <c r="D72" s="7">
        <v>3243</v>
      </c>
      <c r="E72" s="8">
        <f t="shared" si="11"/>
        <v>-1.5586811210603218E-3</v>
      </c>
      <c r="F72" s="8">
        <f t="shared" si="12"/>
        <v>1.7867807973130519E-3</v>
      </c>
    </row>
    <row r="73" spans="1:6" x14ac:dyDescent="0.25">
      <c r="A73" s="4" t="s">
        <v>74</v>
      </c>
      <c r="B73" s="6">
        <f t="shared" si="13"/>
        <v>-2506</v>
      </c>
      <c r="C73" s="7">
        <v>2506</v>
      </c>
      <c r="D73" s="7">
        <v>2875</v>
      </c>
      <c r="E73" s="8">
        <f t="shared" si="11"/>
        <v>-1.3807192963510664E-3</v>
      </c>
      <c r="F73" s="8">
        <f t="shared" si="12"/>
        <v>1.5840255295328474E-3</v>
      </c>
    </row>
    <row r="74" spans="1:6" x14ac:dyDescent="0.25">
      <c r="A74" s="4" t="s">
        <v>75</v>
      </c>
      <c r="B74" s="6">
        <f t="shared" si="13"/>
        <v>-3358</v>
      </c>
      <c r="C74" s="7">
        <v>3358</v>
      </c>
      <c r="D74" s="7">
        <v>3840</v>
      </c>
      <c r="E74" s="8">
        <f t="shared" si="11"/>
        <v>-1.8501418184943658E-3</v>
      </c>
      <c r="F74" s="8">
        <f t="shared" si="12"/>
        <v>2.1157071420543076E-3</v>
      </c>
    </row>
    <row r="75" spans="1:6" x14ac:dyDescent="0.25">
      <c r="A75" s="4" t="s">
        <v>76</v>
      </c>
      <c r="B75" s="6">
        <f t="shared" si="13"/>
        <v>-1684</v>
      </c>
      <c r="C75" s="7">
        <v>1684</v>
      </c>
      <c r="D75" s="7">
        <v>1904</v>
      </c>
      <c r="E75" s="8">
        <f t="shared" si="11"/>
        <v>-9.278257362550661E-4</v>
      </c>
      <c r="F75" s="8">
        <f t="shared" si="12"/>
        <v>1.0490381246019275E-3</v>
      </c>
    </row>
    <row r="76" spans="1:6" x14ac:dyDescent="0.25">
      <c r="A76" s="4" t="s">
        <v>77</v>
      </c>
      <c r="B76" s="6">
        <f t="shared" si="13"/>
        <v>-2370</v>
      </c>
      <c r="C76" s="7">
        <v>2370</v>
      </c>
      <c r="D76" s="7">
        <v>2766</v>
      </c>
      <c r="E76" s="8">
        <f t="shared" si="11"/>
        <v>-1.3057880017366429E-3</v>
      </c>
      <c r="F76" s="8">
        <f t="shared" si="12"/>
        <v>1.5239703007609935E-3</v>
      </c>
    </row>
    <row r="77" spans="1:6" x14ac:dyDescent="0.25">
      <c r="A77" s="4" t="s">
        <v>78</v>
      </c>
      <c r="B77" s="6">
        <f t="shared" si="13"/>
        <v>-2127</v>
      </c>
      <c r="C77" s="7">
        <v>2127</v>
      </c>
      <c r="D77" s="7">
        <v>2444</v>
      </c>
      <c r="E77" s="8">
        <f t="shared" si="11"/>
        <v>-1.1719034091535188E-3</v>
      </c>
      <c r="F77" s="8">
        <f t="shared" si="12"/>
        <v>1.3465594414533144E-3</v>
      </c>
    </row>
    <row r="78" spans="1:6" x14ac:dyDescent="0.25">
      <c r="A78" s="4" t="s">
        <v>79</v>
      </c>
      <c r="B78" s="6">
        <f t="shared" si="13"/>
        <v>-1882</v>
      </c>
      <c r="C78" s="7">
        <v>1882</v>
      </c>
      <c r="D78" s="7">
        <v>2326</v>
      </c>
      <c r="E78" s="8">
        <f t="shared" si="11"/>
        <v>-1.0369168857672414E-3</v>
      </c>
      <c r="F78" s="8">
        <f t="shared" si="12"/>
        <v>1.2815455240672707E-3</v>
      </c>
    </row>
    <row r="79" spans="1:6" x14ac:dyDescent="0.25">
      <c r="A79" s="4" t="s">
        <v>80</v>
      </c>
      <c r="B79" s="6">
        <f t="shared" si="13"/>
        <v>-1986</v>
      </c>
      <c r="C79" s="7">
        <v>1986</v>
      </c>
      <c r="D79" s="7">
        <v>2231</v>
      </c>
      <c r="E79" s="8">
        <f t="shared" si="11"/>
        <v>-1.0942172875312121E-3</v>
      </c>
      <c r="F79" s="8">
        <f t="shared" si="12"/>
        <v>1.2292038109174895E-3</v>
      </c>
    </row>
    <row r="80" spans="1:6" x14ac:dyDescent="0.25">
      <c r="A80" s="4" t="s">
        <v>81</v>
      </c>
      <c r="B80" s="6">
        <f t="shared" si="13"/>
        <v>-1676</v>
      </c>
      <c r="C80" s="7">
        <v>1676</v>
      </c>
      <c r="D80" s="7">
        <v>1928</v>
      </c>
      <c r="E80" s="8">
        <f t="shared" si="11"/>
        <v>-9.2341801304245304E-4</v>
      </c>
      <c r="F80" s="8">
        <f t="shared" si="12"/>
        <v>1.062261294239767E-3</v>
      </c>
    </row>
    <row r="81" spans="1:6" x14ac:dyDescent="0.25">
      <c r="A81" s="4" t="s">
        <v>82</v>
      </c>
      <c r="B81" s="6">
        <f t="shared" si="13"/>
        <v>-1231</v>
      </c>
      <c r="C81" s="7">
        <v>1231</v>
      </c>
      <c r="D81" s="7">
        <v>1563</v>
      </c>
      <c r="E81" s="8">
        <f t="shared" si="11"/>
        <v>-6.7823840934084698E-4</v>
      </c>
      <c r="F81" s="8">
        <f t="shared" si="12"/>
        <v>8.6115892266429241E-4</v>
      </c>
    </row>
    <row r="82" spans="1:6" x14ac:dyDescent="0.25">
      <c r="A82" s="4" t="s">
        <v>83</v>
      </c>
      <c r="B82" s="6">
        <f t="shared" si="13"/>
        <v>-1575</v>
      </c>
      <c r="C82" s="7">
        <v>1575</v>
      </c>
      <c r="D82" s="7">
        <v>1849</v>
      </c>
      <c r="E82" s="8">
        <f t="shared" si="11"/>
        <v>-8.6777050748321205E-4</v>
      </c>
      <c r="F82" s="8">
        <f t="shared" si="12"/>
        <v>1.0187350275152121E-3</v>
      </c>
    </row>
    <row r="83" spans="1:6" x14ac:dyDescent="0.25">
      <c r="A83" s="4" t="s">
        <v>84</v>
      </c>
      <c r="B83" s="6">
        <f t="shared" si="13"/>
        <v>-1094</v>
      </c>
      <c r="C83" s="7">
        <v>1094</v>
      </c>
      <c r="D83" s="7">
        <v>1361</v>
      </c>
      <c r="E83" s="8">
        <f t="shared" si="11"/>
        <v>-6.0275614932484695E-4</v>
      </c>
      <c r="F83" s="8">
        <f t="shared" si="12"/>
        <v>7.4986391154581054E-4</v>
      </c>
    </row>
    <row r="84" spans="1:6" x14ac:dyDescent="0.25">
      <c r="A84" s="4" t="s">
        <v>85</v>
      </c>
      <c r="B84" s="6">
        <f t="shared" si="13"/>
        <v>-1448</v>
      </c>
      <c r="C84" s="7">
        <v>1448</v>
      </c>
      <c r="D84" s="7">
        <v>1935</v>
      </c>
      <c r="E84" s="8">
        <f t="shared" si="11"/>
        <v>-7.9779790148297848E-4</v>
      </c>
      <c r="F84" s="8">
        <f t="shared" si="12"/>
        <v>1.0661180520508034E-3</v>
      </c>
    </row>
    <row r="85" spans="1:6" x14ac:dyDescent="0.25">
      <c r="A85" s="4" t="s">
        <v>86</v>
      </c>
      <c r="B85" s="6">
        <f t="shared" si="13"/>
        <v>-675</v>
      </c>
      <c r="C85" s="4">
        <v>675</v>
      </c>
      <c r="D85" s="4">
        <v>870</v>
      </c>
      <c r="E85" s="8">
        <f t="shared" si="11"/>
        <v>-3.7190164606423374E-4</v>
      </c>
      <c r="F85" s="8">
        <f t="shared" si="12"/>
        <v>4.7933989937167903E-4</v>
      </c>
    </row>
    <row r="86" spans="1:6" x14ac:dyDescent="0.25">
      <c r="A86" s="4" t="s">
        <v>87</v>
      </c>
      <c r="B86" s="6">
        <f t="shared" si="13"/>
        <v>-921</v>
      </c>
      <c r="C86" s="4">
        <v>921</v>
      </c>
      <c r="D86" s="7">
        <v>1141</v>
      </c>
      <c r="E86" s="8">
        <f t="shared" si="11"/>
        <v>-5.0743913485208788E-4</v>
      </c>
      <c r="F86" s="8">
        <f t="shared" si="12"/>
        <v>6.2865152319894915E-4</v>
      </c>
    </row>
    <row r="87" spans="1:6" x14ac:dyDescent="0.25">
      <c r="A87" s="4" t="s">
        <v>88</v>
      </c>
      <c r="B87" s="6">
        <f t="shared" si="13"/>
        <v>-808</v>
      </c>
      <c r="C87" s="4">
        <v>808</v>
      </c>
      <c r="D87" s="7">
        <v>1091</v>
      </c>
      <c r="E87" s="8">
        <f t="shared" si="11"/>
        <v>-4.4518004447392719E-4</v>
      </c>
      <c r="F87" s="8">
        <f t="shared" si="12"/>
        <v>6.0110325312011706E-4</v>
      </c>
    </row>
    <row r="88" spans="1:6" x14ac:dyDescent="0.25">
      <c r="A88" s="4" t="s">
        <v>89</v>
      </c>
      <c r="B88" s="6">
        <f t="shared" si="13"/>
        <v>-789</v>
      </c>
      <c r="C88" s="4">
        <v>789</v>
      </c>
      <c r="D88" s="7">
        <v>1082</v>
      </c>
      <c r="E88" s="8">
        <f t="shared" si="11"/>
        <v>-4.3471170184397102E-4</v>
      </c>
      <c r="F88" s="8">
        <f t="shared" si="12"/>
        <v>5.961445645059273E-4</v>
      </c>
    </row>
    <row r="89" spans="1:6" x14ac:dyDescent="0.25">
      <c r="A89" s="4" t="s">
        <v>90</v>
      </c>
      <c r="B89" s="6">
        <f t="shared" si="13"/>
        <v>-775</v>
      </c>
      <c r="C89" s="4">
        <v>775</v>
      </c>
      <c r="D89" s="7">
        <v>1026</v>
      </c>
      <c r="E89" s="8">
        <f t="shared" si="11"/>
        <v>-4.2699818622189803E-4</v>
      </c>
      <c r="F89" s="8">
        <f t="shared" si="12"/>
        <v>5.6529050201763534E-4</v>
      </c>
    </row>
    <row r="90" spans="1:6" x14ac:dyDescent="0.25">
      <c r="A90" s="4" t="s">
        <v>91</v>
      </c>
      <c r="B90" s="6">
        <f t="shared" si="13"/>
        <v>-644</v>
      </c>
      <c r="C90" s="4">
        <v>644</v>
      </c>
      <c r="D90" s="4">
        <v>827</v>
      </c>
      <c r="E90" s="8">
        <f t="shared" si="11"/>
        <v>-3.5482171861535782E-4</v>
      </c>
      <c r="F90" s="8">
        <f t="shared" si="12"/>
        <v>4.5564838710388341E-4</v>
      </c>
    </row>
    <row r="91" spans="1:6" x14ac:dyDescent="0.25">
      <c r="A91" s="4" t="s">
        <v>92</v>
      </c>
      <c r="B91" s="6">
        <f t="shared" si="13"/>
        <v>-523</v>
      </c>
      <c r="C91" s="4">
        <v>523</v>
      </c>
      <c r="D91" s="4">
        <v>690</v>
      </c>
      <c r="E91" s="8">
        <f t="shared" si="11"/>
        <v>-2.8815490502458408E-4</v>
      </c>
      <c r="F91" s="8">
        <f t="shared" si="12"/>
        <v>3.8016612708788338E-4</v>
      </c>
    </row>
    <row r="92" spans="1:6" x14ac:dyDescent="0.25">
      <c r="A92" s="4" t="s">
        <v>93</v>
      </c>
      <c r="B92" s="6">
        <f t="shared" si="13"/>
        <v>-460</v>
      </c>
      <c r="C92" s="4">
        <v>460</v>
      </c>
      <c r="D92" s="4">
        <v>600</v>
      </c>
      <c r="E92" s="8">
        <f t="shared" si="11"/>
        <v>-2.5344408472525559E-4</v>
      </c>
      <c r="F92" s="8">
        <f t="shared" si="12"/>
        <v>3.3057924094598556E-4</v>
      </c>
    </row>
    <row r="93" spans="1:6" x14ac:dyDescent="0.25">
      <c r="A93" s="4" t="s">
        <v>94</v>
      </c>
      <c r="B93" s="6">
        <f t="shared" si="13"/>
        <v>-349</v>
      </c>
      <c r="C93" s="4">
        <v>349</v>
      </c>
      <c r="D93" s="4">
        <v>506</v>
      </c>
      <c r="E93" s="8">
        <f t="shared" si="11"/>
        <v>-1.9228692515024828E-4</v>
      </c>
      <c r="F93" s="8">
        <f t="shared" si="12"/>
        <v>2.7878849319778115E-4</v>
      </c>
    </row>
    <row r="94" spans="1:6" x14ac:dyDescent="0.25">
      <c r="A94" s="4" t="s">
        <v>95</v>
      </c>
      <c r="B94" s="6">
        <f t="shared" si="13"/>
        <v>-375</v>
      </c>
      <c r="C94" s="4">
        <v>375</v>
      </c>
      <c r="D94" s="4">
        <v>523</v>
      </c>
      <c r="E94" s="8">
        <f t="shared" si="11"/>
        <v>-2.0661202559124097E-4</v>
      </c>
      <c r="F94" s="8">
        <f t="shared" si="12"/>
        <v>2.8815490502458408E-4</v>
      </c>
    </row>
    <row r="95" spans="1:6" x14ac:dyDescent="0.25">
      <c r="A95" s="4" t="s">
        <v>96</v>
      </c>
      <c r="B95" s="6">
        <f t="shared" si="13"/>
        <v>-135</v>
      </c>
      <c r="C95" s="4">
        <v>135</v>
      </c>
      <c r="D95" s="4">
        <v>226</v>
      </c>
      <c r="E95" s="8">
        <f t="shared" si="11"/>
        <v>-7.4380329212846751E-5</v>
      </c>
      <c r="F95" s="8">
        <f t="shared" si="12"/>
        <v>1.2451818075632124E-4</v>
      </c>
    </row>
    <row r="96" spans="1:6" x14ac:dyDescent="0.25">
      <c r="A96" s="4" t="s">
        <v>97</v>
      </c>
      <c r="B96" s="6">
        <f t="shared" si="13"/>
        <v>-175</v>
      </c>
      <c r="C96" s="4">
        <v>175</v>
      </c>
      <c r="D96" s="4">
        <v>266</v>
      </c>
      <c r="E96" s="8">
        <f t="shared" si="11"/>
        <v>-9.6418945275912461E-5</v>
      </c>
      <c r="F96" s="8">
        <f t="shared" si="12"/>
        <v>1.4655679681938692E-4</v>
      </c>
    </row>
    <row r="97" spans="1:6" x14ac:dyDescent="0.25">
      <c r="A97" s="4" t="s">
        <v>98</v>
      </c>
      <c r="B97" s="6">
        <f t="shared" si="13"/>
        <v>-124</v>
      </c>
      <c r="C97" s="4">
        <v>124</v>
      </c>
      <c r="D97" s="4">
        <v>238</v>
      </c>
      <c r="E97" s="8">
        <f t="shared" si="11"/>
        <v>-6.8319709795503685E-5</v>
      </c>
      <c r="F97" s="8">
        <f t="shared" si="12"/>
        <v>1.3112976557524094E-4</v>
      </c>
    </row>
    <row r="98" spans="1:6" x14ac:dyDescent="0.25">
      <c r="A98" s="4" t="s">
        <v>99</v>
      </c>
      <c r="B98" s="6">
        <f t="shared" si="13"/>
        <v>-105</v>
      </c>
      <c r="C98" s="4">
        <v>105</v>
      </c>
      <c r="D98" s="4">
        <v>177</v>
      </c>
      <c r="E98" s="8">
        <f t="shared" si="11"/>
        <v>-5.785136716554747E-5</v>
      </c>
      <c r="F98" s="8">
        <f t="shared" si="12"/>
        <v>9.7520876079065739E-5</v>
      </c>
    </row>
    <row r="99" spans="1:6" x14ac:dyDescent="0.25">
      <c r="A99" s="4" t="s">
        <v>100</v>
      </c>
      <c r="B99" s="6">
        <f t="shared" si="13"/>
        <v>-74</v>
      </c>
      <c r="C99" s="4">
        <v>74</v>
      </c>
      <c r="D99" s="4">
        <v>186</v>
      </c>
      <c r="E99" s="8">
        <f t="shared" si="11"/>
        <v>-4.0771439716671555E-5</v>
      </c>
      <c r="F99" s="8">
        <f t="shared" si="12"/>
        <v>1.0247956469325553E-4</v>
      </c>
    </row>
    <row r="100" spans="1:6" x14ac:dyDescent="0.25">
      <c r="A100" s="4" t="s">
        <v>101</v>
      </c>
      <c r="B100" s="6">
        <f t="shared" si="13"/>
        <v>-95</v>
      </c>
      <c r="C100" s="4">
        <v>95</v>
      </c>
      <c r="D100" s="4">
        <v>134</v>
      </c>
      <c r="E100" s="8">
        <f t="shared" ref="E100:E105" si="14">B100/$E$106</f>
        <v>-5.2341713149781049E-5</v>
      </c>
      <c r="F100" s="8">
        <f t="shared" ref="F100:F105" si="15">D100/$E$106</f>
        <v>7.3829363811270105E-5</v>
      </c>
    </row>
    <row r="101" spans="1:6" x14ac:dyDescent="0.25">
      <c r="A101" s="4" t="s">
        <v>102</v>
      </c>
      <c r="B101" s="6">
        <f t="shared" si="13"/>
        <v>-62</v>
      </c>
      <c r="C101" s="4">
        <v>62</v>
      </c>
      <c r="D101" s="4">
        <v>103</v>
      </c>
      <c r="E101" s="8">
        <f t="shared" si="14"/>
        <v>-3.4159854897751842E-5</v>
      </c>
      <c r="F101" s="8">
        <f t="shared" si="15"/>
        <v>5.6749436362394184E-5</v>
      </c>
    </row>
    <row r="102" spans="1:6" x14ac:dyDescent="0.25">
      <c r="A102" s="4" t="s">
        <v>103</v>
      </c>
      <c r="B102" s="6">
        <f t="shared" si="13"/>
        <v>-38</v>
      </c>
      <c r="C102" s="4">
        <v>38</v>
      </c>
      <c r="D102" s="4">
        <v>115</v>
      </c>
      <c r="E102" s="8">
        <f t="shared" si="14"/>
        <v>-2.0936685259912417E-5</v>
      </c>
      <c r="F102" s="8">
        <f t="shared" si="15"/>
        <v>6.3361021181313897E-5</v>
      </c>
    </row>
    <row r="103" spans="1:6" x14ac:dyDescent="0.25">
      <c r="A103" s="4" t="s">
        <v>104</v>
      </c>
      <c r="B103" s="6">
        <f t="shared" si="13"/>
        <v>-34</v>
      </c>
      <c r="C103" s="4">
        <v>34</v>
      </c>
      <c r="D103" s="4">
        <v>81</v>
      </c>
      <c r="E103" s="8">
        <f t="shared" si="14"/>
        <v>-1.8732823653605849E-5</v>
      </c>
      <c r="F103" s="8">
        <f t="shared" si="15"/>
        <v>4.4628197527708051E-5</v>
      </c>
    </row>
    <row r="104" spans="1:6" x14ac:dyDescent="0.25">
      <c r="A104" s="4" t="s">
        <v>105</v>
      </c>
      <c r="B104" s="6">
        <f t="shared" si="13"/>
        <v>-70</v>
      </c>
      <c r="C104" s="4">
        <v>70</v>
      </c>
      <c r="D104" s="4">
        <v>137</v>
      </c>
      <c r="E104" s="8">
        <f t="shared" si="14"/>
        <v>-3.8567578110364984E-5</v>
      </c>
      <c r="F104" s="8">
        <f t="shared" si="15"/>
        <v>7.548226001600003E-5</v>
      </c>
    </row>
    <row r="105" spans="1:6" x14ac:dyDescent="0.25">
      <c r="A105" s="4" t="s">
        <v>106</v>
      </c>
      <c r="B105" s="6">
        <f t="shared" si="13"/>
        <v>-6482</v>
      </c>
      <c r="C105" s="7">
        <v>6482</v>
      </c>
      <c r="D105" s="7">
        <v>6459</v>
      </c>
      <c r="E105" s="8">
        <f t="shared" si="14"/>
        <v>-3.5713577330197975E-3</v>
      </c>
      <c r="F105" s="8">
        <f t="shared" si="15"/>
        <v>3.5586855287835346E-3</v>
      </c>
    </row>
    <row r="106" spans="1:6" x14ac:dyDescent="0.25">
      <c r="A106" s="4" t="s">
        <v>107</v>
      </c>
      <c r="B106" s="9"/>
      <c r="C106" s="10">
        <f>SUM(C4:C104)</f>
        <v>880706</v>
      </c>
      <c r="D106" s="10">
        <f>SUM(D4:D104)</f>
        <v>934290</v>
      </c>
      <c r="E106" s="11">
        <f>SUM(C106:D106)</f>
        <v>1814996</v>
      </c>
      <c r="F106" s="8"/>
    </row>
  </sheetData>
  <mergeCells count="6">
    <mergeCell ref="A2:D2"/>
    <mergeCell ref="E2:F2"/>
    <mergeCell ref="X2:AA2"/>
    <mergeCell ref="AS2:AT2"/>
    <mergeCell ref="AO2:AR2"/>
    <mergeCell ref="AB2:AC2"/>
  </mergeCells>
  <pageMargins left="0.7" right="0.7" top="0.75" bottom="0.75" header="0.3" footer="0.3"/>
  <pageSetup orientation="portrait" horizontalDpi="4294967293" verticalDpi="4294967293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D958-6DE4-4E7D-B294-037601208C29}">
  <dimension ref="A1:AT105"/>
  <sheetViews>
    <sheetView zoomScale="10" zoomScaleNormal="10" workbookViewId="0">
      <selection activeCell="AN6" sqref="AN6"/>
    </sheetView>
  </sheetViews>
  <sheetFormatPr baseColWidth="10" defaultRowHeight="15" x14ac:dyDescent="0.25"/>
  <cols>
    <col min="1" max="1" width="17.42578125" customWidth="1"/>
    <col min="2" max="2" width="12.42578125" customWidth="1"/>
    <col min="3" max="3" width="12.7109375" customWidth="1"/>
    <col min="5" max="5" width="12.7109375" customWidth="1"/>
    <col min="6" max="6" width="14.5703125" customWidth="1"/>
    <col min="24" max="24" width="14.28515625" customWidth="1"/>
    <col min="26" max="26" width="11.140625" customWidth="1"/>
    <col min="41" max="41" width="13.28515625" customWidth="1"/>
    <col min="43" max="43" width="0" hidden="1" customWidth="1"/>
  </cols>
  <sheetData>
    <row r="1" spans="1:46" x14ac:dyDescent="0.25">
      <c r="A1" s="179" t="s">
        <v>210</v>
      </c>
      <c r="B1" s="179"/>
      <c r="C1" s="179"/>
      <c r="D1" s="179"/>
      <c r="E1" s="179" t="s">
        <v>288</v>
      </c>
      <c r="F1" s="179"/>
      <c r="X1" s="179" t="s">
        <v>213</v>
      </c>
      <c r="Y1" s="179"/>
      <c r="Z1" s="179"/>
      <c r="AA1" s="179"/>
      <c r="AB1" s="179" t="s">
        <v>219</v>
      </c>
      <c r="AC1" s="179"/>
      <c r="AO1" s="179" t="s">
        <v>211</v>
      </c>
      <c r="AP1" s="179"/>
      <c r="AQ1" s="179"/>
      <c r="AR1" s="179"/>
      <c r="AS1" s="179" t="s">
        <v>219</v>
      </c>
      <c r="AT1" s="179"/>
    </row>
    <row r="2" spans="1:46" x14ac:dyDescent="0.25">
      <c r="A2" s="4" t="s">
        <v>0</v>
      </c>
      <c r="B2" s="4" t="s">
        <v>2</v>
      </c>
      <c r="C2" s="4" t="s">
        <v>209</v>
      </c>
      <c r="D2" s="4" t="s">
        <v>3</v>
      </c>
      <c r="E2" s="4" t="s">
        <v>1</v>
      </c>
      <c r="F2" t="s">
        <v>4</v>
      </c>
      <c r="I2" s="14"/>
      <c r="J2" s="14"/>
      <c r="X2" t="s">
        <v>0</v>
      </c>
      <c r="Y2" t="s">
        <v>2</v>
      </c>
      <c r="Z2" t="s">
        <v>209</v>
      </c>
      <c r="AA2" t="s">
        <v>3</v>
      </c>
      <c r="AB2" t="s">
        <v>1</v>
      </c>
      <c r="AC2" t="s">
        <v>4</v>
      </c>
      <c r="AO2" t="s">
        <v>0</v>
      </c>
      <c r="AP2" t="s">
        <v>2</v>
      </c>
      <c r="AQ2" t="s">
        <v>209</v>
      </c>
      <c r="AR2" t="s">
        <v>3</v>
      </c>
      <c r="AS2" t="s">
        <v>1</v>
      </c>
      <c r="AT2" t="s">
        <v>4</v>
      </c>
    </row>
    <row r="3" spans="1:46" x14ac:dyDescent="0.25">
      <c r="A3" s="4" t="s">
        <v>108</v>
      </c>
      <c r="B3" s="12">
        <f>-C3</f>
        <v>-15198</v>
      </c>
      <c r="C3" s="7">
        <v>15198</v>
      </c>
      <c r="D3" s="7">
        <v>14621</v>
      </c>
      <c r="E3" s="13">
        <f>B3/$E$105</f>
        <v>-9.7798535531601772E-3</v>
      </c>
      <c r="F3" s="13">
        <f t="shared" ref="F3:F34" si="0">D3/$E$105</f>
        <v>9.4085563100904691E-3</v>
      </c>
      <c r="V3" s="10"/>
      <c r="W3" s="10"/>
      <c r="X3" t="s">
        <v>220</v>
      </c>
      <c r="Y3" s="14">
        <f>-1*Z3</f>
        <v>-82781</v>
      </c>
      <c r="Z3">
        <v>82781</v>
      </c>
      <c r="AA3">
        <v>80060</v>
      </c>
      <c r="AB3" s="13">
        <f t="shared" ref="AB3:AB21" si="1">Y3/$E$105</f>
        <v>-5.326924970286568E-2</v>
      </c>
      <c r="AC3" s="13">
        <f t="shared" ref="AC3:AC21" si="2">AA3/$E$105</f>
        <v>5.1518296846032624E-2</v>
      </c>
      <c r="AO3" t="s">
        <v>214</v>
      </c>
      <c r="AP3" s="14">
        <f>-1*AQ3</f>
        <v>-258480</v>
      </c>
      <c r="AQ3">
        <v>258480</v>
      </c>
      <c r="AR3">
        <v>251850</v>
      </c>
      <c r="AS3" s="13">
        <f t="shared" ref="AS3:AS5" si="3">AP3/$E$105</f>
        <v>-0.16633086895781304</v>
      </c>
      <c r="AT3" s="13">
        <f t="shared" ref="AT3:AT5" si="4">AR3/$E$105</f>
        <v>0.1620644898909982</v>
      </c>
    </row>
    <row r="4" spans="1:46" x14ac:dyDescent="0.25">
      <c r="A4" s="4" t="s">
        <v>109</v>
      </c>
      <c r="B4" s="12">
        <f t="shared" ref="B4:B67" si="5">-C4</f>
        <v>-15584</v>
      </c>
      <c r="C4" s="7">
        <v>15584</v>
      </c>
      <c r="D4" s="7">
        <v>15006</v>
      </c>
      <c r="E4" s="13">
        <f t="shared" ref="E4:E67" si="6">B4/$E$105</f>
        <v>-1.0028243043324661E-2</v>
      </c>
      <c r="F4" s="13">
        <f t="shared" si="0"/>
        <v>9.6563023041664441E-3</v>
      </c>
      <c r="V4" s="10"/>
      <c r="W4" s="10"/>
      <c r="X4" t="s">
        <v>221</v>
      </c>
      <c r="Y4" s="14">
        <f t="shared" ref="Y4:Y21" si="7">-1*Z4</f>
        <v>-85804</v>
      </c>
      <c r="Z4">
        <v>85804</v>
      </c>
      <c r="AA4">
        <v>83096</v>
      </c>
      <c r="AB4" s="13">
        <f t="shared" si="1"/>
        <v>-5.521453837842847E-2</v>
      </c>
      <c r="AC4" s="13">
        <f t="shared" si="2"/>
        <v>5.3471950970746022E-2</v>
      </c>
      <c r="AO4" t="s">
        <v>216</v>
      </c>
      <c r="AP4" s="14">
        <f t="shared" ref="AP4:AP5" si="8">-1*AQ4</f>
        <v>-459454</v>
      </c>
      <c r="AQ4">
        <v>459454</v>
      </c>
      <c r="AR4">
        <v>512683</v>
      </c>
      <c r="AS4" s="13">
        <f t="shared" si="3"/>
        <v>-0.29565685184982604</v>
      </c>
      <c r="AT4" s="13">
        <f t="shared" si="4"/>
        <v>0.329909505145073</v>
      </c>
    </row>
    <row r="5" spans="1:46" x14ac:dyDescent="0.25">
      <c r="A5" s="4" t="s">
        <v>110</v>
      </c>
      <c r="B5" s="12">
        <f t="shared" si="5"/>
        <v>-16790</v>
      </c>
      <c r="C5" s="7">
        <v>16790</v>
      </c>
      <c r="D5" s="7">
        <v>16453</v>
      </c>
      <c r="E5" s="13">
        <f t="shared" si="6"/>
        <v>-1.0804299326066547E-2</v>
      </c>
      <c r="F5" s="13">
        <f t="shared" si="0"/>
        <v>1.0587441144239004E-2</v>
      </c>
      <c r="V5" s="10"/>
      <c r="W5" s="10"/>
      <c r="X5" t="s">
        <v>222</v>
      </c>
      <c r="Y5" s="14">
        <f t="shared" si="7"/>
        <v>-89895</v>
      </c>
      <c r="Z5">
        <v>89895</v>
      </c>
      <c r="AA5">
        <v>88694</v>
      </c>
      <c r="AB5" s="13">
        <f t="shared" si="1"/>
        <v>-5.7847080876518894E-2</v>
      </c>
      <c r="AC5" s="13">
        <f t="shared" si="2"/>
        <v>5.7074242074219551E-2</v>
      </c>
      <c r="AO5" t="s">
        <v>215</v>
      </c>
      <c r="AP5" s="14">
        <f t="shared" si="8"/>
        <v>-32770</v>
      </c>
      <c r="AQ5">
        <v>32770</v>
      </c>
      <c r="AR5">
        <v>38774</v>
      </c>
      <c r="AS5" s="13">
        <f t="shared" si="3"/>
        <v>-2.1087366820440781E-2</v>
      </c>
      <c r="AT5" s="13">
        <f t="shared" si="4"/>
        <v>2.4950917335848973E-2</v>
      </c>
    </row>
    <row r="6" spans="1:46" x14ac:dyDescent="0.25">
      <c r="A6" s="4" t="s">
        <v>111</v>
      </c>
      <c r="B6" s="12">
        <f t="shared" si="5"/>
        <v>-17407</v>
      </c>
      <c r="C6" s="7">
        <v>17407</v>
      </c>
      <c r="D6" s="7">
        <v>16775</v>
      </c>
      <c r="E6" s="13">
        <f t="shared" si="6"/>
        <v>-1.1201336412676616E-2</v>
      </c>
      <c r="F6" s="13">
        <f t="shared" si="0"/>
        <v>1.079464688473891E-2</v>
      </c>
      <c r="V6" s="10"/>
      <c r="W6" s="10"/>
      <c r="X6" t="s">
        <v>223</v>
      </c>
      <c r="Y6" s="14">
        <f t="shared" si="7"/>
        <v>-79047</v>
      </c>
      <c r="Z6">
        <v>79047</v>
      </c>
      <c r="AA6">
        <v>83494</v>
      </c>
      <c r="AB6" s="13">
        <f t="shared" si="1"/>
        <v>-5.0866435308372981E-2</v>
      </c>
      <c r="AC6" s="13">
        <f t="shared" si="2"/>
        <v>5.372806241397262E-2</v>
      </c>
      <c r="AQ6" s="14"/>
      <c r="AR6" s="10"/>
    </row>
    <row r="7" spans="1:46" x14ac:dyDescent="0.25">
      <c r="A7" s="4" t="s">
        <v>112</v>
      </c>
      <c r="B7" s="12">
        <f t="shared" si="5"/>
        <v>-17802</v>
      </c>
      <c r="C7" s="7">
        <v>17802</v>
      </c>
      <c r="D7" s="7">
        <v>17205</v>
      </c>
      <c r="E7" s="13">
        <f t="shared" si="6"/>
        <v>-1.1455517367637681E-2</v>
      </c>
      <c r="F7" s="13">
        <f t="shared" si="0"/>
        <v>1.1071350202797793E-2</v>
      </c>
      <c r="V7" s="10"/>
      <c r="W7" s="10"/>
      <c r="X7" t="s">
        <v>224</v>
      </c>
      <c r="Y7" s="14">
        <f t="shared" si="7"/>
        <v>-68013</v>
      </c>
      <c r="Z7">
        <v>68013</v>
      </c>
      <c r="AA7">
        <v>78700</v>
      </c>
      <c r="AB7" s="13">
        <f t="shared" si="1"/>
        <v>-4.3766099467764386E-2</v>
      </c>
      <c r="AC7" s="13">
        <f t="shared" si="2"/>
        <v>5.0643142165660349E-2</v>
      </c>
      <c r="AQ7" s="14"/>
      <c r="AR7" s="10"/>
    </row>
    <row r="8" spans="1:46" x14ac:dyDescent="0.25">
      <c r="A8" s="4" t="s">
        <v>113</v>
      </c>
      <c r="B8" s="12">
        <f t="shared" si="5"/>
        <v>-17765</v>
      </c>
      <c r="C8" s="7">
        <v>17765</v>
      </c>
      <c r="D8" s="7">
        <v>17208</v>
      </c>
      <c r="E8" s="13">
        <f t="shared" si="6"/>
        <v>-1.1431708012362847E-2</v>
      </c>
      <c r="F8" s="13">
        <f t="shared" si="0"/>
        <v>1.1073280691063319E-2</v>
      </c>
      <c r="V8" s="10"/>
      <c r="W8" s="10"/>
      <c r="X8" t="s">
        <v>225</v>
      </c>
      <c r="Y8" s="14">
        <f t="shared" si="7"/>
        <v>-60021</v>
      </c>
      <c r="Z8">
        <v>60021</v>
      </c>
      <c r="AA8">
        <v>70479</v>
      </c>
      <c r="AB8" s="13">
        <f t="shared" si="1"/>
        <v>-3.8623278728400247E-2</v>
      </c>
      <c r="AC8" s="13">
        <f t="shared" si="2"/>
        <v>4.5352960822027645E-2</v>
      </c>
      <c r="AQ8" s="14"/>
      <c r="AR8" s="10"/>
    </row>
    <row r="9" spans="1:46" x14ac:dyDescent="0.25">
      <c r="A9" s="4" t="s">
        <v>114</v>
      </c>
      <c r="B9" s="12">
        <f t="shared" si="5"/>
        <v>-16636</v>
      </c>
      <c r="C9" s="7">
        <v>16636</v>
      </c>
      <c r="D9" s="7">
        <v>16243</v>
      </c>
      <c r="E9" s="13">
        <f t="shared" si="6"/>
        <v>-1.0705200928436156E-2</v>
      </c>
      <c r="F9" s="13">
        <f t="shared" si="0"/>
        <v>1.045230696565211E-2</v>
      </c>
      <c r="V9" s="10"/>
      <c r="W9" s="10"/>
      <c r="X9" t="s">
        <v>226</v>
      </c>
      <c r="Y9" s="14">
        <f t="shared" si="7"/>
        <v>-59116</v>
      </c>
      <c r="Z9">
        <v>59116</v>
      </c>
      <c r="AA9">
        <v>67322</v>
      </c>
      <c r="AB9" s="13">
        <f t="shared" si="1"/>
        <v>-3.8040914768299579E-2</v>
      </c>
      <c r="AC9" s="13">
        <f t="shared" si="2"/>
        <v>4.3321443670604649E-2</v>
      </c>
    </row>
    <row r="10" spans="1:46" x14ac:dyDescent="0.25">
      <c r="A10" s="4" t="s">
        <v>115</v>
      </c>
      <c r="B10" s="12">
        <f t="shared" si="5"/>
        <v>-16876</v>
      </c>
      <c r="C10" s="7">
        <v>16876</v>
      </c>
      <c r="D10" s="7">
        <v>16214</v>
      </c>
      <c r="E10" s="13">
        <f t="shared" si="6"/>
        <v>-1.0859639989678323E-2</v>
      </c>
      <c r="F10" s="13">
        <f t="shared" si="0"/>
        <v>1.0433645579085347E-2</v>
      </c>
      <c r="V10" s="10"/>
      <c r="W10" s="10"/>
      <c r="X10" t="s">
        <v>227</v>
      </c>
      <c r="Y10" s="14">
        <f t="shared" si="7"/>
        <v>-51435</v>
      </c>
      <c r="Z10">
        <v>51435</v>
      </c>
      <c r="AA10">
        <v>58254</v>
      </c>
      <c r="AB10" s="13">
        <f t="shared" si="1"/>
        <v>-3.3098221312461755E-2</v>
      </c>
      <c r="AC10" s="13">
        <f t="shared" si="2"/>
        <v>3.74862211400048E-2</v>
      </c>
    </row>
    <row r="11" spans="1:46" x14ac:dyDescent="0.25">
      <c r="A11" s="4" t="s">
        <v>116</v>
      </c>
      <c r="B11" s="12">
        <f t="shared" si="5"/>
        <v>-17633</v>
      </c>
      <c r="C11" s="7">
        <v>17633</v>
      </c>
      <c r="D11" s="7">
        <v>16656</v>
      </c>
      <c r="E11" s="13">
        <f t="shared" si="6"/>
        <v>-1.1346766528679655E-2</v>
      </c>
      <c r="F11" s="13">
        <f t="shared" si="0"/>
        <v>1.0718070850206337E-2</v>
      </c>
      <c r="V11" s="9"/>
      <c r="W11" s="9"/>
      <c r="X11" t="s">
        <v>228</v>
      </c>
      <c r="Y11" s="14">
        <f t="shared" si="7"/>
        <v>-43747</v>
      </c>
      <c r="Z11">
        <v>43747</v>
      </c>
      <c r="AA11">
        <v>47829</v>
      </c>
      <c r="AB11" s="13">
        <f t="shared" si="1"/>
        <v>-2.815102338400436E-2</v>
      </c>
      <c r="AC11" s="13">
        <f t="shared" si="2"/>
        <v>3.0777774417298204E-2</v>
      </c>
    </row>
    <row r="12" spans="1:46" x14ac:dyDescent="0.25">
      <c r="A12" s="4" t="s">
        <v>117</v>
      </c>
      <c r="B12" s="12">
        <f t="shared" si="5"/>
        <v>-16894</v>
      </c>
      <c r="C12" s="7">
        <v>16894</v>
      </c>
      <c r="D12" s="7">
        <v>16775</v>
      </c>
      <c r="E12" s="13">
        <f t="shared" si="6"/>
        <v>-1.0871222919271485E-2</v>
      </c>
      <c r="F12" s="13">
        <f t="shared" si="0"/>
        <v>1.079464688473891E-2</v>
      </c>
      <c r="V12" s="9"/>
      <c r="W12" s="9"/>
      <c r="X12" t="s">
        <v>229</v>
      </c>
      <c r="Y12" s="14">
        <f t="shared" si="7"/>
        <v>-35138</v>
      </c>
      <c r="Z12">
        <v>35138</v>
      </c>
      <c r="AA12">
        <v>38100</v>
      </c>
      <c r="AB12" s="13">
        <f t="shared" si="1"/>
        <v>-2.2611165558030156E-2</v>
      </c>
      <c r="AC12" s="13">
        <f t="shared" si="2"/>
        <v>2.4517200972193891E-2</v>
      </c>
    </row>
    <row r="13" spans="1:46" x14ac:dyDescent="0.25">
      <c r="A13" s="4" t="s">
        <v>118</v>
      </c>
      <c r="B13" s="12">
        <f t="shared" si="5"/>
        <v>-18567</v>
      </c>
      <c r="C13" s="7">
        <v>18567</v>
      </c>
      <c r="D13" s="7">
        <v>17965</v>
      </c>
      <c r="E13" s="13">
        <f t="shared" si="6"/>
        <v>-1.1947791875347086E-2</v>
      </c>
      <c r="F13" s="13">
        <f t="shared" si="0"/>
        <v>1.1560407230064651E-2</v>
      </c>
      <c r="V13" s="9"/>
      <c r="W13" s="9"/>
      <c r="X13" t="s">
        <v>230</v>
      </c>
      <c r="Y13" s="14">
        <f t="shared" si="7"/>
        <v>-27531</v>
      </c>
      <c r="Z13">
        <v>27531</v>
      </c>
      <c r="AA13">
        <v>29598</v>
      </c>
      <c r="AB13" s="13">
        <f t="shared" si="1"/>
        <v>-1.7716090812741996E-2</v>
      </c>
      <c r="AC13" s="13">
        <f t="shared" si="2"/>
        <v>1.9046197227690152E-2</v>
      </c>
    </row>
    <row r="14" spans="1:46" x14ac:dyDescent="0.25">
      <c r="A14" s="4" t="s">
        <v>119</v>
      </c>
      <c r="B14" s="12">
        <f t="shared" si="5"/>
        <v>-17454</v>
      </c>
      <c r="C14" s="7">
        <v>17454</v>
      </c>
      <c r="D14" s="7">
        <v>17135</v>
      </c>
      <c r="E14" s="13">
        <f t="shared" si="6"/>
        <v>-1.1231580728836539E-2</v>
      </c>
      <c r="F14" s="13">
        <f t="shared" si="0"/>
        <v>1.1026305476602161E-2</v>
      </c>
      <c r="V14" s="9"/>
      <c r="W14" s="9"/>
      <c r="X14" t="s">
        <v>231</v>
      </c>
      <c r="Y14" s="14">
        <f t="shared" si="7"/>
        <v>-19600</v>
      </c>
      <c r="Z14">
        <v>19600</v>
      </c>
      <c r="AA14">
        <v>21021</v>
      </c>
      <c r="AB14" s="13">
        <f t="shared" si="1"/>
        <v>-1.261252333477691E-2</v>
      </c>
      <c r="AC14" s="13">
        <f t="shared" si="2"/>
        <v>1.3526931276548235E-2</v>
      </c>
    </row>
    <row r="15" spans="1:46" x14ac:dyDescent="0.25">
      <c r="A15" s="4" t="s">
        <v>120</v>
      </c>
      <c r="B15" s="12">
        <f t="shared" si="5"/>
        <v>-18441</v>
      </c>
      <c r="C15" s="7">
        <v>18441</v>
      </c>
      <c r="D15" s="7">
        <v>18336</v>
      </c>
      <c r="E15" s="13">
        <f t="shared" si="6"/>
        <v>-1.1866711368194949E-2</v>
      </c>
      <c r="F15" s="13">
        <f t="shared" si="0"/>
        <v>1.17991442789015E-2</v>
      </c>
      <c r="V15" s="9"/>
      <c r="W15" s="9"/>
      <c r="X15" t="s">
        <v>232</v>
      </c>
      <c r="Y15" s="14">
        <f t="shared" si="7"/>
        <v>-15806</v>
      </c>
      <c r="Z15">
        <v>15806</v>
      </c>
      <c r="AA15">
        <v>17886</v>
      </c>
      <c r="AB15" s="13">
        <f t="shared" si="1"/>
        <v>-1.0171099174973665E-2</v>
      </c>
      <c r="AC15" s="13">
        <f t="shared" si="2"/>
        <v>1.1509571039072439E-2</v>
      </c>
    </row>
    <row r="16" spans="1:46" x14ac:dyDescent="0.25">
      <c r="A16" s="4" t="s">
        <v>121</v>
      </c>
      <c r="B16" s="12">
        <f t="shared" si="5"/>
        <v>-18160</v>
      </c>
      <c r="C16" s="7">
        <v>18160</v>
      </c>
      <c r="D16" s="7">
        <v>17610</v>
      </c>
      <c r="E16" s="13">
        <f t="shared" si="6"/>
        <v>-1.1685888967323912E-2</v>
      </c>
      <c r="F16" s="13">
        <f t="shared" si="0"/>
        <v>1.1331966118643948E-2</v>
      </c>
      <c r="V16" s="9"/>
      <c r="W16" s="9"/>
      <c r="X16" t="s">
        <v>233</v>
      </c>
      <c r="Y16" s="14">
        <f t="shared" si="7"/>
        <v>-11554</v>
      </c>
      <c r="Z16">
        <v>11554</v>
      </c>
      <c r="AA16">
        <v>12966</v>
      </c>
      <c r="AB16" s="13">
        <f t="shared" si="1"/>
        <v>-7.4349538066332864E-3</v>
      </c>
      <c r="AC16" s="13">
        <f t="shared" si="2"/>
        <v>8.343570283608031E-3</v>
      </c>
    </row>
    <row r="17" spans="1:29" x14ac:dyDescent="0.25">
      <c r="A17" s="4" t="s">
        <v>122</v>
      </c>
      <c r="B17" s="12">
        <f t="shared" si="5"/>
        <v>-17273</v>
      </c>
      <c r="C17" s="7">
        <v>17273</v>
      </c>
      <c r="D17" s="7">
        <v>17648</v>
      </c>
      <c r="E17" s="13">
        <f t="shared" si="6"/>
        <v>-1.1115107936816407E-2</v>
      </c>
      <c r="F17" s="13">
        <f t="shared" si="0"/>
        <v>1.1356418970007292E-2</v>
      </c>
      <c r="V17" s="9"/>
      <c r="W17" s="9"/>
      <c r="X17" t="s">
        <v>234</v>
      </c>
      <c r="Y17" s="14">
        <f t="shared" si="7"/>
        <v>-8548</v>
      </c>
      <c r="Z17">
        <v>8548</v>
      </c>
      <c r="AA17">
        <v>9744</v>
      </c>
      <c r="AB17" s="13">
        <f t="shared" si="1"/>
        <v>-5.5006045645751541E-3</v>
      </c>
      <c r="AC17" s="13">
        <f t="shared" si="2"/>
        <v>6.2702258864319495E-3</v>
      </c>
    </row>
    <row r="18" spans="1:29" x14ac:dyDescent="0.25">
      <c r="A18" s="4" t="s">
        <v>123</v>
      </c>
      <c r="B18" s="12">
        <f t="shared" si="5"/>
        <v>-17491</v>
      </c>
      <c r="C18" s="7">
        <v>17491</v>
      </c>
      <c r="D18" s="7">
        <v>17800</v>
      </c>
      <c r="E18" s="13">
        <f t="shared" si="6"/>
        <v>-1.1255390084111373E-2</v>
      </c>
      <c r="F18" s="13">
        <f t="shared" si="0"/>
        <v>1.1454230375460664E-2</v>
      </c>
      <c r="V18" s="10"/>
      <c r="W18" s="10"/>
      <c r="X18" t="s">
        <v>235</v>
      </c>
      <c r="Y18" s="14">
        <f t="shared" si="7"/>
        <v>-6057</v>
      </c>
      <c r="Z18">
        <v>6057</v>
      </c>
      <c r="AA18">
        <v>7109</v>
      </c>
      <c r="AB18" s="13">
        <f t="shared" si="1"/>
        <v>-3.8976558080991703E-3</v>
      </c>
      <c r="AC18" s="13">
        <f t="shared" si="2"/>
        <v>4.5746136932106659E-3</v>
      </c>
    </row>
    <row r="19" spans="1:29" x14ac:dyDescent="0.25">
      <c r="A19" s="4" t="s">
        <v>124</v>
      </c>
      <c r="B19" s="12">
        <f t="shared" si="5"/>
        <v>-15616</v>
      </c>
      <c r="C19" s="7">
        <v>15616</v>
      </c>
      <c r="D19" s="7">
        <v>16362</v>
      </c>
      <c r="E19" s="13">
        <f t="shared" si="6"/>
        <v>-1.0048834918156949E-2</v>
      </c>
      <c r="F19" s="13">
        <f t="shared" si="0"/>
        <v>1.0528883000184683E-2</v>
      </c>
      <c r="V19" s="10"/>
      <c r="W19" s="10"/>
      <c r="X19" t="s">
        <v>236</v>
      </c>
      <c r="Y19" s="14">
        <f t="shared" si="7"/>
        <v>-3739</v>
      </c>
      <c r="Z19">
        <v>3739</v>
      </c>
      <c r="AA19">
        <v>4628</v>
      </c>
      <c r="AB19" s="13">
        <f t="shared" si="1"/>
        <v>-2.4060318749352483E-3</v>
      </c>
      <c r="AC19" s="13">
        <f t="shared" si="2"/>
        <v>2.9780998976197725E-3</v>
      </c>
    </row>
    <row r="20" spans="1:29" x14ac:dyDescent="0.25">
      <c r="A20" s="4" t="s">
        <v>125</v>
      </c>
      <c r="B20" s="12">
        <f t="shared" si="5"/>
        <v>-16163</v>
      </c>
      <c r="C20" s="7">
        <v>16163</v>
      </c>
      <c r="D20" s="7">
        <v>16653</v>
      </c>
      <c r="E20" s="13">
        <f t="shared" si="6"/>
        <v>-1.0400827278571388E-2</v>
      </c>
      <c r="F20" s="13">
        <f t="shared" si="0"/>
        <v>1.071614036194081E-2</v>
      </c>
      <c r="V20" s="9"/>
      <c r="W20" s="9"/>
      <c r="X20" t="s">
        <v>237</v>
      </c>
      <c r="Y20" s="14">
        <f t="shared" si="7"/>
        <v>-2872</v>
      </c>
      <c r="Z20">
        <v>2872</v>
      </c>
      <c r="AA20">
        <v>4327</v>
      </c>
      <c r="AB20" s="13">
        <f t="shared" si="1"/>
        <v>-1.8481207661979226E-3</v>
      </c>
      <c r="AC20" s="13">
        <f t="shared" si="2"/>
        <v>2.7844075749785557E-3</v>
      </c>
    </row>
    <row r="21" spans="1:29" x14ac:dyDescent="0.25">
      <c r="A21" s="4" t="s">
        <v>126</v>
      </c>
      <c r="B21" s="12">
        <f t="shared" si="5"/>
        <v>-16232</v>
      </c>
      <c r="C21" s="7">
        <v>16232</v>
      </c>
      <c r="D21" s="7">
        <v>17160</v>
      </c>
      <c r="E21" s="13">
        <f t="shared" si="6"/>
        <v>-1.044522850867851E-2</v>
      </c>
      <c r="F21" s="13">
        <f t="shared" si="0"/>
        <v>1.1042392878814885E-2</v>
      </c>
      <c r="V21" s="10"/>
      <c r="W21" s="10"/>
      <c r="X21" t="s">
        <v>106</v>
      </c>
      <c r="Y21" s="14">
        <f t="shared" si="7"/>
        <v>-22055</v>
      </c>
      <c r="Z21">
        <v>22055</v>
      </c>
      <c r="AA21">
        <v>22073</v>
      </c>
      <c r="AB21" s="13">
        <f t="shared" si="1"/>
        <v>-1.4192306232066569E-2</v>
      </c>
      <c r="AC21" s="13">
        <f t="shared" si="2"/>
        <v>1.4203889161659732E-2</v>
      </c>
    </row>
    <row r="22" spans="1:29" x14ac:dyDescent="0.25">
      <c r="A22" s="4" t="s">
        <v>127</v>
      </c>
      <c r="B22" s="12">
        <f t="shared" si="5"/>
        <v>-13545</v>
      </c>
      <c r="C22" s="7">
        <v>13545</v>
      </c>
      <c r="D22" s="7">
        <v>15519</v>
      </c>
      <c r="E22" s="13">
        <f t="shared" si="6"/>
        <v>-8.7161545188547563E-3</v>
      </c>
      <c r="F22" s="13">
        <f t="shared" si="0"/>
        <v>9.986415797571575E-3</v>
      </c>
    </row>
    <row r="23" spans="1:29" x14ac:dyDescent="0.25">
      <c r="A23" s="4" t="s">
        <v>128</v>
      </c>
      <c r="B23" s="12">
        <f t="shared" si="5"/>
        <v>-14570</v>
      </c>
      <c r="C23" s="7">
        <v>14570</v>
      </c>
      <c r="D23" s="7">
        <v>17032</v>
      </c>
      <c r="E23" s="13">
        <f t="shared" si="6"/>
        <v>-9.3757380095765095E-3</v>
      </c>
      <c r="F23" s="13">
        <f t="shared" si="0"/>
        <v>1.0960025379485731E-2</v>
      </c>
    </row>
    <row r="24" spans="1:29" x14ac:dyDescent="0.25">
      <c r="A24" s="4" t="s">
        <v>129</v>
      </c>
      <c r="B24" s="12">
        <f t="shared" si="5"/>
        <v>-12545</v>
      </c>
      <c r="C24" s="7">
        <v>12545</v>
      </c>
      <c r="D24" s="7">
        <v>14179</v>
      </c>
      <c r="E24" s="13">
        <f t="shared" si="6"/>
        <v>-8.0726584303457312E-3</v>
      </c>
      <c r="F24" s="13">
        <f t="shared" si="0"/>
        <v>9.1241310389694793E-3</v>
      </c>
    </row>
    <row r="25" spans="1:29" x14ac:dyDescent="0.25">
      <c r="A25" s="4" t="s">
        <v>130</v>
      </c>
      <c r="B25" s="12">
        <f t="shared" si="5"/>
        <v>-14106</v>
      </c>
      <c r="C25" s="7">
        <v>14106</v>
      </c>
      <c r="D25" s="7">
        <v>16315</v>
      </c>
      <c r="E25" s="13">
        <f t="shared" si="6"/>
        <v>-9.0771558245083209E-3</v>
      </c>
      <c r="F25" s="13">
        <f t="shared" si="0"/>
        <v>1.049863868402476E-2</v>
      </c>
    </row>
    <row r="26" spans="1:29" x14ac:dyDescent="0.25">
      <c r="A26" s="4" t="s">
        <v>131</v>
      </c>
      <c r="B26" s="12">
        <f t="shared" si="5"/>
        <v>-13915</v>
      </c>
      <c r="C26" s="7">
        <v>13915</v>
      </c>
      <c r="D26" s="7">
        <v>15927</v>
      </c>
      <c r="E26" s="13">
        <f t="shared" si="6"/>
        <v>-8.9542480716030964E-3</v>
      </c>
      <c r="F26" s="13">
        <f t="shared" si="0"/>
        <v>1.0248962201683257E-2</v>
      </c>
    </row>
    <row r="27" spans="1:29" x14ac:dyDescent="0.25">
      <c r="A27" s="4" t="s">
        <v>132</v>
      </c>
      <c r="B27" s="12">
        <f t="shared" si="5"/>
        <v>-12877</v>
      </c>
      <c r="C27" s="7">
        <v>12877</v>
      </c>
      <c r="D27" s="7">
        <v>15247</v>
      </c>
      <c r="E27" s="13">
        <f t="shared" si="6"/>
        <v>-8.2862991317307275E-3</v>
      </c>
      <c r="F27" s="13">
        <f t="shared" si="0"/>
        <v>9.8113848614971196E-3</v>
      </c>
    </row>
    <row r="28" spans="1:29" x14ac:dyDescent="0.25">
      <c r="A28" s="4" t="s">
        <v>133</v>
      </c>
      <c r="B28" s="12">
        <f t="shared" si="5"/>
        <v>-13369</v>
      </c>
      <c r="C28" s="7">
        <v>13369</v>
      </c>
      <c r="D28" s="7">
        <v>15753</v>
      </c>
      <c r="E28" s="13">
        <f t="shared" si="6"/>
        <v>-8.6028992072771683E-3</v>
      </c>
      <c r="F28" s="13">
        <f t="shared" si="0"/>
        <v>1.0136993882282687E-2</v>
      </c>
    </row>
    <row r="29" spans="1:29" x14ac:dyDescent="0.25">
      <c r="A29" s="4" t="s">
        <v>134</v>
      </c>
      <c r="B29" s="12">
        <f t="shared" si="5"/>
        <v>-11517</v>
      </c>
      <c r="C29" s="7">
        <v>11517</v>
      </c>
      <c r="D29" s="7">
        <v>13823</v>
      </c>
      <c r="E29" s="13">
        <f t="shared" si="6"/>
        <v>-7.4111444513584521E-3</v>
      </c>
      <c r="F29" s="13">
        <f t="shared" si="0"/>
        <v>8.895046431460267E-3</v>
      </c>
    </row>
    <row r="30" spans="1:29" x14ac:dyDescent="0.25">
      <c r="A30" s="4" t="s">
        <v>135</v>
      </c>
      <c r="B30" s="12">
        <f t="shared" si="5"/>
        <v>-11774</v>
      </c>
      <c r="C30" s="7">
        <v>11774</v>
      </c>
      <c r="D30" s="7">
        <v>13702</v>
      </c>
      <c r="E30" s="13">
        <f t="shared" si="6"/>
        <v>-7.5765229461052718E-3</v>
      </c>
      <c r="F30" s="13">
        <f t="shared" si="0"/>
        <v>8.817183404750675E-3</v>
      </c>
    </row>
    <row r="31" spans="1:29" x14ac:dyDescent="0.25">
      <c r="A31" s="4" t="s">
        <v>136</v>
      </c>
      <c r="B31" s="12">
        <f t="shared" si="5"/>
        <v>-12662</v>
      </c>
      <c r="C31" s="7">
        <v>12662</v>
      </c>
      <c r="D31" s="7">
        <v>14694</v>
      </c>
      <c r="E31" s="13">
        <f t="shared" si="6"/>
        <v>-8.147947472701287E-3</v>
      </c>
      <c r="F31" s="13">
        <f t="shared" si="0"/>
        <v>9.4555315245516275E-3</v>
      </c>
    </row>
    <row r="32" spans="1:29" x14ac:dyDescent="0.25">
      <c r="A32" s="4" t="s">
        <v>137</v>
      </c>
      <c r="B32" s="12">
        <f t="shared" si="5"/>
        <v>-10699</v>
      </c>
      <c r="C32" s="7">
        <v>10699</v>
      </c>
      <c r="D32" s="7">
        <v>12507</v>
      </c>
      <c r="E32" s="13">
        <f t="shared" si="6"/>
        <v>-6.8847646509580694E-3</v>
      </c>
      <c r="F32" s="13">
        <f t="shared" si="0"/>
        <v>8.0482055789823873E-3</v>
      </c>
    </row>
    <row r="33" spans="1:6" x14ac:dyDescent="0.25">
      <c r="A33" s="4" t="s">
        <v>138</v>
      </c>
      <c r="B33" s="12">
        <f t="shared" si="5"/>
        <v>-14331</v>
      </c>
      <c r="C33" s="7">
        <v>14331</v>
      </c>
      <c r="D33" s="7">
        <v>16370</v>
      </c>
      <c r="E33" s="13">
        <f t="shared" si="6"/>
        <v>-9.2219424444228513E-3</v>
      </c>
      <c r="F33" s="13">
        <f t="shared" si="0"/>
        <v>1.0534030968892756E-2</v>
      </c>
    </row>
    <row r="34" spans="1:6" x14ac:dyDescent="0.25">
      <c r="A34" s="4" t="s">
        <v>139</v>
      </c>
      <c r="B34" s="12">
        <f t="shared" si="5"/>
        <v>-9999</v>
      </c>
      <c r="C34" s="7">
        <v>9999</v>
      </c>
      <c r="D34" s="7">
        <v>11295</v>
      </c>
      <c r="E34" s="13">
        <f t="shared" si="6"/>
        <v>-6.4343173890017511E-3</v>
      </c>
      <c r="F34" s="13">
        <f t="shared" si="0"/>
        <v>7.2682883197094485E-3</v>
      </c>
    </row>
    <row r="35" spans="1:6" x14ac:dyDescent="0.25">
      <c r="A35" s="4" t="s">
        <v>140</v>
      </c>
      <c r="B35" s="12">
        <f t="shared" si="5"/>
        <v>-12603</v>
      </c>
      <c r="C35" s="7">
        <v>12603</v>
      </c>
      <c r="D35" s="7">
        <v>14782</v>
      </c>
      <c r="E35" s="13">
        <f t="shared" si="6"/>
        <v>-8.1099812034792548E-3</v>
      </c>
      <c r="F35" s="13">
        <f t="shared" ref="F35:F66" si="9">D35/$E$105</f>
        <v>9.5121591803404223E-3</v>
      </c>
    </row>
    <row r="36" spans="1:6" x14ac:dyDescent="0.25">
      <c r="A36" s="4" t="s">
        <v>141</v>
      </c>
      <c r="B36" s="12">
        <f t="shared" si="5"/>
        <v>-11376</v>
      </c>
      <c r="C36" s="7">
        <v>11376</v>
      </c>
      <c r="D36" s="7">
        <v>12826</v>
      </c>
      <c r="E36" s="13">
        <f t="shared" si="6"/>
        <v>-7.3204115028786794E-3</v>
      </c>
      <c r="F36" s="13">
        <f t="shared" si="9"/>
        <v>8.2534808312167678E-3</v>
      </c>
    </row>
    <row r="37" spans="1:6" x14ac:dyDescent="0.25">
      <c r="A37" s="4" t="s">
        <v>142</v>
      </c>
      <c r="B37" s="12">
        <f t="shared" si="5"/>
        <v>-10807</v>
      </c>
      <c r="C37" s="7">
        <v>10807</v>
      </c>
      <c r="D37" s="7">
        <v>12049</v>
      </c>
      <c r="E37" s="13">
        <f t="shared" si="6"/>
        <v>-6.9542622285170439E-3</v>
      </c>
      <c r="F37" s="13">
        <f t="shared" si="9"/>
        <v>7.7534843704452541E-3</v>
      </c>
    </row>
    <row r="38" spans="1:6" x14ac:dyDescent="0.25">
      <c r="A38" s="4" t="s">
        <v>143</v>
      </c>
      <c r="B38" s="12">
        <f t="shared" si="5"/>
        <v>-12009</v>
      </c>
      <c r="C38" s="7">
        <v>12009</v>
      </c>
      <c r="D38" s="7">
        <v>13361</v>
      </c>
      <c r="E38" s="13">
        <f t="shared" si="6"/>
        <v>-7.7277445269048929E-3</v>
      </c>
      <c r="F38" s="13">
        <f t="shared" si="9"/>
        <v>8.5977512385690957E-3</v>
      </c>
    </row>
    <row r="39" spans="1:6" x14ac:dyDescent="0.25">
      <c r="A39" s="4" t="s">
        <v>144</v>
      </c>
      <c r="B39" s="12">
        <f t="shared" si="5"/>
        <v>-10283</v>
      </c>
      <c r="C39" s="7">
        <v>10283</v>
      </c>
      <c r="D39" s="7">
        <v>11945</v>
      </c>
      <c r="E39" s="13">
        <f t="shared" si="6"/>
        <v>-6.6170702781383145E-3</v>
      </c>
      <c r="F39" s="13">
        <f t="shared" si="9"/>
        <v>7.6865607772403158E-3</v>
      </c>
    </row>
    <row r="40" spans="1:6" x14ac:dyDescent="0.25">
      <c r="A40" s="4" t="s">
        <v>145</v>
      </c>
      <c r="B40" s="12">
        <f t="shared" si="5"/>
        <v>-9629</v>
      </c>
      <c r="C40" s="7">
        <v>9629</v>
      </c>
      <c r="D40" s="7">
        <v>10849</v>
      </c>
      <c r="E40" s="13">
        <f t="shared" si="6"/>
        <v>-6.196223836253411E-3</v>
      </c>
      <c r="F40" s="13">
        <f t="shared" si="9"/>
        <v>6.9812890642344232E-3</v>
      </c>
    </row>
    <row r="41" spans="1:6" x14ac:dyDescent="0.25">
      <c r="A41" s="4" t="s">
        <v>146</v>
      </c>
      <c r="B41" s="12">
        <f t="shared" si="5"/>
        <v>-10717</v>
      </c>
      <c r="C41" s="7">
        <v>10717</v>
      </c>
      <c r="D41" s="7">
        <v>12161</v>
      </c>
      <c r="E41" s="13">
        <f t="shared" si="6"/>
        <v>-6.8963475805512318E-3</v>
      </c>
      <c r="F41" s="13">
        <f t="shared" si="9"/>
        <v>7.8255559323582649E-3</v>
      </c>
    </row>
    <row r="42" spans="1:6" x14ac:dyDescent="0.25">
      <c r="A42" s="4" t="s">
        <v>147</v>
      </c>
      <c r="B42" s="12">
        <f t="shared" si="5"/>
        <v>-8797</v>
      </c>
      <c r="C42" s="7">
        <v>8797</v>
      </c>
      <c r="D42" s="7">
        <v>9938</v>
      </c>
      <c r="E42" s="13">
        <f t="shared" si="6"/>
        <v>-5.6608350906139013E-3</v>
      </c>
      <c r="F42" s="13">
        <f t="shared" si="9"/>
        <v>6.3950641276027008E-3</v>
      </c>
    </row>
    <row r="43" spans="1:6" x14ac:dyDescent="0.25">
      <c r="A43" s="4" t="s">
        <v>148</v>
      </c>
      <c r="B43" s="12">
        <f t="shared" si="5"/>
        <v>-11495</v>
      </c>
      <c r="C43" s="7">
        <v>11495</v>
      </c>
      <c r="D43" s="7">
        <v>12992</v>
      </c>
      <c r="E43" s="13">
        <f t="shared" si="6"/>
        <v>-7.3969875374112542E-3</v>
      </c>
      <c r="F43" s="13">
        <f t="shared" si="9"/>
        <v>8.360301181909266E-3</v>
      </c>
    </row>
    <row r="44" spans="1:6" x14ac:dyDescent="0.25">
      <c r="A44" s="4" t="s">
        <v>149</v>
      </c>
      <c r="B44" s="12">
        <f t="shared" si="5"/>
        <v>-7011</v>
      </c>
      <c r="C44" s="7">
        <v>7011</v>
      </c>
      <c r="D44" s="7">
        <v>7642</v>
      </c>
      <c r="E44" s="13">
        <f t="shared" si="6"/>
        <v>-4.5115510765367812E-3</v>
      </c>
      <c r="F44" s="13">
        <f t="shared" si="9"/>
        <v>4.9175971083859765E-3</v>
      </c>
    </row>
    <row r="45" spans="1:6" x14ac:dyDescent="0.25">
      <c r="A45" s="4" t="s">
        <v>150</v>
      </c>
      <c r="B45" s="12">
        <f t="shared" si="5"/>
        <v>-10064</v>
      </c>
      <c r="C45" s="7">
        <v>10064</v>
      </c>
      <c r="D45" s="7">
        <v>10847</v>
      </c>
      <c r="E45" s="13">
        <f t="shared" si="6"/>
        <v>-6.4761446347548378E-3</v>
      </c>
      <c r="F45" s="13">
        <f t="shared" si="9"/>
        <v>6.9800020720574051E-3</v>
      </c>
    </row>
    <row r="46" spans="1:6" x14ac:dyDescent="0.25">
      <c r="A46" s="4" t="s">
        <v>151</v>
      </c>
      <c r="B46" s="12">
        <f t="shared" si="5"/>
        <v>-8051</v>
      </c>
      <c r="C46" s="7">
        <v>8051</v>
      </c>
      <c r="D46" s="7">
        <v>8837</v>
      </c>
      <c r="E46" s="13">
        <f t="shared" si="6"/>
        <v>-5.1807870085861683E-3</v>
      </c>
      <c r="F46" s="13">
        <f t="shared" si="9"/>
        <v>5.6865749341542624E-3</v>
      </c>
    </row>
    <row r="47" spans="1:6" x14ac:dyDescent="0.25">
      <c r="A47" s="4" t="s">
        <v>152</v>
      </c>
      <c r="B47" s="12">
        <f t="shared" si="5"/>
        <v>-7126</v>
      </c>
      <c r="C47" s="7">
        <v>7126</v>
      </c>
      <c r="D47" s="7">
        <v>7511</v>
      </c>
      <c r="E47" s="13">
        <f t="shared" si="6"/>
        <v>-4.5855531267153197E-3</v>
      </c>
      <c r="F47" s="13">
        <f t="shared" si="9"/>
        <v>4.8332991207912946E-3</v>
      </c>
    </row>
    <row r="48" spans="1:6" x14ac:dyDescent="0.25">
      <c r="A48" s="4" t="s">
        <v>153</v>
      </c>
      <c r="B48" s="12">
        <f t="shared" si="5"/>
        <v>-9495</v>
      </c>
      <c r="C48" s="7">
        <v>9495</v>
      </c>
      <c r="D48" s="7">
        <v>10205</v>
      </c>
      <c r="E48" s="13">
        <f t="shared" si="6"/>
        <v>-6.1099953603932023E-3</v>
      </c>
      <c r="F48" s="13">
        <f t="shared" si="9"/>
        <v>6.5668775832346104E-3</v>
      </c>
    </row>
    <row r="49" spans="1:6" x14ac:dyDescent="0.25">
      <c r="A49" s="4" t="s">
        <v>154</v>
      </c>
      <c r="B49" s="12">
        <f t="shared" si="5"/>
        <v>-6561</v>
      </c>
      <c r="C49" s="7">
        <v>6561</v>
      </c>
      <c r="D49" s="7">
        <v>7228</v>
      </c>
      <c r="E49" s="13">
        <f t="shared" si="6"/>
        <v>-4.2219778367077196E-3</v>
      </c>
      <c r="F49" s="13">
        <f t="shared" si="9"/>
        <v>4.6511897277432398E-3</v>
      </c>
    </row>
    <row r="50" spans="1:6" x14ac:dyDescent="0.25">
      <c r="A50" s="4" t="s">
        <v>155</v>
      </c>
      <c r="B50" s="12">
        <f t="shared" si="5"/>
        <v>-6382</v>
      </c>
      <c r="C50" s="7">
        <v>6382</v>
      </c>
      <c r="D50" s="7">
        <v>6835</v>
      </c>
      <c r="E50" s="13">
        <f t="shared" si="6"/>
        <v>-4.106792036864604E-3</v>
      </c>
      <c r="F50" s="13">
        <f t="shared" si="9"/>
        <v>4.3982957649591923E-3</v>
      </c>
    </row>
    <row r="51" spans="1:6" x14ac:dyDescent="0.25">
      <c r="A51" s="4" t="s">
        <v>156</v>
      </c>
      <c r="B51" s="12">
        <f t="shared" si="5"/>
        <v>-7081</v>
      </c>
      <c r="C51" s="7">
        <v>7081</v>
      </c>
      <c r="D51" s="7">
        <v>7741</v>
      </c>
      <c r="E51" s="13">
        <f t="shared" si="6"/>
        <v>-4.5565958027324127E-3</v>
      </c>
      <c r="F51" s="13">
        <f t="shared" si="9"/>
        <v>4.9813032211483699E-3</v>
      </c>
    </row>
    <row r="52" spans="1:6" x14ac:dyDescent="0.25">
      <c r="A52" s="4" t="s">
        <v>157</v>
      </c>
      <c r="B52" s="12">
        <f t="shared" si="5"/>
        <v>-5619</v>
      </c>
      <c r="C52" s="7">
        <v>5619</v>
      </c>
      <c r="D52" s="7">
        <v>6091</v>
      </c>
      <c r="E52" s="13">
        <f t="shared" si="6"/>
        <v>-3.6158045213322172E-3</v>
      </c>
      <c r="F52" s="13">
        <f t="shared" si="9"/>
        <v>3.9195346751084775E-3</v>
      </c>
    </row>
    <row r="53" spans="1:6" x14ac:dyDescent="0.25">
      <c r="A53" s="4" t="s">
        <v>158</v>
      </c>
      <c r="B53" s="12">
        <f t="shared" si="5"/>
        <v>-7764</v>
      </c>
      <c r="C53" s="7">
        <v>7764</v>
      </c>
      <c r="D53" s="7">
        <v>8294</v>
      </c>
      <c r="E53" s="13">
        <f t="shared" si="6"/>
        <v>-4.9961036311840781E-3</v>
      </c>
      <c r="F53" s="13">
        <f t="shared" si="9"/>
        <v>5.3371565580938619E-3</v>
      </c>
    </row>
    <row r="54" spans="1:6" x14ac:dyDescent="0.25">
      <c r="A54" s="4" t="s">
        <v>159</v>
      </c>
      <c r="B54" s="12">
        <f t="shared" si="5"/>
        <v>-4153</v>
      </c>
      <c r="C54" s="7">
        <v>4153</v>
      </c>
      <c r="D54" s="7">
        <v>4555</v>
      </c>
      <c r="E54" s="13">
        <f t="shared" si="6"/>
        <v>-2.672439255577985E-3</v>
      </c>
      <c r="F54" s="13">
        <f t="shared" si="9"/>
        <v>2.9311246831586132E-3</v>
      </c>
    </row>
    <row r="55" spans="1:6" x14ac:dyDescent="0.25">
      <c r="A55" s="4" t="s">
        <v>160</v>
      </c>
      <c r="B55" s="12">
        <f t="shared" si="5"/>
        <v>-5674</v>
      </c>
      <c r="C55" s="7">
        <v>5674</v>
      </c>
      <c r="D55" s="7">
        <v>6143</v>
      </c>
      <c r="E55" s="13">
        <f t="shared" si="6"/>
        <v>-3.6511968062002136E-3</v>
      </c>
      <c r="F55" s="13">
        <f t="shared" si="9"/>
        <v>3.9529964717109466E-3</v>
      </c>
    </row>
    <row r="56" spans="1:6" x14ac:dyDescent="0.25">
      <c r="A56" s="4" t="s">
        <v>161</v>
      </c>
      <c r="B56" s="12">
        <f t="shared" si="5"/>
        <v>-5069</v>
      </c>
      <c r="C56" s="7">
        <v>5069</v>
      </c>
      <c r="D56" s="7">
        <v>5439</v>
      </c>
      <c r="E56" s="13">
        <f t="shared" si="6"/>
        <v>-3.2618816726522528E-3</v>
      </c>
      <c r="F56" s="13">
        <f t="shared" si="9"/>
        <v>3.4999752254005925E-3</v>
      </c>
    </row>
    <row r="57" spans="1:6" x14ac:dyDescent="0.25">
      <c r="A57" s="4" t="s">
        <v>162</v>
      </c>
      <c r="B57" s="12">
        <f t="shared" si="5"/>
        <v>-4871</v>
      </c>
      <c r="C57" s="7">
        <v>4871</v>
      </c>
      <c r="D57" s="7">
        <v>5167</v>
      </c>
      <c r="E57" s="13">
        <f t="shared" si="6"/>
        <v>-3.1344694471274657E-3</v>
      </c>
      <c r="F57" s="13">
        <f t="shared" si="9"/>
        <v>3.3249442893261375E-3</v>
      </c>
    </row>
    <row r="58" spans="1:6" x14ac:dyDescent="0.25">
      <c r="A58" s="4" t="s">
        <v>163</v>
      </c>
      <c r="B58" s="12">
        <f t="shared" si="5"/>
        <v>-5154</v>
      </c>
      <c r="C58" s="7">
        <v>5154</v>
      </c>
      <c r="D58" s="7">
        <v>5595</v>
      </c>
      <c r="E58" s="13">
        <f t="shared" si="6"/>
        <v>-3.31657884017552E-3</v>
      </c>
      <c r="F58" s="13">
        <f t="shared" si="9"/>
        <v>3.6003606152080004E-3</v>
      </c>
    </row>
    <row r="59" spans="1:6" x14ac:dyDescent="0.25">
      <c r="A59" s="4" t="s">
        <v>164</v>
      </c>
      <c r="B59" s="12">
        <f t="shared" si="5"/>
        <v>-4147</v>
      </c>
      <c r="C59" s="7">
        <v>4147</v>
      </c>
      <c r="D59" s="7">
        <v>4376</v>
      </c>
      <c r="E59" s="13">
        <f t="shared" si="6"/>
        <v>-2.668578279046931E-3</v>
      </c>
      <c r="F59" s="13">
        <f t="shared" si="9"/>
        <v>2.8159388833154976E-3</v>
      </c>
    </row>
    <row r="60" spans="1:6" x14ac:dyDescent="0.25">
      <c r="A60" s="4" t="s">
        <v>165</v>
      </c>
      <c r="B60" s="12">
        <f t="shared" si="5"/>
        <v>-3435</v>
      </c>
      <c r="C60" s="7">
        <v>3435</v>
      </c>
      <c r="D60" s="7">
        <v>3655</v>
      </c>
      <c r="E60" s="13">
        <f t="shared" si="6"/>
        <v>-2.2104090640285043E-3</v>
      </c>
      <c r="F60" s="13">
        <f t="shared" si="9"/>
        <v>2.3519782035004901E-3</v>
      </c>
    </row>
    <row r="61" spans="1:6" x14ac:dyDescent="0.25">
      <c r="A61" s="4" t="s">
        <v>166</v>
      </c>
      <c r="B61" s="12">
        <f t="shared" si="5"/>
        <v>-3860</v>
      </c>
      <c r="C61" s="7">
        <v>3860</v>
      </c>
      <c r="D61" s="7">
        <v>4153</v>
      </c>
      <c r="E61" s="13">
        <f t="shared" si="6"/>
        <v>-2.4838949016448403E-3</v>
      </c>
      <c r="F61" s="13">
        <f t="shared" si="9"/>
        <v>2.672439255577985E-3</v>
      </c>
    </row>
    <row r="62" spans="1:6" x14ac:dyDescent="0.25">
      <c r="A62" s="4" t="s">
        <v>167</v>
      </c>
      <c r="B62" s="12">
        <f t="shared" si="5"/>
        <v>-3004</v>
      </c>
      <c r="C62" s="7">
        <v>3004</v>
      </c>
      <c r="D62" s="7">
        <v>3242</v>
      </c>
      <c r="E62" s="13">
        <f t="shared" si="6"/>
        <v>-1.933062249881114E-3</v>
      </c>
      <c r="F62" s="13">
        <f t="shared" si="9"/>
        <v>2.0862143189462625E-3</v>
      </c>
    </row>
    <row r="63" spans="1:6" x14ac:dyDescent="0.25">
      <c r="A63" s="4" t="s">
        <v>168</v>
      </c>
      <c r="B63" s="12">
        <f t="shared" si="5"/>
        <v>-4908</v>
      </c>
      <c r="C63" s="7">
        <v>4908</v>
      </c>
      <c r="D63" s="7">
        <v>5593</v>
      </c>
      <c r="E63" s="13">
        <f t="shared" si="6"/>
        <v>-3.1582788024022996E-3</v>
      </c>
      <c r="F63" s="13">
        <f t="shared" si="9"/>
        <v>3.5990736230309822E-3</v>
      </c>
    </row>
    <row r="64" spans="1:6" x14ac:dyDescent="0.25">
      <c r="A64" s="4" t="s">
        <v>169</v>
      </c>
      <c r="B64" s="12">
        <f t="shared" si="5"/>
        <v>-2214</v>
      </c>
      <c r="C64" s="7">
        <v>2214</v>
      </c>
      <c r="D64" s="7">
        <v>2554</v>
      </c>
      <c r="E64" s="13">
        <f t="shared" si="6"/>
        <v>-1.4247003399589836E-3</v>
      </c>
      <c r="F64" s="13">
        <f t="shared" si="9"/>
        <v>1.6434890100520524E-3</v>
      </c>
    </row>
    <row r="65" spans="1:6" x14ac:dyDescent="0.25">
      <c r="A65" s="4" t="s">
        <v>170</v>
      </c>
      <c r="B65" s="12">
        <f t="shared" si="5"/>
        <v>-3024</v>
      </c>
      <c r="C65" s="7">
        <v>3024</v>
      </c>
      <c r="D65" s="7">
        <v>3287</v>
      </c>
      <c r="E65" s="13">
        <f t="shared" si="6"/>
        <v>-1.9459321716512946E-3</v>
      </c>
      <c r="F65" s="13">
        <f t="shared" si="9"/>
        <v>2.1151716429291686E-3</v>
      </c>
    </row>
    <row r="66" spans="1:6" x14ac:dyDescent="0.25">
      <c r="A66" s="4" t="s">
        <v>171</v>
      </c>
      <c r="B66" s="12">
        <f t="shared" si="5"/>
        <v>-3018</v>
      </c>
      <c r="C66" s="7">
        <v>3018</v>
      </c>
      <c r="D66" s="7">
        <v>3468</v>
      </c>
      <c r="E66" s="13">
        <f t="shared" si="6"/>
        <v>-1.9420711951202406E-3</v>
      </c>
      <c r="F66" s="13">
        <f t="shared" si="9"/>
        <v>2.2316444349493023E-3</v>
      </c>
    </row>
    <row r="67" spans="1:6" x14ac:dyDescent="0.25">
      <c r="A67" s="4" t="s">
        <v>172</v>
      </c>
      <c r="B67" s="12">
        <f t="shared" si="5"/>
        <v>-2642</v>
      </c>
      <c r="C67" s="7">
        <v>2642</v>
      </c>
      <c r="D67" s="7">
        <v>2984</v>
      </c>
      <c r="E67" s="13">
        <f t="shared" si="6"/>
        <v>-1.7001166658408466E-3</v>
      </c>
      <c r="F67" s="13">
        <f t="shared" ref="F67:F98" si="10">D67/$E$105</f>
        <v>1.9201923281109336E-3</v>
      </c>
    </row>
    <row r="68" spans="1:6" x14ac:dyDescent="0.25">
      <c r="A68" s="4" t="s">
        <v>173</v>
      </c>
      <c r="B68" s="12">
        <f t="shared" ref="B68:B104" si="11">-C68</f>
        <v>-3598</v>
      </c>
      <c r="C68" s="7">
        <v>3598</v>
      </c>
      <c r="D68" s="7">
        <v>3988</v>
      </c>
      <c r="E68" s="13">
        <f t="shared" ref="E68:E103" si="12">B68/$E$105</f>
        <v>-2.3152989264554756E-3</v>
      </c>
      <c r="F68" s="13">
        <f t="shared" si="10"/>
        <v>2.5662624009739955E-3</v>
      </c>
    </row>
    <row r="69" spans="1:6" x14ac:dyDescent="0.25">
      <c r="A69" s="4" t="s">
        <v>174</v>
      </c>
      <c r="B69" s="12">
        <f t="shared" si="11"/>
        <v>-2065</v>
      </c>
      <c r="C69" s="7">
        <v>2065</v>
      </c>
      <c r="D69" s="7">
        <v>2313</v>
      </c>
      <c r="E69" s="13">
        <f t="shared" si="12"/>
        <v>-1.3288194227711386E-3</v>
      </c>
      <c r="F69" s="13">
        <f t="shared" si="10"/>
        <v>1.4884064527213772E-3</v>
      </c>
    </row>
    <row r="70" spans="1:6" x14ac:dyDescent="0.25">
      <c r="A70" s="4" t="s">
        <v>175</v>
      </c>
      <c r="B70" s="12">
        <f t="shared" si="11"/>
        <v>-2133</v>
      </c>
      <c r="C70" s="7">
        <v>2133</v>
      </c>
      <c r="D70" s="7">
        <v>2300</v>
      </c>
      <c r="E70" s="13">
        <f t="shared" si="12"/>
        <v>-1.3725771567897524E-3</v>
      </c>
      <c r="F70" s="13">
        <f t="shared" si="10"/>
        <v>1.4800410035707599E-3</v>
      </c>
    </row>
    <row r="71" spans="1:6" x14ac:dyDescent="0.25">
      <c r="A71" s="4" t="s">
        <v>176</v>
      </c>
      <c r="B71" s="12">
        <f t="shared" si="11"/>
        <v>-2246</v>
      </c>
      <c r="C71" s="7">
        <v>2246</v>
      </c>
      <c r="D71" s="7">
        <v>2678</v>
      </c>
      <c r="E71" s="13">
        <f t="shared" si="12"/>
        <v>-1.4452922147912724E-3</v>
      </c>
      <c r="F71" s="13">
        <f t="shared" si="10"/>
        <v>1.7232825250271717E-3</v>
      </c>
    </row>
    <row r="72" spans="1:6" x14ac:dyDescent="0.25">
      <c r="A72" s="4" t="s">
        <v>177</v>
      </c>
      <c r="B72" s="12">
        <f t="shared" si="11"/>
        <v>-1512</v>
      </c>
      <c r="C72" s="7">
        <v>1512</v>
      </c>
      <c r="D72" s="7">
        <v>1687</v>
      </c>
      <c r="E72" s="13">
        <f t="shared" si="12"/>
        <v>-9.7296608582564728E-4</v>
      </c>
      <c r="F72" s="13">
        <f t="shared" si="10"/>
        <v>1.085577901314727E-3</v>
      </c>
    </row>
    <row r="73" spans="1:6" x14ac:dyDescent="0.25">
      <c r="A73" s="4" t="s">
        <v>178</v>
      </c>
      <c r="B73" s="12">
        <f t="shared" si="11"/>
        <v>-2702</v>
      </c>
      <c r="C73" s="7">
        <v>2702</v>
      </c>
      <c r="D73" s="7">
        <v>3047</v>
      </c>
      <c r="E73" s="13">
        <f t="shared" si="12"/>
        <v>-1.7387264311513881E-3</v>
      </c>
      <c r="F73" s="13">
        <f t="shared" si="10"/>
        <v>1.9607325816870021E-3</v>
      </c>
    </row>
    <row r="74" spans="1:6" x14ac:dyDescent="0.25">
      <c r="A74" s="4" t="s">
        <v>179</v>
      </c>
      <c r="B74" s="12">
        <f t="shared" si="11"/>
        <v>-1104</v>
      </c>
      <c r="C74" s="7">
        <v>1104</v>
      </c>
      <c r="D74" s="7">
        <v>1180</v>
      </c>
      <c r="E74" s="13">
        <f t="shared" si="12"/>
        <v>-7.1041968171396469E-4</v>
      </c>
      <c r="F74" s="13">
        <f t="shared" si="10"/>
        <v>7.5932538444065069E-4</v>
      </c>
    </row>
    <row r="75" spans="1:6" x14ac:dyDescent="0.25">
      <c r="A75" s="4" t="s">
        <v>180</v>
      </c>
      <c r="B75" s="12">
        <f t="shared" si="11"/>
        <v>-1734</v>
      </c>
      <c r="C75" s="7">
        <v>1734</v>
      </c>
      <c r="D75" s="7">
        <v>2053</v>
      </c>
      <c r="E75" s="13">
        <f t="shared" si="12"/>
        <v>-1.1158222174746512E-3</v>
      </c>
      <c r="F75" s="13">
        <f t="shared" si="10"/>
        <v>1.3210974697090304E-3</v>
      </c>
    </row>
    <row r="76" spans="1:6" x14ac:dyDescent="0.25">
      <c r="A76" s="4" t="s">
        <v>181</v>
      </c>
      <c r="B76" s="12">
        <f t="shared" si="11"/>
        <v>-1553</v>
      </c>
      <c r="C76" s="7">
        <v>1553</v>
      </c>
      <c r="D76" s="7">
        <v>1791</v>
      </c>
      <c r="E76" s="13">
        <f t="shared" si="12"/>
        <v>-9.9934942545451739E-4</v>
      </c>
      <c r="F76" s="13">
        <f t="shared" si="10"/>
        <v>1.1525014945196655E-3</v>
      </c>
    </row>
    <row r="77" spans="1:6" x14ac:dyDescent="0.25">
      <c r="A77" s="4" t="s">
        <v>182</v>
      </c>
      <c r="B77" s="12">
        <f t="shared" si="11"/>
        <v>-1455</v>
      </c>
      <c r="C77" s="7">
        <v>1455</v>
      </c>
      <c r="D77" s="7">
        <v>1673</v>
      </c>
      <c r="E77" s="13">
        <f t="shared" si="12"/>
        <v>-9.3628680878063278E-4</v>
      </c>
      <c r="F77" s="13">
        <f t="shared" si="10"/>
        <v>1.0765689560756006E-3</v>
      </c>
    </row>
    <row r="78" spans="1:6" x14ac:dyDescent="0.25">
      <c r="A78" s="4" t="s">
        <v>183</v>
      </c>
      <c r="B78" s="12">
        <f t="shared" si="11"/>
        <v>-1901</v>
      </c>
      <c r="C78" s="7">
        <v>1901</v>
      </c>
      <c r="D78" s="7">
        <v>2259</v>
      </c>
      <c r="E78" s="13">
        <f t="shared" si="12"/>
        <v>-1.2232860642556584E-3</v>
      </c>
      <c r="F78" s="13">
        <f t="shared" si="10"/>
        <v>1.4536576639418897E-3</v>
      </c>
    </row>
    <row r="79" spans="1:6" x14ac:dyDescent="0.25">
      <c r="A79" s="4" t="s">
        <v>184</v>
      </c>
      <c r="B79" s="12">
        <f t="shared" si="11"/>
        <v>-1197</v>
      </c>
      <c r="C79" s="7">
        <v>1197</v>
      </c>
      <c r="D79" s="7">
        <v>1417</v>
      </c>
      <c r="E79" s="13">
        <f t="shared" si="12"/>
        <v>-7.7026481794530415E-4</v>
      </c>
      <c r="F79" s="13">
        <f t="shared" si="10"/>
        <v>9.1183395741728979E-4</v>
      </c>
    </row>
    <row r="80" spans="1:6" x14ac:dyDescent="0.25">
      <c r="A80" s="4" t="s">
        <v>185</v>
      </c>
      <c r="B80" s="12">
        <f t="shared" si="11"/>
        <v>-940</v>
      </c>
      <c r="C80" s="4">
        <v>940</v>
      </c>
      <c r="D80" s="7">
        <v>1076</v>
      </c>
      <c r="E80" s="13">
        <f t="shared" si="12"/>
        <v>-6.0488632319848448E-4</v>
      </c>
      <c r="F80" s="13">
        <f t="shared" si="10"/>
        <v>6.9240179123571197E-4</v>
      </c>
    </row>
    <row r="81" spans="1:6" x14ac:dyDescent="0.25">
      <c r="A81" s="4" t="s">
        <v>186</v>
      </c>
      <c r="B81" s="12">
        <f t="shared" si="11"/>
        <v>-1268</v>
      </c>
      <c r="C81" s="7">
        <v>1268</v>
      </c>
      <c r="D81" s="7">
        <v>1437</v>
      </c>
      <c r="E81" s="13">
        <f t="shared" si="12"/>
        <v>-8.15953040229445E-4</v>
      </c>
      <c r="F81" s="13">
        <f t="shared" si="10"/>
        <v>9.2470387918747036E-4</v>
      </c>
    </row>
    <row r="82" spans="1:6" x14ac:dyDescent="0.25">
      <c r="A82" s="4" t="s">
        <v>187</v>
      </c>
      <c r="B82" s="12">
        <f t="shared" si="11"/>
        <v>-751</v>
      </c>
      <c r="C82" s="4">
        <v>751</v>
      </c>
      <c r="D82" s="4">
        <v>920</v>
      </c>
      <c r="E82" s="13">
        <f t="shared" si="12"/>
        <v>-4.832655624702785E-4</v>
      </c>
      <c r="F82" s="13">
        <f t="shared" si="10"/>
        <v>5.9201640142830391E-4</v>
      </c>
    </row>
    <row r="83" spans="1:6" x14ac:dyDescent="0.25">
      <c r="A83" s="4" t="s">
        <v>188</v>
      </c>
      <c r="B83" s="12">
        <f t="shared" si="11"/>
        <v>-1256</v>
      </c>
      <c r="C83" s="7">
        <v>1256</v>
      </c>
      <c r="D83" s="7">
        <v>1630</v>
      </c>
      <c r="E83" s="13">
        <f t="shared" si="12"/>
        <v>-8.0823108716733668E-4</v>
      </c>
      <c r="F83" s="13">
        <f t="shared" si="10"/>
        <v>1.0488986242697125E-3</v>
      </c>
    </row>
    <row r="84" spans="1:6" x14ac:dyDescent="0.25">
      <c r="A84" s="4" t="s">
        <v>189</v>
      </c>
      <c r="B84" s="12">
        <f t="shared" si="11"/>
        <v>-547</v>
      </c>
      <c r="C84" s="4">
        <v>547</v>
      </c>
      <c r="D84" s="4">
        <v>586</v>
      </c>
      <c r="E84" s="13">
        <f t="shared" si="12"/>
        <v>-3.519923604144372E-4</v>
      </c>
      <c r="F84" s="13">
        <f t="shared" si="10"/>
        <v>3.7708870786628922E-4</v>
      </c>
    </row>
    <row r="85" spans="1:6" x14ac:dyDescent="0.25">
      <c r="A85" s="4" t="s">
        <v>190</v>
      </c>
      <c r="B85" s="12">
        <f t="shared" si="11"/>
        <v>-701</v>
      </c>
      <c r="C85" s="4">
        <v>701</v>
      </c>
      <c r="D85" s="4">
        <v>817</v>
      </c>
      <c r="E85" s="13">
        <f t="shared" si="12"/>
        <v>-4.5109075804482723E-4</v>
      </c>
      <c r="F85" s="13">
        <f t="shared" si="10"/>
        <v>5.2573630431187427E-4</v>
      </c>
    </row>
    <row r="86" spans="1:6" x14ac:dyDescent="0.25">
      <c r="A86" s="4" t="s">
        <v>191</v>
      </c>
      <c r="B86" s="12">
        <f t="shared" si="11"/>
        <v>-652</v>
      </c>
      <c r="C86" s="4">
        <v>652</v>
      </c>
      <c r="D86" s="4">
        <v>816</v>
      </c>
      <c r="E86" s="13">
        <f t="shared" si="12"/>
        <v>-4.1955944970788493E-4</v>
      </c>
      <c r="F86" s="13">
        <f t="shared" si="10"/>
        <v>5.2509280822336519E-4</v>
      </c>
    </row>
    <row r="87" spans="1:6" x14ac:dyDescent="0.25">
      <c r="A87" s="4" t="s">
        <v>192</v>
      </c>
      <c r="B87" s="12">
        <f t="shared" si="11"/>
        <v>-583</v>
      </c>
      <c r="C87" s="4">
        <v>583</v>
      </c>
      <c r="D87" s="4">
        <v>779</v>
      </c>
      <c r="E87" s="13">
        <f t="shared" si="12"/>
        <v>-3.7515821960076216E-4</v>
      </c>
      <c r="F87" s="13">
        <f t="shared" si="10"/>
        <v>5.0128345294853127E-4</v>
      </c>
    </row>
    <row r="88" spans="1:6" x14ac:dyDescent="0.25">
      <c r="A88" s="4" t="s">
        <v>193</v>
      </c>
      <c r="B88" s="12">
        <f t="shared" si="11"/>
        <v>-742</v>
      </c>
      <c r="C88" s="4">
        <v>742</v>
      </c>
      <c r="D88" s="7">
        <v>1003</v>
      </c>
      <c r="E88" s="13">
        <f t="shared" si="12"/>
        <v>-4.7747409767369729E-4</v>
      </c>
      <c r="F88" s="13">
        <f t="shared" si="10"/>
        <v>6.4542657677455308E-4</v>
      </c>
    </row>
    <row r="89" spans="1:6" x14ac:dyDescent="0.25">
      <c r="A89" s="4" t="s">
        <v>194</v>
      </c>
      <c r="B89" s="12">
        <f t="shared" si="11"/>
        <v>-365</v>
      </c>
      <c r="C89" s="4">
        <v>365</v>
      </c>
      <c r="D89" s="4">
        <v>476</v>
      </c>
      <c r="E89" s="13">
        <f t="shared" si="12"/>
        <v>-2.3487607230579448E-4</v>
      </c>
      <c r="F89" s="13">
        <f t="shared" si="10"/>
        <v>3.063041381302964E-4</v>
      </c>
    </row>
    <row r="90" spans="1:6" x14ac:dyDescent="0.25">
      <c r="A90" s="4" t="s">
        <v>195</v>
      </c>
      <c r="B90" s="12">
        <f t="shared" si="11"/>
        <v>-302</v>
      </c>
      <c r="C90" s="4">
        <v>302</v>
      </c>
      <c r="D90" s="4">
        <v>462</v>
      </c>
      <c r="E90" s="13">
        <f t="shared" si="12"/>
        <v>-1.9433581872972585E-4</v>
      </c>
      <c r="F90" s="13">
        <f t="shared" si="10"/>
        <v>2.9729519289116999E-4</v>
      </c>
    </row>
    <row r="91" spans="1:6" x14ac:dyDescent="0.25">
      <c r="A91" s="4" t="s">
        <v>196</v>
      </c>
      <c r="B91" s="12">
        <f t="shared" si="11"/>
        <v>-275</v>
      </c>
      <c r="C91" s="4">
        <v>275</v>
      </c>
      <c r="D91" s="4">
        <v>381</v>
      </c>
      <c r="E91" s="13">
        <f t="shared" si="12"/>
        <v>-1.7696142433998215E-4</v>
      </c>
      <c r="F91" s="13">
        <f t="shared" si="10"/>
        <v>2.451720097219389E-4</v>
      </c>
    </row>
    <row r="92" spans="1:6" x14ac:dyDescent="0.25">
      <c r="A92" s="4" t="s">
        <v>197</v>
      </c>
      <c r="B92" s="12">
        <f t="shared" si="11"/>
        <v>-167</v>
      </c>
      <c r="C92" s="4">
        <v>167</v>
      </c>
      <c r="D92" s="4">
        <v>302</v>
      </c>
      <c r="E92" s="13">
        <f t="shared" si="12"/>
        <v>-1.0746384678100734E-4</v>
      </c>
      <c r="F92" s="13">
        <f t="shared" si="10"/>
        <v>1.9433581872972585E-4</v>
      </c>
    </row>
    <row r="93" spans="1:6" x14ac:dyDescent="0.25">
      <c r="A93" s="4" t="s">
        <v>198</v>
      </c>
      <c r="B93" s="12">
        <f t="shared" si="11"/>
        <v>-229</v>
      </c>
      <c r="C93" s="4">
        <v>229</v>
      </c>
      <c r="D93" s="4">
        <v>371</v>
      </c>
      <c r="E93" s="13">
        <f t="shared" si="12"/>
        <v>-1.4736060426856696E-4</v>
      </c>
      <c r="F93" s="13">
        <f t="shared" si="10"/>
        <v>2.3873704883684864E-4</v>
      </c>
    </row>
    <row r="94" spans="1:6" x14ac:dyDescent="0.25">
      <c r="A94" s="4" t="s">
        <v>199</v>
      </c>
      <c r="B94" s="12">
        <f t="shared" si="11"/>
        <v>-92</v>
      </c>
      <c r="C94" s="4">
        <v>92</v>
      </c>
      <c r="D94" s="4">
        <v>162</v>
      </c>
      <c r="E94" s="13">
        <f t="shared" si="12"/>
        <v>-5.9201640142830391E-5</v>
      </c>
      <c r="F94" s="13">
        <f t="shared" si="10"/>
        <v>1.0424636633846221E-4</v>
      </c>
    </row>
    <row r="95" spans="1:6" x14ac:dyDescent="0.25">
      <c r="A95" s="4" t="s">
        <v>200</v>
      </c>
      <c r="B95" s="12">
        <f t="shared" si="11"/>
        <v>-115</v>
      </c>
      <c r="C95" s="4">
        <v>115</v>
      </c>
      <c r="D95" s="4">
        <v>190</v>
      </c>
      <c r="E95" s="13">
        <f t="shared" si="12"/>
        <v>-7.4002050178537988E-5</v>
      </c>
      <c r="F95" s="13">
        <f t="shared" si="10"/>
        <v>1.2226425681671494E-4</v>
      </c>
    </row>
    <row r="96" spans="1:6" x14ac:dyDescent="0.25">
      <c r="A96" s="4" t="s">
        <v>201</v>
      </c>
      <c r="B96" s="12">
        <f t="shared" si="11"/>
        <v>-119</v>
      </c>
      <c r="C96" s="4">
        <v>119</v>
      </c>
      <c r="D96" s="4">
        <v>172</v>
      </c>
      <c r="E96" s="13">
        <f t="shared" si="12"/>
        <v>-7.65760345325741E-5</v>
      </c>
      <c r="F96" s="13">
        <f t="shared" si="10"/>
        <v>1.1068132722355247E-4</v>
      </c>
    </row>
    <row r="97" spans="1:6" x14ac:dyDescent="0.25">
      <c r="A97" s="4" t="s">
        <v>202</v>
      </c>
      <c r="B97" s="12">
        <f t="shared" si="11"/>
        <v>-86</v>
      </c>
      <c r="C97" s="4">
        <v>86</v>
      </c>
      <c r="D97" s="4">
        <v>164</v>
      </c>
      <c r="E97" s="13">
        <f t="shared" si="12"/>
        <v>-5.5340663611776237E-5</v>
      </c>
      <c r="F97" s="13">
        <f t="shared" si="10"/>
        <v>1.0553335851548026E-4</v>
      </c>
    </row>
    <row r="98" spans="1:6" x14ac:dyDescent="0.25">
      <c r="A98" s="4" t="s">
        <v>203</v>
      </c>
      <c r="B98" s="12">
        <f t="shared" si="11"/>
        <v>-130</v>
      </c>
      <c r="C98" s="4">
        <v>130</v>
      </c>
      <c r="D98" s="4">
        <v>198</v>
      </c>
      <c r="E98" s="13">
        <f t="shared" si="12"/>
        <v>-8.3654491506173376E-5</v>
      </c>
      <c r="F98" s="13">
        <f t="shared" si="10"/>
        <v>1.2741222552478714E-4</v>
      </c>
    </row>
    <row r="99" spans="1:6" x14ac:dyDescent="0.25">
      <c r="A99" s="4" t="s">
        <v>204</v>
      </c>
      <c r="B99" s="12">
        <f t="shared" si="11"/>
        <v>-62</v>
      </c>
      <c r="C99" s="4">
        <v>62</v>
      </c>
      <c r="D99" s="4">
        <v>110</v>
      </c>
      <c r="E99" s="13">
        <f t="shared" si="12"/>
        <v>-3.9896757487559615E-5</v>
      </c>
      <c r="F99" s="13">
        <f t="shared" ref="F99:F104" si="13">D99/$E$105</f>
        <v>7.0784569735992859E-5</v>
      </c>
    </row>
    <row r="100" spans="1:6" x14ac:dyDescent="0.25">
      <c r="A100" s="4" t="s">
        <v>205</v>
      </c>
      <c r="B100" s="12">
        <f t="shared" si="11"/>
        <v>-50</v>
      </c>
      <c r="C100" s="4">
        <v>50</v>
      </c>
      <c r="D100" s="4">
        <v>81</v>
      </c>
      <c r="E100" s="13">
        <f t="shared" si="12"/>
        <v>-3.21748044254513E-5</v>
      </c>
      <c r="F100" s="13">
        <f t="shared" si="13"/>
        <v>5.2123183169231107E-5</v>
      </c>
    </row>
    <row r="101" spans="1:6" x14ac:dyDescent="0.25">
      <c r="A101" s="4" t="s">
        <v>206</v>
      </c>
      <c r="B101" s="12">
        <f t="shared" si="11"/>
        <v>-47</v>
      </c>
      <c r="C101" s="4">
        <v>47</v>
      </c>
      <c r="D101" s="4">
        <v>90</v>
      </c>
      <c r="E101" s="13">
        <f t="shared" si="12"/>
        <v>-3.0244316159924223E-5</v>
      </c>
      <c r="F101" s="13">
        <f t="shared" si="13"/>
        <v>5.7914647965812342E-5</v>
      </c>
    </row>
    <row r="102" spans="1:6" x14ac:dyDescent="0.25">
      <c r="A102" s="4" t="s">
        <v>207</v>
      </c>
      <c r="B102" s="12">
        <f t="shared" si="11"/>
        <v>-26</v>
      </c>
      <c r="C102" s="4">
        <v>26</v>
      </c>
      <c r="D102" s="4">
        <v>46</v>
      </c>
      <c r="E102" s="13">
        <f t="shared" si="12"/>
        <v>-1.6730898301234675E-5</v>
      </c>
      <c r="F102" s="13">
        <f t="shared" si="13"/>
        <v>2.9600820071415195E-5</v>
      </c>
    </row>
    <row r="103" spans="1:6" x14ac:dyDescent="0.25">
      <c r="A103" s="4" t="s">
        <v>208</v>
      </c>
      <c r="B103" s="12">
        <f t="shared" si="11"/>
        <v>-65</v>
      </c>
      <c r="C103" s="4">
        <v>65</v>
      </c>
      <c r="D103" s="4">
        <v>119</v>
      </c>
      <c r="E103" s="13">
        <f t="shared" si="12"/>
        <v>-4.1827245753086688E-5</v>
      </c>
      <c r="F103" s="13">
        <f t="shared" si="13"/>
        <v>7.65760345325741E-5</v>
      </c>
    </row>
    <row r="104" spans="1:6" x14ac:dyDescent="0.25">
      <c r="A104" s="4" t="s">
        <v>106</v>
      </c>
      <c r="B104" s="12">
        <f t="shared" si="11"/>
        <v>-22055</v>
      </c>
      <c r="C104" s="7">
        <v>22055</v>
      </c>
      <c r="D104" s="7">
        <v>22073</v>
      </c>
      <c r="E104" s="13">
        <f>B104/$E$105</f>
        <v>-1.4192306232066569E-2</v>
      </c>
      <c r="F104" s="13">
        <f t="shared" si="13"/>
        <v>1.4203889161659732E-2</v>
      </c>
    </row>
    <row r="105" spans="1:6" x14ac:dyDescent="0.25">
      <c r="A105" s="4" t="s">
        <v>107</v>
      </c>
      <c r="B105" s="4"/>
      <c r="C105" s="10">
        <f>SUM(C3:C103)</f>
        <v>750704</v>
      </c>
      <c r="D105" s="10">
        <f>SUM(D3:D103)</f>
        <v>803307</v>
      </c>
      <c r="E105" s="33">
        <f>SUM(C105,D105)</f>
        <v>1554011</v>
      </c>
    </row>
  </sheetData>
  <mergeCells count="6">
    <mergeCell ref="A1:D1"/>
    <mergeCell ref="AO1:AR1"/>
    <mergeCell ref="AS1:AT1"/>
    <mergeCell ref="X1:AA1"/>
    <mergeCell ref="AB1:AC1"/>
    <mergeCell ref="E1:F1"/>
  </mergeCells>
  <pageMargins left="0.7" right="0.7" top="0.75" bottom="0.75" header="0.3" footer="0.3"/>
  <pageSetup orientation="portrait" horizontalDpi="4294967293" verticalDpi="4294967293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30CB-897D-49AE-993A-16B86D118660}">
  <dimension ref="A2:G30"/>
  <sheetViews>
    <sheetView zoomScale="80" zoomScaleNormal="80" workbookViewId="0">
      <selection activeCell="B14" sqref="B14"/>
    </sheetView>
  </sheetViews>
  <sheetFormatPr baseColWidth="10" defaultRowHeight="15" x14ac:dyDescent="0.25"/>
  <cols>
    <col min="1" max="1" width="12.5703125" customWidth="1"/>
  </cols>
  <sheetData>
    <row r="2" spans="1:7" x14ac:dyDescent="0.25">
      <c r="B2" s="180" t="s">
        <v>250</v>
      </c>
      <c r="C2" s="180"/>
      <c r="D2" s="180"/>
      <c r="E2" s="180"/>
    </row>
    <row r="3" spans="1:7" x14ac:dyDescent="0.25">
      <c r="B3" s="182" t="s">
        <v>238</v>
      </c>
      <c r="C3" s="182"/>
      <c r="D3" s="181" t="s">
        <v>240</v>
      </c>
      <c r="E3" s="181"/>
    </row>
    <row r="4" spans="1:7" x14ac:dyDescent="0.25">
      <c r="B4" s="16" t="s">
        <v>1</v>
      </c>
      <c r="C4" s="16" t="s">
        <v>4</v>
      </c>
      <c r="D4" s="16" t="s">
        <v>1</v>
      </c>
      <c r="E4" s="16" t="s">
        <v>4</v>
      </c>
    </row>
    <row r="5" spans="1:7" x14ac:dyDescent="0.25">
      <c r="B5" s="21">
        <f>(5*(SUM(B14:B21))/B10)*100</f>
        <v>112.585442845869</v>
      </c>
      <c r="C5" s="21">
        <f>(5*(SUM(C14:C21))/C10)*100</f>
        <v>112.64603657074079</v>
      </c>
      <c r="D5" s="21">
        <f>(5*(SUM(F14:F21))/F10)*100</f>
        <v>117.71945815318745</v>
      </c>
      <c r="E5" s="21">
        <f>(5*(SUM(G14:G21))/G10)*100</f>
        <v>117.48456201977019</v>
      </c>
    </row>
    <row r="6" spans="1:7" x14ac:dyDescent="0.25">
      <c r="A6" s="35" t="s">
        <v>286</v>
      </c>
      <c r="B6" s="34" t="s">
        <v>289</v>
      </c>
      <c r="C6" s="34" t="s">
        <v>289</v>
      </c>
      <c r="D6" s="34" t="s">
        <v>289</v>
      </c>
      <c r="E6" s="34" t="s">
        <v>289</v>
      </c>
    </row>
    <row r="8" spans="1:7" x14ac:dyDescent="0.25">
      <c r="B8" s="182" t="s">
        <v>238</v>
      </c>
      <c r="C8" s="182"/>
      <c r="F8" s="181" t="s">
        <v>240</v>
      </c>
      <c r="G8" s="181"/>
    </row>
    <row r="9" spans="1:7" x14ac:dyDescent="0.25">
      <c r="B9" s="16" t="s">
        <v>1</v>
      </c>
      <c r="C9" s="16" t="s">
        <v>4</v>
      </c>
      <c r="F9" s="16" t="s">
        <v>1</v>
      </c>
      <c r="G9" s="16" t="s">
        <v>4</v>
      </c>
    </row>
    <row r="10" spans="1:7" ht="18" x14ac:dyDescent="0.35">
      <c r="A10" s="16" t="s">
        <v>307</v>
      </c>
      <c r="B10" s="17">
        <f>SUM('CENSO Pirámides'!C27:C66)</f>
        <v>411825</v>
      </c>
      <c r="C10" s="17">
        <f>SUM('CENSO Pirámides'!D27:D66)</f>
        <v>458618</v>
      </c>
      <c r="E10" s="18" t="s">
        <v>308</v>
      </c>
      <c r="F10" s="17">
        <f>SUM('CONTEO Pirámides'!C26:C65)</f>
        <v>333526</v>
      </c>
      <c r="G10" s="17">
        <f>SUM('CONTEO Pirámides'!D26:D65)</f>
        <v>375211</v>
      </c>
    </row>
    <row r="12" spans="1:7" x14ac:dyDescent="0.25">
      <c r="A12" s="182" t="s">
        <v>238</v>
      </c>
      <c r="B12" s="182"/>
      <c r="C12" s="182"/>
      <c r="E12" s="181" t="s">
        <v>240</v>
      </c>
      <c r="F12" s="181"/>
      <c r="G12" s="181"/>
    </row>
    <row r="13" spans="1:7" s="15" customFormat="1" x14ac:dyDescent="0.25">
      <c r="A13" s="19" t="s">
        <v>239</v>
      </c>
      <c r="B13" s="19" t="s">
        <v>1</v>
      </c>
      <c r="C13" s="19" t="s">
        <v>4</v>
      </c>
      <c r="E13" s="19" t="s">
        <v>239</v>
      </c>
      <c r="F13" s="19" t="s">
        <v>1</v>
      </c>
      <c r="G13" s="19" t="s">
        <v>4</v>
      </c>
    </row>
    <row r="14" spans="1:7" x14ac:dyDescent="0.25">
      <c r="A14" s="16">
        <v>25</v>
      </c>
      <c r="B14" s="17">
        <f>'CENSO Pirámides'!C29</f>
        <v>15446</v>
      </c>
      <c r="C14" s="17">
        <f>'CENSO Pirámides'!D29</f>
        <v>17106</v>
      </c>
      <c r="E14" s="16">
        <v>25</v>
      </c>
      <c r="F14" s="17">
        <f>'CONTEO Pirámides'!C28</f>
        <v>13369</v>
      </c>
      <c r="G14" s="17">
        <f>'CONTEO Pirámides'!D28</f>
        <v>15753</v>
      </c>
    </row>
    <row r="15" spans="1:7" x14ac:dyDescent="0.25">
      <c r="A15" s="16">
        <v>30</v>
      </c>
      <c r="B15" s="17">
        <f>'CENSO Pirámides'!C34</f>
        <v>16325</v>
      </c>
      <c r="C15" s="17">
        <f>'CENSO Pirámides'!D34</f>
        <v>18447</v>
      </c>
      <c r="E15" s="16">
        <v>30</v>
      </c>
      <c r="F15" s="17">
        <f>'CONTEO Pirámides'!C33</f>
        <v>14331</v>
      </c>
      <c r="G15" s="17">
        <f>'CONTEO Pirámides'!D33</f>
        <v>16370</v>
      </c>
    </row>
    <row r="16" spans="1:7" x14ac:dyDescent="0.25">
      <c r="A16" s="16">
        <v>35</v>
      </c>
      <c r="B16" s="17">
        <f>'CENSO Pirámides'!C39</f>
        <v>14156</v>
      </c>
      <c r="C16" s="17">
        <f>'CENSO Pirámides'!D39</f>
        <v>15971</v>
      </c>
      <c r="E16" s="16">
        <v>35</v>
      </c>
      <c r="F16" s="17">
        <f>'CONTEO Pirámides'!C38</f>
        <v>12009</v>
      </c>
      <c r="G16" s="17">
        <f>'CONTEO Pirámides'!D38</f>
        <v>13361</v>
      </c>
    </row>
    <row r="17" spans="1:7" x14ac:dyDescent="0.25">
      <c r="A17" s="16">
        <v>40</v>
      </c>
      <c r="B17" s="17">
        <f>'CENSO Pirámides'!C44</f>
        <v>13918</v>
      </c>
      <c r="C17" s="17">
        <f>'CENSO Pirámides'!D44</f>
        <v>15907</v>
      </c>
      <c r="E17" s="16">
        <v>40</v>
      </c>
      <c r="F17" s="17">
        <f>'CONTEO Pirámides'!C43</f>
        <v>11495</v>
      </c>
      <c r="G17" s="17">
        <f>'CONTEO Pirámides'!D43</f>
        <v>12992</v>
      </c>
    </row>
    <row r="18" spans="1:7" x14ac:dyDescent="0.25">
      <c r="A18" s="16">
        <v>45</v>
      </c>
      <c r="B18" s="17">
        <f>'CENSO Pirámides'!C49</f>
        <v>10558</v>
      </c>
      <c r="C18" s="17">
        <f>'CENSO Pirámides'!D49</f>
        <v>11587</v>
      </c>
      <c r="E18" s="16">
        <v>45</v>
      </c>
      <c r="F18" s="17">
        <f>'CONTEO Pirámides'!C48</f>
        <v>9495</v>
      </c>
      <c r="G18" s="17">
        <f>'CONTEO Pirámides'!D48</f>
        <v>10205</v>
      </c>
    </row>
    <row r="19" spans="1:7" x14ac:dyDescent="0.25">
      <c r="A19" s="16">
        <v>50</v>
      </c>
      <c r="B19" s="17">
        <f>'CENSO Pirámides'!C54</f>
        <v>9968</v>
      </c>
      <c r="C19" s="17">
        <f>'CENSO Pirámides'!D54</f>
        <v>10787</v>
      </c>
      <c r="E19" s="16">
        <v>50</v>
      </c>
      <c r="F19" s="17">
        <f>'CONTEO Pirámides'!C53</f>
        <v>7764</v>
      </c>
      <c r="G19" s="17">
        <f>'CONTEO Pirámides'!D53</f>
        <v>8294</v>
      </c>
    </row>
    <row r="20" spans="1:7" x14ac:dyDescent="0.25">
      <c r="A20" s="16">
        <v>55</v>
      </c>
      <c r="B20" s="17">
        <f>'CENSO Pirámides'!C59</f>
        <v>6666</v>
      </c>
      <c r="C20" s="17">
        <f>'CENSO Pirámides'!D59</f>
        <v>7331</v>
      </c>
      <c r="E20" s="16">
        <v>55</v>
      </c>
      <c r="F20" s="17">
        <f>'CONTEO Pirámides'!C58</f>
        <v>5154</v>
      </c>
      <c r="G20" s="17">
        <f>'CONTEO Pirámides'!D58</f>
        <v>5595</v>
      </c>
    </row>
    <row r="21" spans="1:7" x14ac:dyDescent="0.25">
      <c r="A21" s="16">
        <v>60</v>
      </c>
      <c r="B21" s="17">
        <f>'CENSO Pirámides'!C64</f>
        <v>5694</v>
      </c>
      <c r="C21" s="17">
        <f>'CENSO Pirámides'!D64</f>
        <v>6187</v>
      </c>
      <c r="E21" s="16">
        <v>60</v>
      </c>
      <c r="F21" s="17">
        <f>'CONTEO Pirámides'!C63</f>
        <v>4908</v>
      </c>
      <c r="G21" s="17">
        <f>'CONTEO Pirámides'!D63</f>
        <v>5593</v>
      </c>
    </row>
    <row r="23" spans="1:7" x14ac:dyDescent="0.25">
      <c r="F23" s="10"/>
      <c r="G23" s="10"/>
    </row>
    <row r="24" spans="1:7" x14ac:dyDescent="0.25">
      <c r="F24" s="10"/>
      <c r="G24" s="10"/>
    </row>
    <row r="25" spans="1:7" x14ac:dyDescent="0.25">
      <c r="F25" s="10"/>
      <c r="G25" s="10"/>
    </row>
    <row r="26" spans="1:7" x14ac:dyDescent="0.25">
      <c r="F26" s="10"/>
      <c r="G26" s="10"/>
    </row>
    <row r="27" spans="1:7" x14ac:dyDescent="0.25">
      <c r="F27" s="10"/>
      <c r="G27" s="10"/>
    </row>
    <row r="28" spans="1:7" x14ac:dyDescent="0.25">
      <c r="F28" s="10"/>
      <c r="G28" s="10"/>
    </row>
    <row r="29" spans="1:7" x14ac:dyDescent="0.25">
      <c r="F29" s="10"/>
      <c r="G29" s="10"/>
    </row>
    <row r="30" spans="1:7" x14ac:dyDescent="0.25">
      <c r="F30" s="10"/>
      <c r="G30" s="10"/>
    </row>
  </sheetData>
  <mergeCells count="7">
    <mergeCell ref="B2:E2"/>
    <mergeCell ref="D3:E3"/>
    <mergeCell ref="B3:C3"/>
    <mergeCell ref="A12:C12"/>
    <mergeCell ref="E12:G12"/>
    <mergeCell ref="B8:C8"/>
    <mergeCell ref="F8:G8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37FB-BB22-4028-88C5-29EE82D250A0}">
  <dimension ref="A1:J62"/>
  <sheetViews>
    <sheetView topLeftCell="A10" zoomScale="80" zoomScaleNormal="80" workbookViewId="0">
      <selection activeCell="D34" sqref="D34"/>
    </sheetView>
  </sheetViews>
  <sheetFormatPr baseColWidth="10" defaultRowHeight="15" x14ac:dyDescent="0.25"/>
  <cols>
    <col min="3" max="3" width="11.85546875" bestFit="1" customWidth="1"/>
    <col min="9" max="9" width="11.5703125" style="37"/>
  </cols>
  <sheetData>
    <row r="1" spans="1:10" x14ac:dyDescent="0.25">
      <c r="B1" s="180" t="s">
        <v>251</v>
      </c>
      <c r="C1" s="180"/>
      <c r="D1" s="180"/>
      <c r="E1" s="180"/>
      <c r="F1" s="20"/>
    </row>
    <row r="2" spans="1:10" x14ac:dyDescent="0.25">
      <c r="B2" s="183" t="s">
        <v>238</v>
      </c>
      <c r="C2" s="184"/>
      <c r="D2" s="185" t="s">
        <v>240</v>
      </c>
      <c r="E2" s="186"/>
    </row>
    <row r="3" spans="1:10" x14ac:dyDescent="0.25">
      <c r="B3" s="19" t="s">
        <v>241</v>
      </c>
      <c r="C3" s="19" t="s">
        <v>4</v>
      </c>
      <c r="D3" s="19" t="s">
        <v>241</v>
      </c>
      <c r="E3" s="19" t="s">
        <v>4</v>
      </c>
    </row>
    <row r="4" spans="1:10" x14ac:dyDescent="0.25">
      <c r="B4" s="21">
        <f>SUM(J9:J18)</f>
        <v>6.0787626059968041</v>
      </c>
      <c r="C4" s="21">
        <f>SUM(J23:J32)</f>
        <v>5.9858160124708988</v>
      </c>
      <c r="D4" s="21">
        <f>SUM(J37:J46)</f>
        <v>8.5679184623758662</v>
      </c>
      <c r="E4" s="21">
        <f>SUM(J52:J61)</f>
        <v>8.5692243369133578</v>
      </c>
    </row>
    <row r="7" spans="1:10" x14ac:dyDescent="0.25">
      <c r="A7" s="187" t="s">
        <v>252</v>
      </c>
      <c r="B7" s="187"/>
    </row>
    <row r="8" spans="1:10" x14ac:dyDescent="0.25">
      <c r="A8" s="26" t="s">
        <v>242</v>
      </c>
      <c r="B8" s="32" t="s">
        <v>243</v>
      </c>
      <c r="C8" s="32" t="s">
        <v>244</v>
      </c>
      <c r="D8" s="32" t="s">
        <v>245</v>
      </c>
      <c r="E8" s="32" t="s">
        <v>246</v>
      </c>
      <c r="F8" s="32" t="s">
        <v>247</v>
      </c>
      <c r="G8" s="32" t="s">
        <v>248</v>
      </c>
      <c r="H8" s="32" t="s">
        <v>249</v>
      </c>
    </row>
    <row r="9" spans="1:10" x14ac:dyDescent="0.25">
      <c r="A9" s="28">
        <v>0</v>
      </c>
      <c r="B9" s="17">
        <f>'CENSO Pirámides'!C14+'CENSO Pirámides'!C24+'CENSO Pirámides'!C34+'CENSO Pirámides'!C44+'CENSO Pirámides'!C54+'CENSO Pirámides'!C64</f>
        <v>82884</v>
      </c>
      <c r="C9" s="17">
        <f>'CENSO Pirámides'!C24+'CENSO Pirámides'!C34+'CENSO Pirámides'!C44+'CENSO Pirámides'!C54+'CENSO Pirámides'!C64+'CENSO Pirámides'!C74</f>
        <v>66541</v>
      </c>
      <c r="D9" s="17">
        <f>B9*(1+A9)</f>
        <v>82884</v>
      </c>
      <c r="E9" s="16">
        <f>C9*(9-A9)</f>
        <v>598869</v>
      </c>
      <c r="F9" s="17">
        <f>D9+E9</f>
        <v>681753</v>
      </c>
      <c r="G9" s="16">
        <f>(F9/$F$19)*100</f>
        <v>11.462913539495048</v>
      </c>
      <c r="H9" s="16">
        <f>G9-10</f>
        <v>1.4629135394950481</v>
      </c>
      <c r="I9" s="36" t="str">
        <f>+IF(H9&gt;0, "Preferencia", "Rechazo")</f>
        <v>Preferencia</v>
      </c>
      <c r="J9" s="16">
        <f>ABS(H9)</f>
        <v>1.4629135394950481</v>
      </c>
    </row>
    <row r="10" spans="1:10" x14ac:dyDescent="0.25">
      <c r="A10" s="28">
        <f>A91+1</f>
        <v>1</v>
      </c>
      <c r="B10" s="17">
        <f>'CENSO Pirámides'!C15+'CENSO Pirámides'!C25+'CENSO Pirámides'!C35+'CENSO Pirámides'!C45+'CENSO Pirámides'!C55+'CENSO Pirámides'!C65</f>
        <v>61903</v>
      </c>
      <c r="C10" s="17">
        <f>'CENSO Pirámides'!C25+'CENSO Pirámides'!C35+'CENSO Pirámides'!C45+'CENSO Pirámides'!C55+'CENSO Pirámides'!C65+'CENSO Pirámides'!C75</f>
        <v>45702</v>
      </c>
      <c r="D10" s="17">
        <f t="shared" ref="D10:D18" si="0">B10*(1+A10)</f>
        <v>123806</v>
      </c>
      <c r="E10" s="16">
        <f t="shared" ref="E10:E18" si="1">C10*(9-A10)</f>
        <v>365616</v>
      </c>
      <c r="F10" s="17">
        <f t="shared" ref="F10:F18" si="2">+D10+E10</f>
        <v>489422</v>
      </c>
      <c r="G10" s="16">
        <f t="shared" ref="G10:G18" si="3">(F10/$F$19)*100</f>
        <v>8.2290830701540667</v>
      </c>
      <c r="H10" s="16">
        <f t="shared" ref="H10:H18" si="4">G10-10</f>
        <v>-1.7709169298459333</v>
      </c>
      <c r="I10" s="36" t="str">
        <f t="shared" ref="I10:I18" si="5">+IF(H10&gt;0, "Preferencia", "Rechazo")</f>
        <v>Rechazo</v>
      </c>
      <c r="J10" s="16">
        <f t="shared" ref="J10:J18" si="6">ABS(H10)</f>
        <v>1.7709169298459333</v>
      </c>
    </row>
    <row r="11" spans="1:10" x14ac:dyDescent="0.25">
      <c r="A11" s="28">
        <v>2</v>
      </c>
      <c r="B11" s="17">
        <f>'CENSO Pirámides'!C16+'CENSO Pirámides'!C26+'CENSO Pirámides'!C36+'CENSO Pirámides'!C46+'CENSO Pirámides'!C56+'CENSO Pirámides'!C66</f>
        <v>73803</v>
      </c>
      <c r="C11" s="17">
        <f>'CENSO Pirámides'!C26+'CENSO Pirámides'!C36+'CENSO Pirámides'!C46+'CENSO Pirámides'!C56+'CENSO Pirámides'!C66+'CENSO Pirámides'!C76</f>
        <v>57475</v>
      </c>
      <c r="D11" s="17">
        <f t="shared" si="0"/>
        <v>221409</v>
      </c>
      <c r="E11" s="16">
        <f t="shared" si="1"/>
        <v>402325</v>
      </c>
      <c r="F11" s="17">
        <f t="shared" si="2"/>
        <v>623734</v>
      </c>
      <c r="G11" s="16">
        <f t="shared" si="3"/>
        <v>10.487389001065496</v>
      </c>
      <c r="H11" s="16">
        <f t="shared" si="4"/>
        <v>0.48738900106549643</v>
      </c>
      <c r="I11" s="36" t="str">
        <f t="shared" si="5"/>
        <v>Preferencia</v>
      </c>
      <c r="J11" s="16">
        <f t="shared" si="6"/>
        <v>0.48738900106549643</v>
      </c>
    </row>
    <row r="12" spans="1:10" x14ac:dyDescent="0.25">
      <c r="A12" s="28">
        <v>3</v>
      </c>
      <c r="B12" s="17">
        <f>'CENSO Pirámides'!C17+'CENSO Pirámides'!C27+'CENSO Pirámides'!C37+'CENSO Pirámides'!C47+'CENSO Pirámides'!C57+'CENSO Pirámides'!C67</f>
        <v>67669</v>
      </c>
      <c r="C12" s="17">
        <f>'CENSO Pirámides'!C27+'CENSO Pirámides'!C37+'CENSO Pirámides'!C47+'CENSO Pirámides'!C57+'CENSO Pirámides'!C67+'CENSO Pirámides'!C77</f>
        <v>51834</v>
      </c>
      <c r="D12" s="17">
        <f t="shared" si="0"/>
        <v>270676</v>
      </c>
      <c r="E12" s="16">
        <f t="shared" si="1"/>
        <v>311004</v>
      </c>
      <c r="F12" s="17">
        <f t="shared" si="2"/>
        <v>581680</v>
      </c>
      <c r="G12" s="16">
        <f t="shared" si="3"/>
        <v>9.7802980663869175</v>
      </c>
      <c r="H12" s="16">
        <f t="shared" si="4"/>
        <v>-0.21970193361308255</v>
      </c>
      <c r="I12" s="36" t="str">
        <f t="shared" si="5"/>
        <v>Rechazo</v>
      </c>
      <c r="J12" s="16">
        <f t="shared" si="6"/>
        <v>0.21970193361308255</v>
      </c>
    </row>
    <row r="13" spans="1:10" x14ac:dyDescent="0.25">
      <c r="A13" s="28">
        <v>4</v>
      </c>
      <c r="B13" s="17">
        <f>'CENSO Pirámides'!C18+'CENSO Pirámides'!C28+'CENSO Pirámides'!C38+'CENSO Pirámides'!C48+'CENSO Pirámides'!C58+'CENSO Pirámides'!C68</f>
        <v>65493</v>
      </c>
      <c r="C13" s="17">
        <f>'CENSO Pirámides'!C28+'CENSO Pirámides'!C38+'CENSO Pirámides'!C48+'CENSO Pirámides'!C58+'CENSO Pirámides'!C68+'CENSO Pirámides'!C78</f>
        <v>49168</v>
      </c>
      <c r="D13" s="17">
        <f t="shared" si="0"/>
        <v>327465</v>
      </c>
      <c r="E13" s="16">
        <f t="shared" si="1"/>
        <v>245840</v>
      </c>
      <c r="F13" s="17">
        <f t="shared" si="2"/>
        <v>573305</v>
      </c>
      <c r="G13" s="16">
        <f t="shared" si="3"/>
        <v>9.6394818163766196</v>
      </c>
      <c r="H13" s="16">
        <f t="shared" si="4"/>
        <v>-0.36051818362338039</v>
      </c>
      <c r="I13" s="36" t="str">
        <f t="shared" si="5"/>
        <v>Rechazo</v>
      </c>
      <c r="J13" s="16">
        <f t="shared" si="6"/>
        <v>0.36051818362338039</v>
      </c>
    </row>
    <row r="14" spans="1:10" x14ac:dyDescent="0.25">
      <c r="A14" s="28">
        <v>5</v>
      </c>
      <c r="B14" s="17">
        <f>'CENSO Pirámides'!C19+'CENSO Pirámides'!C29+'CENSO Pirámides'!C39+'CENSO Pirámides'!C49+'CENSO Pirámides'!C59+'CENSO Pirámides'!C69</f>
        <v>69817</v>
      </c>
      <c r="C14" s="17">
        <f>'CENSO Pirámides'!C29+'CENSO Pirámides'!C39+'CENSO Pirámides'!C49+'CENSO Pirámides'!C59+'CENSO Pirámides'!C69+'CENSO Pirámides'!C79</f>
        <v>52537</v>
      </c>
      <c r="D14" s="17">
        <f t="shared" si="0"/>
        <v>418902</v>
      </c>
      <c r="E14" s="16">
        <f t="shared" si="1"/>
        <v>210148</v>
      </c>
      <c r="F14" s="17">
        <f t="shared" si="2"/>
        <v>629050</v>
      </c>
      <c r="G14" s="16">
        <f t="shared" si="3"/>
        <v>10.576771590325764</v>
      </c>
      <c r="H14" s="16">
        <f t="shared" si="4"/>
        <v>0.57677159032576419</v>
      </c>
      <c r="I14" s="36" t="str">
        <f t="shared" si="5"/>
        <v>Preferencia</v>
      </c>
      <c r="J14" s="16">
        <f t="shared" si="6"/>
        <v>0.57677159032576419</v>
      </c>
    </row>
    <row r="15" spans="1:10" x14ac:dyDescent="0.25">
      <c r="A15" s="28">
        <v>6</v>
      </c>
      <c r="B15" s="17">
        <f>'CENSO Pirámides'!C20+'CENSO Pirámides'!C30+'CENSO Pirámides'!C40+'CENSO Pirámides'!C50+'CENSO Pirámides'!C60+'CENSO Pirámides'!C70</f>
        <v>63537</v>
      </c>
      <c r="C15" s="17">
        <f>'CENSO Pirámides'!C30+'CENSO Pirámides'!C40+'CENSO Pirámides'!C50+'CENSO Pirámides'!C60+'CENSO Pirámides'!C70+'CENSO Pirámides'!C80</f>
        <v>46864</v>
      </c>
      <c r="D15" s="17">
        <f t="shared" si="0"/>
        <v>444759</v>
      </c>
      <c r="E15" s="16">
        <f t="shared" si="1"/>
        <v>140592</v>
      </c>
      <c r="F15" s="17">
        <f t="shared" si="2"/>
        <v>585351</v>
      </c>
      <c r="G15" s="16">
        <f t="shared" si="3"/>
        <v>9.8420218220630726</v>
      </c>
      <c r="H15" s="16">
        <f t="shared" si="4"/>
        <v>-0.15797817793692737</v>
      </c>
      <c r="I15" s="36" t="str">
        <f t="shared" si="5"/>
        <v>Rechazo</v>
      </c>
      <c r="J15" s="16">
        <f t="shared" si="6"/>
        <v>0.15797817793692737</v>
      </c>
    </row>
    <row r="16" spans="1:10" x14ac:dyDescent="0.25">
      <c r="A16" s="28">
        <v>7</v>
      </c>
      <c r="B16" s="17">
        <f>'CENSO Pirámides'!C21+'CENSO Pirámides'!C31+'CENSO Pirámides'!C41+'CENSO Pirámides'!C51+'CENSO Pirámides'!C61+'CENSO Pirámides'!C71</f>
        <v>62951</v>
      </c>
      <c r="C16" s="17">
        <f>'CENSO Pirámides'!C31+'CENSO Pirámides'!C41+'CENSO Pirámides'!C51+'CENSO Pirámides'!C61+'CENSO Pirámides'!C71+'CENSO Pirámides'!C81</f>
        <v>44719</v>
      </c>
      <c r="D16" s="17">
        <f t="shared" si="0"/>
        <v>503608</v>
      </c>
      <c r="E16" s="16">
        <f t="shared" si="1"/>
        <v>89438</v>
      </c>
      <c r="F16" s="17">
        <f t="shared" si="2"/>
        <v>593046</v>
      </c>
      <c r="G16" s="16">
        <f t="shared" si="3"/>
        <v>9.971404633266566</v>
      </c>
      <c r="H16" s="16">
        <f t="shared" si="4"/>
        <v>-2.8595366733433991E-2</v>
      </c>
      <c r="I16" s="36" t="str">
        <f t="shared" si="5"/>
        <v>Rechazo</v>
      </c>
      <c r="J16" s="16">
        <f t="shared" si="6"/>
        <v>2.8595366733433991E-2</v>
      </c>
    </row>
    <row r="17" spans="1:10" x14ac:dyDescent="0.25">
      <c r="A17" s="28">
        <v>8</v>
      </c>
      <c r="B17" s="17">
        <f>'CENSO Pirámides'!C22+'CENSO Pirámides'!C32+'CENSO Pirámides'!C42+'CENSO Pirámides'!C52+'CENSO Pirámides'!C62+'CENSO Pirámides'!C72</f>
        <v>64294</v>
      </c>
      <c r="C17" s="17">
        <f>'CENSO Pirámides'!C32+'CENSO Pirámides'!C42+'CENSO Pirámides'!C52+'CENSO Pirámides'!C62+'CENSO Pirámides'!C72+'CENSO Pirámides'!C82</f>
        <v>46570</v>
      </c>
      <c r="D17" s="17">
        <f t="shared" si="0"/>
        <v>578646</v>
      </c>
      <c r="E17" s="16">
        <f t="shared" si="1"/>
        <v>46570</v>
      </c>
      <c r="F17" s="17">
        <f t="shared" si="2"/>
        <v>625216</v>
      </c>
      <c r="G17" s="16">
        <f t="shared" si="3"/>
        <v>10.512307172112093</v>
      </c>
      <c r="H17" s="16">
        <f t="shared" si="4"/>
        <v>0.51230717211209331</v>
      </c>
      <c r="I17" s="36" t="str">
        <f t="shared" si="5"/>
        <v>Preferencia</v>
      </c>
      <c r="J17" s="16">
        <f t="shared" si="6"/>
        <v>0.51230717211209331</v>
      </c>
    </row>
    <row r="18" spans="1:10" x14ac:dyDescent="0.25">
      <c r="A18" s="28">
        <v>9</v>
      </c>
      <c r="B18" s="17">
        <f>'CENSO Pirámides'!C23+'CENSO Pirámides'!C33+'CENSO Pirámides'!C43+'CENSO Pirámides'!C53+'CENSO Pirámides'!C63+'CENSO Pirámides'!C73</f>
        <v>56491</v>
      </c>
      <c r="C18" s="17">
        <f>'CENSO Pirámides'!C33+'CENSO Pirámides'!C43+'CENSO Pirámides'!C53+'CENSO Pirámides'!C63+'CENSO Pirámides'!C73+'CENSO Pirámides'!C83</f>
        <v>41058</v>
      </c>
      <c r="D18" s="17">
        <f t="shared" si="0"/>
        <v>564910</v>
      </c>
      <c r="E18" s="16">
        <f t="shared" si="1"/>
        <v>0</v>
      </c>
      <c r="F18" s="17">
        <f t="shared" si="2"/>
        <v>564910</v>
      </c>
      <c r="G18" s="16">
        <f t="shared" si="3"/>
        <v>9.4983292887543556</v>
      </c>
      <c r="H18" s="16">
        <f t="shared" si="4"/>
        <v>-0.50167071124564444</v>
      </c>
      <c r="I18" s="36" t="str">
        <f t="shared" si="5"/>
        <v>Rechazo</v>
      </c>
      <c r="J18" s="16">
        <f t="shared" si="6"/>
        <v>0.50167071124564444</v>
      </c>
    </row>
    <row r="19" spans="1:10" x14ac:dyDescent="0.25">
      <c r="E19" s="16" t="s">
        <v>107</v>
      </c>
      <c r="F19" s="22">
        <f>SUM(F9:F18)</f>
        <v>5947467</v>
      </c>
    </row>
    <row r="21" spans="1:10" x14ac:dyDescent="0.25">
      <c r="A21" s="187" t="s">
        <v>255</v>
      </c>
      <c r="B21" s="187"/>
    </row>
    <row r="22" spans="1:10" x14ac:dyDescent="0.25">
      <c r="A22" s="26" t="s">
        <v>242</v>
      </c>
      <c r="B22" s="27" t="s">
        <v>243</v>
      </c>
      <c r="C22" s="27" t="s">
        <v>244</v>
      </c>
      <c r="D22" s="27" t="s">
        <v>245</v>
      </c>
      <c r="E22" s="27" t="s">
        <v>246</v>
      </c>
      <c r="F22" s="27" t="s">
        <v>247</v>
      </c>
      <c r="G22" s="27" t="s">
        <v>248</v>
      </c>
      <c r="H22" s="27" t="s">
        <v>249</v>
      </c>
    </row>
    <row r="23" spans="1:10" x14ac:dyDescent="0.25">
      <c r="A23" s="28">
        <v>0</v>
      </c>
      <c r="B23" s="17">
        <f>'CENSO Pirámides'!D14+'CENSO Pirámides'!D24+'CENSO Pirámides'!D34+'CENSO Pirámides'!D44+'CENSO Pirámides'!D54+'CENSO Pirámides'!D64</f>
        <v>89793</v>
      </c>
      <c r="C23" s="17">
        <f>'CENSO Pirámides'!D24+'CENSO Pirámides'!D34+'CENSO Pirámides'!D44+'CENSO Pirámides'!D54+'CENSO Pirámides'!D64+'CENSO Pirámides'!D74</f>
        <v>74158</v>
      </c>
      <c r="D23" s="17">
        <f>B23*(1+A23)</f>
        <v>89793</v>
      </c>
      <c r="E23" s="16">
        <f>C23*(9-A23)</f>
        <v>667422</v>
      </c>
      <c r="F23" s="17">
        <f>+D23+E23</f>
        <v>757215</v>
      </c>
      <c r="G23" s="16">
        <f>(F23/$F$33)*100</f>
        <v>11.631788378150368</v>
      </c>
      <c r="H23" s="16">
        <f>G23-10</f>
        <v>1.6317883781503681</v>
      </c>
      <c r="I23" s="36" t="str">
        <f>+IF(H23&gt;0, "Preferencia", "Rechazo")</f>
        <v>Preferencia</v>
      </c>
      <c r="J23" s="16">
        <f>ABS(H23)</f>
        <v>1.6317883781503681</v>
      </c>
    </row>
    <row r="24" spans="1:10" x14ac:dyDescent="0.25">
      <c r="A24" s="28">
        <f>A105+1</f>
        <v>1</v>
      </c>
      <c r="B24" s="17">
        <f>'CENSO Pirámides'!D15+'CENSO Pirámides'!D25+'CENSO Pirámides'!D35+'CENSO Pirámides'!D45+'CENSO Pirámides'!D55+'CENSO Pirámides'!D65</f>
        <v>66577</v>
      </c>
      <c r="C24" s="17">
        <f>'CENSO Pirámides'!D25+'CENSO Pirámides'!D35+'CENSO Pirámides'!D45+'CENSO Pirámides'!D55+'CENSO Pirámides'!D65+'CENSO Pirámides'!D75</f>
        <v>51255</v>
      </c>
      <c r="D24" s="17">
        <f t="shared" ref="D24:D32" si="7">B24*(1+A24)</f>
        <v>133154</v>
      </c>
      <c r="E24" s="16">
        <f t="shared" ref="E24:E32" si="8">C24*(9-A24)</f>
        <v>410040</v>
      </c>
      <c r="F24" s="17">
        <f t="shared" ref="F24:F32" si="9">+D24+E24</f>
        <v>543194</v>
      </c>
      <c r="G24" s="16">
        <f t="shared" ref="G24:G32" si="10">(F24/$F$33)*100</f>
        <v>8.3441527918504139</v>
      </c>
      <c r="H24" s="16">
        <f t="shared" ref="H24:H32" si="11">G24-10</f>
        <v>-1.6558472081495861</v>
      </c>
      <c r="I24" s="36" t="str">
        <f t="shared" ref="I24:I32" si="12">+IF(H24&gt;0, "Preferencia", "Rechazo")</f>
        <v>Rechazo</v>
      </c>
      <c r="J24" s="16">
        <f t="shared" ref="J24:J32" si="13">ABS(H24)</f>
        <v>1.6558472081495861</v>
      </c>
    </row>
    <row r="25" spans="1:10" x14ac:dyDescent="0.25">
      <c r="A25" s="28">
        <v>2</v>
      </c>
      <c r="B25" s="17">
        <f>'CENSO Pirámides'!D16+'CENSO Pirámides'!D26+'CENSO Pirámides'!D36+'CENSO Pirámides'!D46+'CENSO Pirámides'!D56+'CENSO Pirámides'!D66</f>
        <v>78382</v>
      </c>
      <c r="C25" s="17">
        <f>'CENSO Pirámides'!D26+'CENSO Pirámides'!D36+'CENSO Pirámides'!D46+'CENSO Pirámides'!D56+'CENSO Pirámides'!D66+'CENSO Pirámides'!D76</f>
        <v>63153</v>
      </c>
      <c r="D25" s="17">
        <f t="shared" si="7"/>
        <v>235146</v>
      </c>
      <c r="E25" s="16">
        <f t="shared" si="8"/>
        <v>442071</v>
      </c>
      <c r="F25" s="17">
        <f t="shared" si="9"/>
        <v>677217</v>
      </c>
      <c r="G25" s="16">
        <f t="shared" si="10"/>
        <v>10.402917044810071</v>
      </c>
      <c r="H25" s="16">
        <f t="shared" si="11"/>
        <v>0.40291704481007073</v>
      </c>
      <c r="I25" s="36" t="str">
        <f t="shared" si="12"/>
        <v>Preferencia</v>
      </c>
      <c r="J25" s="16">
        <f t="shared" si="13"/>
        <v>0.40291704481007073</v>
      </c>
    </row>
    <row r="26" spans="1:10" x14ac:dyDescent="0.25">
      <c r="A26" s="28">
        <v>3</v>
      </c>
      <c r="B26" s="17">
        <f>'CENSO Pirámides'!D17+'CENSO Pirámides'!D27+'CENSO Pirámides'!D37+'CENSO Pirámides'!D47+'CENSO Pirámides'!D57+'CENSO Pirámides'!D67</f>
        <v>72944</v>
      </c>
      <c r="C26" s="17">
        <f>'CENSO Pirámides'!D27+'CENSO Pirámides'!D37+'CENSO Pirámides'!D47+'CENSO Pirámides'!D57+'CENSO Pirámides'!D67+'CENSO Pirámides'!D77</f>
        <v>58071</v>
      </c>
      <c r="D26" s="17">
        <f t="shared" si="7"/>
        <v>291776</v>
      </c>
      <c r="E26" s="16">
        <f t="shared" si="8"/>
        <v>348426</v>
      </c>
      <c r="F26" s="17">
        <f t="shared" si="9"/>
        <v>640202</v>
      </c>
      <c r="G26" s="16">
        <f t="shared" si="10"/>
        <v>9.8343194248246828</v>
      </c>
      <c r="H26" s="16">
        <f t="shared" si="11"/>
        <v>-0.1656805751753172</v>
      </c>
      <c r="I26" s="36" t="str">
        <f t="shared" si="12"/>
        <v>Rechazo</v>
      </c>
      <c r="J26" s="16">
        <f t="shared" si="13"/>
        <v>0.1656805751753172</v>
      </c>
    </row>
    <row r="27" spans="1:10" x14ac:dyDescent="0.25">
      <c r="A27" s="28">
        <v>4</v>
      </c>
      <c r="B27" s="17">
        <f>'CENSO Pirámides'!D18+'CENSO Pirámides'!D28+'CENSO Pirámides'!D38+'CENSO Pirámides'!D48+'CENSO Pirámides'!D58+'CENSO Pirámides'!D68</f>
        <v>70985</v>
      </c>
      <c r="C27" s="17">
        <f>'CENSO Pirámides'!D28+'CENSO Pirámides'!D38+'CENSO Pirámides'!D48+'CENSO Pirámides'!D58+'CENSO Pirámides'!D68+'CENSO Pirámides'!D78</f>
        <v>55169</v>
      </c>
      <c r="D27" s="17">
        <f t="shared" si="7"/>
        <v>354925</v>
      </c>
      <c r="E27" s="16">
        <f t="shared" si="8"/>
        <v>275845</v>
      </c>
      <c r="F27" s="17">
        <f t="shared" si="9"/>
        <v>630770</v>
      </c>
      <c r="G27" s="16">
        <f t="shared" si="10"/>
        <v>9.6894318724350512</v>
      </c>
      <c r="H27" s="16">
        <f t="shared" si="11"/>
        <v>-0.31056812756494878</v>
      </c>
      <c r="I27" s="36" t="str">
        <f t="shared" si="12"/>
        <v>Rechazo</v>
      </c>
      <c r="J27" s="16">
        <f t="shared" si="13"/>
        <v>0.31056812756494878</v>
      </c>
    </row>
    <row r="28" spans="1:10" x14ac:dyDescent="0.25">
      <c r="A28" s="28">
        <v>5</v>
      </c>
      <c r="B28" s="17">
        <f>'CENSO Pirámides'!D19+'CENSO Pirámides'!D29+'CENSO Pirámides'!D39+'CENSO Pirámides'!D49+'CENSO Pirámides'!D59+'CENSO Pirámides'!D69</f>
        <v>75490</v>
      </c>
      <c r="C28" s="17">
        <f>'CENSO Pirámides'!D29+'CENSO Pirámides'!D39+'CENSO Pirámides'!D49+'CENSO Pirámides'!D59+'CENSO Pirámides'!D69+'CENSO Pirámides'!D79</f>
        <v>58618</v>
      </c>
      <c r="D28" s="17">
        <f t="shared" si="7"/>
        <v>452940</v>
      </c>
      <c r="E28" s="16">
        <f t="shared" si="8"/>
        <v>234472</v>
      </c>
      <c r="F28" s="17">
        <f t="shared" si="9"/>
        <v>687412</v>
      </c>
      <c r="G28" s="16">
        <f t="shared" si="10"/>
        <v>10.559525250557767</v>
      </c>
      <c r="H28" s="16">
        <f t="shared" si="11"/>
        <v>0.55952525055776725</v>
      </c>
      <c r="I28" s="36" t="str">
        <f t="shared" si="12"/>
        <v>Preferencia</v>
      </c>
      <c r="J28" s="16">
        <f t="shared" si="13"/>
        <v>0.55952525055776725</v>
      </c>
    </row>
    <row r="29" spans="1:10" x14ac:dyDescent="0.25">
      <c r="A29" s="28">
        <v>6</v>
      </c>
      <c r="B29" s="17">
        <f>'CENSO Pirámides'!D20+'CENSO Pirámides'!D30+'CENSO Pirámides'!D40+'CENSO Pirámides'!D50+'CENSO Pirámides'!D60+'CENSO Pirámides'!D70</f>
        <v>69058</v>
      </c>
      <c r="C29" s="17">
        <f>'CENSO Pirámides'!D30+'CENSO Pirámides'!D40+'CENSO Pirámides'!D50+'CENSO Pirámides'!D60+'CENSO Pirámides'!D70+'CENSO Pirámides'!D80</f>
        <v>52461</v>
      </c>
      <c r="D29" s="17">
        <f t="shared" si="7"/>
        <v>483406</v>
      </c>
      <c r="E29" s="16">
        <f t="shared" si="8"/>
        <v>157383</v>
      </c>
      <c r="F29" s="17">
        <f t="shared" si="9"/>
        <v>640789</v>
      </c>
      <c r="G29" s="16">
        <f t="shared" si="10"/>
        <v>9.8433364936597858</v>
      </c>
      <c r="H29" s="16">
        <f t="shared" si="11"/>
        <v>-0.1566635063402142</v>
      </c>
      <c r="I29" s="36" t="str">
        <f t="shared" si="12"/>
        <v>Rechazo</v>
      </c>
      <c r="J29" s="16">
        <f t="shared" si="13"/>
        <v>0.1566635063402142</v>
      </c>
    </row>
    <row r="30" spans="1:10" x14ac:dyDescent="0.25">
      <c r="A30" s="28">
        <v>7</v>
      </c>
      <c r="B30" s="17">
        <f>'CENSO Pirámides'!D21+'CENSO Pirámides'!D31+'CENSO Pirámides'!D41+'CENSO Pirámides'!D51+'CENSO Pirámides'!D61+'CENSO Pirámides'!D71</f>
        <v>67034</v>
      </c>
      <c r="C30" s="17">
        <f>'CENSO Pirámides'!D31+'CENSO Pirámides'!D41+'CENSO Pirámides'!D51+'CENSO Pirámides'!D61+'CENSO Pirámides'!D71+'CENSO Pirámides'!D81</f>
        <v>49292</v>
      </c>
      <c r="D30" s="17">
        <f t="shared" si="7"/>
        <v>536272</v>
      </c>
      <c r="E30" s="16">
        <f t="shared" si="8"/>
        <v>98584</v>
      </c>
      <c r="F30" s="17">
        <f t="shared" si="9"/>
        <v>634856</v>
      </c>
      <c r="G30" s="16">
        <f t="shared" si="10"/>
        <v>9.7521980449397194</v>
      </c>
      <c r="H30" s="16">
        <f t="shared" si="11"/>
        <v>-0.24780195506028058</v>
      </c>
      <c r="I30" s="36" t="str">
        <f t="shared" si="12"/>
        <v>Rechazo</v>
      </c>
      <c r="J30" s="16">
        <f t="shared" si="13"/>
        <v>0.24780195506028058</v>
      </c>
    </row>
    <row r="31" spans="1:10" x14ac:dyDescent="0.25">
      <c r="A31" s="28">
        <v>8</v>
      </c>
      <c r="B31" s="17">
        <f>'CENSO Pirámides'!D22+'CENSO Pirámides'!D32+'CENSO Pirámides'!D42+'CENSO Pirámides'!D52+'CENSO Pirámides'!D62+'CENSO Pirámides'!D72</f>
        <v>69478</v>
      </c>
      <c r="C31" s="17">
        <f>'CENSO Pirámides'!D32+'CENSO Pirámides'!D42+'CENSO Pirámides'!D52+'CENSO Pirámides'!D62+'CENSO Pirámides'!D72+'CENSO Pirámides'!D82</f>
        <v>51639</v>
      </c>
      <c r="D31" s="17">
        <f t="shared" si="7"/>
        <v>625302</v>
      </c>
      <c r="E31" s="16">
        <f t="shared" si="8"/>
        <v>51639</v>
      </c>
      <c r="F31" s="17">
        <f t="shared" si="9"/>
        <v>676941</v>
      </c>
      <c r="G31" s="16">
        <f t="shared" si="10"/>
        <v>10.398677332717243</v>
      </c>
      <c r="H31" s="16">
        <f t="shared" si="11"/>
        <v>0.39867733271724326</v>
      </c>
      <c r="I31" s="36" t="str">
        <f t="shared" si="12"/>
        <v>Preferencia</v>
      </c>
      <c r="J31" s="16">
        <f t="shared" si="13"/>
        <v>0.39867733271724326</v>
      </c>
    </row>
    <row r="32" spans="1:10" x14ac:dyDescent="0.25">
      <c r="A32" s="28">
        <v>9</v>
      </c>
      <c r="B32" s="17">
        <f>'CENSO Pirámides'!D23+'CENSO Pirámides'!D33+'CENSO Pirámides'!D43+'CENSO Pirámides'!D53+'CENSO Pirámides'!D63+'CENSO Pirámides'!D73</f>
        <v>62128</v>
      </c>
      <c r="C32" s="17">
        <f>'CENSO Pirámides'!D33+'CENSO Pirámides'!D43+'CENSO Pirámides'!D53+'CENSO Pirámides'!D63+'CENSO Pirámides'!D73+'CENSO Pirámides'!D83</f>
        <v>45773</v>
      </c>
      <c r="D32" s="17">
        <f t="shared" si="7"/>
        <v>621280</v>
      </c>
      <c r="E32" s="16">
        <f t="shared" si="8"/>
        <v>0</v>
      </c>
      <c r="F32" s="17">
        <f t="shared" si="9"/>
        <v>621280</v>
      </c>
      <c r="G32" s="16">
        <f t="shared" si="10"/>
        <v>9.5436533660548974</v>
      </c>
      <c r="H32" s="16">
        <f t="shared" si="11"/>
        <v>-0.45634663394510255</v>
      </c>
      <c r="I32" s="36" t="str">
        <f t="shared" si="12"/>
        <v>Rechazo</v>
      </c>
      <c r="J32" s="16">
        <f t="shared" si="13"/>
        <v>0.45634663394510255</v>
      </c>
    </row>
    <row r="33" spans="1:10" x14ac:dyDescent="0.25">
      <c r="E33" s="16" t="s">
        <v>107</v>
      </c>
      <c r="F33" s="22">
        <f>SUM(F23:F32)</f>
        <v>6509876</v>
      </c>
    </row>
    <row r="35" spans="1:10" x14ac:dyDescent="0.25">
      <c r="A35" s="188" t="s">
        <v>254</v>
      </c>
      <c r="B35" s="188"/>
    </row>
    <row r="36" spans="1:10" x14ac:dyDescent="0.25">
      <c r="A36" s="23" t="s">
        <v>242</v>
      </c>
      <c r="B36" s="24" t="s">
        <v>243</v>
      </c>
      <c r="C36" s="24" t="s">
        <v>244</v>
      </c>
      <c r="D36" s="24" t="s">
        <v>245</v>
      </c>
      <c r="E36" s="24" t="s">
        <v>246</v>
      </c>
      <c r="F36" s="24" t="s">
        <v>247</v>
      </c>
      <c r="G36" s="24" t="s">
        <v>248</v>
      </c>
      <c r="H36" s="24" t="s">
        <v>249</v>
      </c>
    </row>
    <row r="37" spans="1:10" x14ac:dyDescent="0.25">
      <c r="A37" s="25">
        <v>0</v>
      </c>
      <c r="B37" s="17">
        <f>'CONTEO Pirámides'!C13+'CONTEO Pirámides'!C23+'CONTEO Pirámides'!C33+'CONTEO Pirámides'!C43+'CONTEO Pirámides'!C53+'CONTEO Pirámides'!C63</f>
        <v>71635</v>
      </c>
      <c r="C37" s="17">
        <f>'CONTEO Pirámides'!C23+'CONTEO Pirámides'!C33+'CONTEO Pirámides'!C43+'CONTEO Pirámides'!C53+'CONTEO Pirámides'!C63+'CONTEO Pirámides'!C73</f>
        <v>55770</v>
      </c>
      <c r="D37" s="17">
        <f>B37*(1+A37)</f>
        <v>71635</v>
      </c>
      <c r="E37" s="16">
        <f>C37*(9-A37)</f>
        <v>501930</v>
      </c>
      <c r="F37" s="17">
        <f>D37+E37</f>
        <v>573565</v>
      </c>
      <c r="G37" s="16">
        <f>(F37/$F$47)*100</f>
        <v>11.732375867222967</v>
      </c>
      <c r="H37" s="16">
        <f>G37-10</f>
        <v>1.7323758672229665</v>
      </c>
      <c r="I37" s="36" t="str">
        <f>+IF(H37&gt;0, "Preferencia", "Rechazo")</f>
        <v>Preferencia</v>
      </c>
      <c r="J37" s="16">
        <f>ABS(H37)</f>
        <v>1.7323758672229665</v>
      </c>
    </row>
    <row r="38" spans="1:10" x14ac:dyDescent="0.25">
      <c r="A38" s="25">
        <f>A119+1</f>
        <v>1</v>
      </c>
      <c r="B38" s="17">
        <f>'CONTEO Pirámides'!C14+'CONTEO Pirámides'!C24+'CONTEO Pirámides'!C34+'CONTEO Pirámides'!C44+'CONTEO Pirámides'!C54+'CONTEO Pirámides'!C64</f>
        <v>53376</v>
      </c>
      <c r="C38" s="17">
        <f>'CONTEO Pirámides'!C24+'CONTEO Pirámides'!C34+'CONTEO Pirámides'!C44+'CONTEO Pirámides'!C54+'CONTEO Pirámides'!C64+'CONTEO Pirámides'!C74</f>
        <v>37026</v>
      </c>
      <c r="D38" s="17">
        <f t="shared" ref="D38:D46" si="14">B38*(1+A38)</f>
        <v>106752</v>
      </c>
      <c r="E38" s="16">
        <f t="shared" ref="E38:E46" si="15">C38*(9-A38)</f>
        <v>296208</v>
      </c>
      <c r="F38" s="17">
        <f t="shared" ref="F38:F46" si="16">D38+E38</f>
        <v>402960</v>
      </c>
      <c r="G38" s="16">
        <f t="shared" ref="G38:G46" si="17">(F38/$F$47)*100</f>
        <v>8.2426197195717421</v>
      </c>
      <c r="H38" s="16">
        <f t="shared" ref="H38:H46" si="18">G38-10</f>
        <v>-1.7573802804282579</v>
      </c>
      <c r="I38" s="36" t="str">
        <f t="shared" ref="I38:I46" si="19">+IF(H38&gt;0, "Preferencia", "Rechazo")</f>
        <v>Rechazo</v>
      </c>
      <c r="J38" s="16">
        <f t="shared" ref="J38:J46" si="20">ABS(H38)</f>
        <v>1.7573802804282579</v>
      </c>
    </row>
    <row r="39" spans="1:10" x14ac:dyDescent="0.25">
      <c r="A39" s="25">
        <v>2</v>
      </c>
      <c r="B39" s="17">
        <f>'CONTEO Pirámides'!C15+'CONTEO Pirámides'!C25+'CONTEO Pirámides'!C35+'CONTEO Pirámides'!C45+'CONTEO Pirámides'!C55+'CONTEO Pirámides'!C65</f>
        <v>63912</v>
      </c>
      <c r="C39" s="17">
        <f>'CONTEO Pirámides'!C25+'CONTEO Pirámides'!C35+'CONTEO Pirámides'!C45+'CONTEO Pirámides'!C55+'CONTEO Pirámides'!C65+'CONTEO Pirámides'!C75</f>
        <v>47205</v>
      </c>
      <c r="D39" s="17">
        <f t="shared" si="14"/>
        <v>191736</v>
      </c>
      <c r="E39" s="16">
        <f t="shared" si="15"/>
        <v>330435</v>
      </c>
      <c r="F39" s="17">
        <f t="shared" si="16"/>
        <v>522171</v>
      </c>
      <c r="G39" s="16">
        <f t="shared" si="17"/>
        <v>10.681102296973636</v>
      </c>
      <c r="H39" s="16">
        <f t="shared" si="18"/>
        <v>0.681102296973636</v>
      </c>
      <c r="I39" s="36" t="str">
        <f t="shared" si="19"/>
        <v>Preferencia</v>
      </c>
      <c r="J39" s="16">
        <f t="shared" si="20"/>
        <v>0.681102296973636</v>
      </c>
    </row>
    <row r="40" spans="1:10" x14ac:dyDescent="0.25">
      <c r="A40" s="25">
        <v>3</v>
      </c>
      <c r="B40" s="17">
        <f>'CONTEO Pirámides'!C16+'CONTEO Pirámides'!C26+'CONTEO Pirámides'!C36+'CONTEO Pirámides'!C46+'CONTEO Pirámides'!C56+'CONTEO Pirámides'!C66</f>
        <v>59589</v>
      </c>
      <c r="C40" s="17">
        <f>'CONTEO Pirámides'!C26+'CONTEO Pirámides'!C36+'CONTEO Pirámides'!C46+'CONTEO Pirámides'!C56+'CONTEO Pirámides'!C66+'CONTEO Pirámides'!C76</f>
        <v>42982</v>
      </c>
      <c r="D40" s="17">
        <f t="shared" si="14"/>
        <v>238356</v>
      </c>
      <c r="E40" s="16">
        <f t="shared" si="15"/>
        <v>257892</v>
      </c>
      <c r="F40" s="17">
        <f t="shared" si="16"/>
        <v>496248</v>
      </c>
      <c r="G40" s="16">
        <f t="shared" si="17"/>
        <v>10.15084264095205</v>
      </c>
      <c r="H40" s="16">
        <f t="shared" si="18"/>
        <v>0.15084264095204958</v>
      </c>
      <c r="I40" s="36" t="str">
        <f t="shared" si="19"/>
        <v>Preferencia</v>
      </c>
      <c r="J40" s="16">
        <f t="shared" si="20"/>
        <v>0.15084264095204958</v>
      </c>
    </row>
    <row r="41" spans="1:10" x14ac:dyDescent="0.25">
      <c r="A41" s="25">
        <v>4</v>
      </c>
      <c r="B41" s="17">
        <f>'CONTEO Pirámides'!C17+'CONTEO Pirámides'!C27+'CONTEO Pirámides'!C37+'CONTEO Pirámides'!C47+'CONTEO Pirámides'!C57+'CONTEO Pirámides'!C67</f>
        <v>55596</v>
      </c>
      <c r="C41" s="17">
        <f>'CONTEO Pirámides'!C27+'CONTEO Pirámides'!C37+'CONTEO Pirámides'!C47+'CONTEO Pirámides'!C57+'CONTEO Pirámides'!C67+'CONTEO Pirámides'!C77</f>
        <v>39778</v>
      </c>
      <c r="D41" s="17">
        <f t="shared" si="14"/>
        <v>277980</v>
      </c>
      <c r="E41" s="16">
        <f t="shared" si="15"/>
        <v>198890</v>
      </c>
      <c r="F41" s="17">
        <f t="shared" si="16"/>
        <v>476870</v>
      </c>
      <c r="G41" s="16">
        <f t="shared" si="17"/>
        <v>9.7544621443125283</v>
      </c>
      <c r="H41" s="16">
        <f t="shared" si="18"/>
        <v>-0.24553785568747166</v>
      </c>
      <c r="I41" s="36" t="str">
        <f t="shared" si="19"/>
        <v>Rechazo</v>
      </c>
      <c r="J41" s="16">
        <f t="shared" si="20"/>
        <v>0.24553785568747166</v>
      </c>
    </row>
    <row r="42" spans="1:10" x14ac:dyDescent="0.25">
      <c r="A42" s="25">
        <v>5</v>
      </c>
      <c r="B42" s="17">
        <f>'CONTEO Pirámides'!C18+'CONTEO Pirámides'!C28+'CONTEO Pirámides'!C38+'CONTEO Pirámides'!C48+'CONTEO Pirámides'!C58+'CONTEO Pirámides'!C68</f>
        <v>61116</v>
      </c>
      <c r="C42" s="17">
        <f>'CONTEO Pirámides'!C28+'CONTEO Pirámides'!C38+'CONTEO Pirámides'!C48+'CONTEO Pirámides'!C58+'CONTEO Pirámides'!C68+'CONTEO Pirámides'!C78</f>
        <v>45526</v>
      </c>
      <c r="D42" s="17">
        <f t="shared" si="14"/>
        <v>366696</v>
      </c>
      <c r="E42" s="16">
        <f t="shared" si="15"/>
        <v>182104</v>
      </c>
      <c r="F42" s="17">
        <f t="shared" si="16"/>
        <v>548800</v>
      </c>
      <c r="G42" s="16">
        <f t="shared" si="17"/>
        <v>11.225803310752859</v>
      </c>
      <c r="H42" s="16">
        <f t="shared" si="18"/>
        <v>1.225803310752859</v>
      </c>
      <c r="I42" s="36" t="str">
        <f t="shared" si="19"/>
        <v>Preferencia</v>
      </c>
      <c r="J42" s="16">
        <f t="shared" si="20"/>
        <v>1.225803310752859</v>
      </c>
    </row>
    <row r="43" spans="1:10" x14ac:dyDescent="0.25">
      <c r="A43" s="25">
        <v>6</v>
      </c>
      <c r="B43" s="17">
        <f>'CONTEO Pirámides'!C19+'CONTEO Pirámides'!C29+'CONTEO Pirámides'!C39+'CONTEO Pirámides'!C49+'CONTEO Pirámides'!C59+'CONTEO Pirámides'!C69</f>
        <v>50189</v>
      </c>
      <c r="C43" s="17">
        <f>'CONTEO Pirámides'!C29+'CONTEO Pirámides'!C39+'CONTEO Pirámides'!C49+'CONTEO Pirámides'!C59+'CONTEO Pirámides'!C69+'CONTEO Pirámides'!C79</f>
        <v>35770</v>
      </c>
      <c r="D43" s="17">
        <f t="shared" si="14"/>
        <v>351323</v>
      </c>
      <c r="E43" s="16">
        <f t="shared" si="15"/>
        <v>107310</v>
      </c>
      <c r="F43" s="17">
        <f t="shared" si="16"/>
        <v>458633</v>
      </c>
      <c r="G43" s="16">
        <f t="shared" si="17"/>
        <v>9.3814210091481698</v>
      </c>
      <c r="H43" s="16">
        <f t="shared" si="18"/>
        <v>-0.61857899085183021</v>
      </c>
      <c r="I43" s="36" t="str">
        <f t="shared" si="19"/>
        <v>Rechazo</v>
      </c>
      <c r="J43" s="16">
        <f t="shared" si="20"/>
        <v>0.61857899085183021</v>
      </c>
    </row>
    <row r="44" spans="1:10" x14ac:dyDescent="0.25">
      <c r="A44" s="25">
        <v>7</v>
      </c>
      <c r="B44" s="17">
        <f>'CONTEO Pirámides'!C20+'CONTEO Pirámides'!C30+'CONTEO Pirámides'!C40+'CONTEO Pirámides'!C50+'CONTEO Pirámides'!C60+'CONTEO Pirámides'!C70</f>
        <v>49516</v>
      </c>
      <c r="C44" s="17">
        <f>'CONTEO Pirámides'!C30+'CONTEO Pirámides'!C40+'CONTEO Pirámides'!C50+'CONTEO Pirámides'!C60+'CONTEO Pirámides'!C70+'CONTEO Pirámides'!C80</f>
        <v>34293</v>
      </c>
      <c r="D44" s="17">
        <f t="shared" si="14"/>
        <v>396128</v>
      </c>
      <c r="E44" s="16">
        <f t="shared" si="15"/>
        <v>68586</v>
      </c>
      <c r="F44" s="17">
        <f t="shared" si="16"/>
        <v>464714</v>
      </c>
      <c r="G44" s="16">
        <f t="shared" si="17"/>
        <v>9.5058089645648778</v>
      </c>
      <c r="H44" s="16">
        <f t="shared" si="18"/>
        <v>-0.49419103543512222</v>
      </c>
      <c r="I44" s="36" t="str">
        <f t="shared" si="19"/>
        <v>Rechazo</v>
      </c>
      <c r="J44" s="16">
        <f t="shared" si="20"/>
        <v>0.49419103543512222</v>
      </c>
    </row>
    <row r="45" spans="1:10" x14ac:dyDescent="0.25">
      <c r="A45" s="25">
        <v>8</v>
      </c>
      <c r="B45" s="17">
        <f>'CONTEO Pirámides'!C21+'CONTEO Pirámides'!C31+'CONTEO Pirámides'!C41+'CONTEO Pirámides'!C51+'CONTEO Pirámides'!C61+'CONTEO Pirámides'!C71</f>
        <v>52798</v>
      </c>
      <c r="C45" s="17">
        <f>'CONTEO Pirámides'!C31+'CONTEO Pirámides'!C41+'CONTEO Pirámides'!C51+'CONTEO Pirámides'!C61+'CONTEO Pirámides'!C71+'CONTEO Pirámides'!C81</f>
        <v>37834</v>
      </c>
      <c r="D45" s="17">
        <f t="shared" si="14"/>
        <v>475182</v>
      </c>
      <c r="E45" s="16">
        <f t="shared" si="15"/>
        <v>37834</v>
      </c>
      <c r="F45" s="17">
        <f t="shared" si="16"/>
        <v>513016</v>
      </c>
      <c r="G45" s="16">
        <f t="shared" si="17"/>
        <v>10.493835115286423</v>
      </c>
      <c r="H45" s="16">
        <f t="shared" si="18"/>
        <v>0.49383511528642288</v>
      </c>
      <c r="I45" s="36" t="str">
        <f t="shared" si="19"/>
        <v>Preferencia</v>
      </c>
      <c r="J45" s="16">
        <f t="shared" si="20"/>
        <v>0.49383511528642288</v>
      </c>
    </row>
    <row r="46" spans="1:10" x14ac:dyDescent="0.25">
      <c r="A46" s="25">
        <v>9</v>
      </c>
      <c r="B46" s="17">
        <f>'CONTEO Pirámides'!C22+'CONTEO Pirámides'!C32+'CONTEO Pirámides'!C42+'CONTEO Pirámides'!C52+'CONTEO Pirámides'!C62+'CONTEO Pirámides'!C72</f>
        <v>43176</v>
      </c>
      <c r="C46" s="17">
        <f>'CONTEO Pirámides'!C32+'CONTEO Pirámides'!C42+'CONTEO Pirámides'!C52+'CONTEO Pirámides'!C62+'CONTEO Pirámides'!C72+'CONTEO Pirámides'!C82</f>
        <v>30382</v>
      </c>
      <c r="D46" s="17">
        <f t="shared" si="14"/>
        <v>431760</v>
      </c>
      <c r="E46" s="16">
        <f t="shared" si="15"/>
        <v>0</v>
      </c>
      <c r="F46" s="17">
        <f t="shared" si="16"/>
        <v>431760</v>
      </c>
      <c r="G46" s="16">
        <f t="shared" si="17"/>
        <v>8.8317289312147498</v>
      </c>
      <c r="H46" s="16">
        <f t="shared" si="18"/>
        <v>-1.1682710687852502</v>
      </c>
      <c r="I46" s="36" t="str">
        <f t="shared" si="19"/>
        <v>Rechazo</v>
      </c>
      <c r="J46" s="16">
        <f t="shared" si="20"/>
        <v>1.1682710687852502</v>
      </c>
    </row>
    <row r="47" spans="1:10" x14ac:dyDescent="0.25">
      <c r="E47" s="16" t="s">
        <v>107</v>
      </c>
      <c r="F47" s="22">
        <f>SUM(F37:F46)</f>
        <v>4888737</v>
      </c>
    </row>
    <row r="50" spans="1:10" x14ac:dyDescent="0.25">
      <c r="A50" s="188" t="s">
        <v>253</v>
      </c>
      <c r="B50" s="188"/>
    </row>
    <row r="51" spans="1:10" x14ac:dyDescent="0.25">
      <c r="A51" s="23" t="s">
        <v>242</v>
      </c>
      <c r="B51" s="25" t="s">
        <v>243</v>
      </c>
      <c r="C51" s="25" t="s">
        <v>244</v>
      </c>
      <c r="D51" s="25" t="s">
        <v>245</v>
      </c>
      <c r="E51" s="25" t="s">
        <v>246</v>
      </c>
      <c r="F51" s="25" t="s">
        <v>247</v>
      </c>
      <c r="G51" s="25" t="s">
        <v>248</v>
      </c>
      <c r="H51" s="25" t="s">
        <v>249</v>
      </c>
    </row>
    <row r="52" spans="1:10" x14ac:dyDescent="0.25">
      <c r="A52" s="25">
        <v>0</v>
      </c>
      <c r="B52" s="17">
        <f>'CONTEO Pirámides'!D13+'CONTEO Pirámides'!D23+'CONTEO Pirámides'!D33+'CONTEO Pirámides'!D43+'CONTEO Pirámides'!D53+'CONTEO Pirámides'!D63</f>
        <v>78246</v>
      </c>
      <c r="C52" s="17">
        <f>'CONTEO Pirámides'!D23+'CONTEO Pirámides'!D33+'CONTEO Pirámides'!D43+'CONTEO Pirámides'!D53+'CONTEO Pirámides'!D63+'CONTEO Pirámides'!D73</f>
        <v>63328</v>
      </c>
      <c r="D52" s="17">
        <f>B52*(1+A52)</f>
        <v>78246</v>
      </c>
      <c r="E52" s="16">
        <f>C52*(9-A52)</f>
        <v>569952</v>
      </c>
      <c r="F52" s="17">
        <f>D52+E52</f>
        <v>648198</v>
      </c>
      <c r="G52" s="16">
        <f>(F52/$F$62)*100</f>
        <v>11.917853705963836</v>
      </c>
      <c r="H52" s="16">
        <f>G52-10</f>
        <v>1.9178537059638359</v>
      </c>
      <c r="I52" s="36" t="str">
        <f>+IF(H52&gt;0, "Preferencia", "Rechazo")</f>
        <v>Preferencia</v>
      </c>
      <c r="J52" s="16">
        <f>ABS(H52)</f>
        <v>1.9178537059638359</v>
      </c>
    </row>
    <row r="53" spans="1:10" x14ac:dyDescent="0.25">
      <c r="A53" s="25">
        <f>A134+1</f>
        <v>1</v>
      </c>
      <c r="B53" s="17">
        <f>'CONTEO Pirámides'!D14+'CONTEO Pirámides'!D24+'CONTEO Pirámides'!D34+'CONTEO Pirámides'!D44+'CONTEO Pirámides'!D54+'CONTEO Pirámides'!D64</f>
        <v>57360</v>
      </c>
      <c r="C53" s="17">
        <f>'CONTEO Pirámides'!D24+'CONTEO Pirámides'!D34+'CONTEO Pirámides'!D44+'CONTEO Pirámides'!D54+'CONTEO Pirámides'!D64+'CONTEO Pirámides'!D74</f>
        <v>41405</v>
      </c>
      <c r="D53" s="17">
        <f t="shared" ref="D53:D61" si="21">B53*(1+A53)</f>
        <v>114720</v>
      </c>
      <c r="E53" s="16">
        <f t="shared" ref="E53:E61" si="22">C53*(9-A53)</f>
        <v>331240</v>
      </c>
      <c r="F53" s="17">
        <f>D53+E53</f>
        <v>445960</v>
      </c>
      <c r="G53" s="16">
        <f t="shared" ref="G53:G61" si="23">(F53/$F$62)*100</f>
        <v>8.1994792312096507</v>
      </c>
      <c r="H53" s="16">
        <f t="shared" ref="H53:H61" si="24">G53-10</f>
        <v>-1.8005207687903493</v>
      </c>
      <c r="I53" s="36" t="str">
        <f t="shared" ref="I53:I61" si="25">+IF(H53&gt;0, "Preferencia", "Rechazo")</f>
        <v>Rechazo</v>
      </c>
      <c r="J53" s="16">
        <f t="shared" ref="J53:J61" si="26">ABS(H53)</f>
        <v>1.8005207687903493</v>
      </c>
    </row>
    <row r="54" spans="1:10" x14ac:dyDescent="0.25">
      <c r="A54" s="25">
        <v>2</v>
      </c>
      <c r="B54" s="17">
        <f>'CONTEO Pirámides'!D15+'CONTEO Pirámides'!D25+'CONTEO Pirámides'!D35+'CONTEO Pirámides'!D45+'CONTEO Pirámides'!D55+'CONTEO Pirámides'!D65</f>
        <v>69710</v>
      </c>
      <c r="C54" s="17">
        <f>'CONTEO Pirámides'!D25+'CONTEO Pirámides'!D35+'CONTEO Pirámides'!D45+'CONTEO Pirámides'!D55+'CONTEO Pirámides'!D65+'CONTEO Pirámides'!D75</f>
        <v>53427</v>
      </c>
      <c r="D54" s="17">
        <f t="shared" si="21"/>
        <v>209130</v>
      </c>
      <c r="E54" s="16">
        <f t="shared" si="22"/>
        <v>373989</v>
      </c>
      <c r="F54" s="17">
        <f t="shared" ref="F54:F61" si="27">D54+E54</f>
        <v>583119</v>
      </c>
      <c r="G54" s="16">
        <f t="shared" si="23"/>
        <v>10.721302650066686</v>
      </c>
      <c r="H54" s="16">
        <f t="shared" si="24"/>
        <v>0.72130265006668637</v>
      </c>
      <c r="I54" s="36" t="str">
        <f t="shared" si="25"/>
        <v>Preferencia</v>
      </c>
      <c r="J54" s="16">
        <f t="shared" si="26"/>
        <v>0.72130265006668637</v>
      </c>
    </row>
    <row r="55" spans="1:10" x14ac:dyDescent="0.25">
      <c r="A55" s="25">
        <v>3</v>
      </c>
      <c r="B55" s="17">
        <f>'CONTEO Pirámides'!D16+'CONTEO Pirámides'!D26+'CONTEO Pirámides'!D36+'CONTEO Pirámides'!D46+'CONTEO Pirámides'!D56+'CONTEO Pirámides'!D66</f>
        <v>64107</v>
      </c>
      <c r="C55" s="17">
        <f>'CONTEO Pirámides'!D26+'CONTEO Pirámides'!D36+'CONTEO Pirámides'!D46+'CONTEO Pirámides'!D56+'CONTEO Pirámides'!D66+'CONTEO Pirámides'!D76</f>
        <v>48288</v>
      </c>
      <c r="D55" s="17">
        <f t="shared" si="21"/>
        <v>256428</v>
      </c>
      <c r="E55" s="16">
        <f t="shared" si="22"/>
        <v>289728</v>
      </c>
      <c r="F55" s="17">
        <f t="shared" si="27"/>
        <v>546156</v>
      </c>
      <c r="G55" s="16">
        <f t="shared" si="23"/>
        <v>10.041696069155389</v>
      </c>
      <c r="H55" s="16">
        <f t="shared" si="24"/>
        <v>4.1696069155388926E-2</v>
      </c>
      <c r="I55" s="36" t="str">
        <f t="shared" si="25"/>
        <v>Preferencia</v>
      </c>
      <c r="J55" s="16">
        <f t="shared" si="26"/>
        <v>4.1696069155388926E-2</v>
      </c>
    </row>
    <row r="56" spans="1:10" x14ac:dyDescent="0.25">
      <c r="A56" s="25">
        <v>4</v>
      </c>
      <c r="B56" s="17">
        <f>'CONTEO Pirámides'!D17+'CONTEO Pirámides'!D27+'CONTEO Pirámides'!D37+'CONTEO Pirámides'!D47+'CONTEO Pirámides'!D57+'CONTEO Pirámides'!D67</f>
        <v>60606</v>
      </c>
      <c r="C56" s="17">
        <f>'CONTEO Pirámides'!D27+'CONTEO Pirámides'!D37+'CONTEO Pirámides'!D47+'CONTEO Pirámides'!D57+'CONTEO Pirámides'!D67+'CONTEO Pirámides'!D77</f>
        <v>44631</v>
      </c>
      <c r="D56" s="17">
        <f t="shared" si="21"/>
        <v>303030</v>
      </c>
      <c r="E56" s="16">
        <f t="shared" si="22"/>
        <v>223155</v>
      </c>
      <c r="F56" s="17">
        <f t="shared" si="27"/>
        <v>526185</v>
      </c>
      <c r="G56" s="16">
        <f t="shared" si="23"/>
        <v>9.6745066357387408</v>
      </c>
      <c r="H56" s="16">
        <f t="shared" si="24"/>
        <v>-0.32549336426125919</v>
      </c>
      <c r="I56" s="36" t="str">
        <f t="shared" si="25"/>
        <v>Rechazo</v>
      </c>
      <c r="J56" s="16">
        <f t="shared" si="26"/>
        <v>0.32549336426125919</v>
      </c>
    </row>
    <row r="57" spans="1:10" x14ac:dyDescent="0.25">
      <c r="A57" s="25">
        <v>5</v>
      </c>
      <c r="B57" s="17">
        <f>'CONTEO Pirámides'!D18+'CONTEO Pirámides'!D28+'CONTEO Pirámides'!D38+'CONTEO Pirámides'!D48+'CONTEO Pirámides'!D58+'CONTEO Pirámides'!D68</f>
        <v>66702</v>
      </c>
      <c r="C57" s="17">
        <f>'CONTEO Pirámides'!D28+'CONTEO Pirámides'!D38+'CONTEO Pirámides'!D48+'CONTEO Pirámides'!D58+'CONTEO Pirámides'!D68+'CONTEO Pirámides'!D78</f>
        <v>51161</v>
      </c>
      <c r="D57" s="17">
        <f t="shared" si="21"/>
        <v>400212</v>
      </c>
      <c r="E57" s="16">
        <f t="shared" si="22"/>
        <v>204644</v>
      </c>
      <c r="F57" s="17">
        <f t="shared" si="27"/>
        <v>604856</v>
      </c>
      <c r="G57" s="16">
        <f t="shared" si="23"/>
        <v>11.120961991821114</v>
      </c>
      <c r="H57" s="16">
        <f t="shared" si="24"/>
        <v>1.1209619918211136</v>
      </c>
      <c r="I57" s="36" t="str">
        <f t="shared" si="25"/>
        <v>Preferencia</v>
      </c>
      <c r="J57" s="16">
        <f t="shared" si="26"/>
        <v>1.1209619918211136</v>
      </c>
    </row>
    <row r="58" spans="1:10" x14ac:dyDescent="0.25">
      <c r="A58" s="25">
        <v>6</v>
      </c>
      <c r="B58" s="17">
        <f>'CONTEO Pirámides'!D19+'CONTEO Pirámides'!D29+'CONTEO Pirámides'!D39+'CONTEO Pirámides'!D49+'CONTEO Pirámides'!D59+'CONTEO Pirámides'!D69</f>
        <v>56047</v>
      </c>
      <c r="C58" s="17">
        <f>'CONTEO Pirámides'!D29+'CONTEO Pirámides'!D39+'CONTEO Pirámides'!D49+'CONTEO Pirámides'!D59+'CONTEO Pirámides'!D69+'CONTEO Pirámides'!D79</f>
        <v>41102</v>
      </c>
      <c r="D58" s="17">
        <f t="shared" si="21"/>
        <v>392329</v>
      </c>
      <c r="E58" s="16">
        <f t="shared" si="22"/>
        <v>123306</v>
      </c>
      <c r="F58" s="17">
        <f t="shared" si="27"/>
        <v>515635</v>
      </c>
      <c r="G58" s="16">
        <f t="shared" si="23"/>
        <v>9.480532947763896</v>
      </c>
      <c r="H58" s="16">
        <f t="shared" si="24"/>
        <v>-0.51946705223610401</v>
      </c>
      <c r="I58" s="36" t="str">
        <f t="shared" si="25"/>
        <v>Rechazo</v>
      </c>
      <c r="J58" s="16">
        <f t="shared" si="26"/>
        <v>0.51946705223610401</v>
      </c>
    </row>
    <row r="59" spans="1:10" x14ac:dyDescent="0.25">
      <c r="A59" s="25">
        <v>7</v>
      </c>
      <c r="B59" s="17">
        <f>'CONTEO Pirámides'!D20+'CONTEO Pirámides'!D30+'CONTEO Pirámides'!D40+'CONTEO Pirámides'!D50+'CONTEO Pirámides'!D60+'CONTEO Pirámides'!D70</f>
        <v>53994</v>
      </c>
      <c r="C59" s="17">
        <f>'CONTEO Pirámides'!D30+'CONTEO Pirámides'!D40+'CONTEO Pirámides'!D50+'CONTEO Pirámides'!D60+'CONTEO Pirámides'!D70+'CONTEO Pirámides'!D80</f>
        <v>38417</v>
      </c>
      <c r="D59" s="17">
        <f t="shared" si="21"/>
        <v>431952</v>
      </c>
      <c r="E59" s="16">
        <f t="shared" si="22"/>
        <v>76834</v>
      </c>
      <c r="F59" s="17">
        <f t="shared" si="27"/>
        <v>508786</v>
      </c>
      <c r="G59" s="16">
        <f t="shared" si="23"/>
        <v>9.3546063326985216</v>
      </c>
      <c r="H59" s="16">
        <f t="shared" si="24"/>
        <v>-0.6453936673014784</v>
      </c>
      <c r="I59" s="36" t="str">
        <f t="shared" si="25"/>
        <v>Rechazo</v>
      </c>
      <c r="J59" s="16">
        <f t="shared" si="26"/>
        <v>0.6453936673014784</v>
      </c>
    </row>
    <row r="60" spans="1:10" x14ac:dyDescent="0.25">
      <c r="A60" s="25">
        <v>8</v>
      </c>
      <c r="B60" s="17">
        <f>'CONTEO Pirámides'!D21+'CONTEO Pirámides'!D31+'CONTEO Pirámides'!D41+'CONTEO Pirámides'!D51+'CONTEO Pirámides'!D61+'CONTEO Pirámides'!D71</f>
        <v>58587</v>
      </c>
      <c r="C60" s="17">
        <f>'CONTEO Pirámides'!D31+'CONTEO Pirámides'!D41+'CONTEO Pirámides'!D51+'CONTEO Pirámides'!D61+'CONTEO Pirámides'!D71+'CONTEO Pirámides'!D81</f>
        <v>42864</v>
      </c>
      <c r="D60" s="17">
        <f t="shared" si="21"/>
        <v>527283</v>
      </c>
      <c r="E60" s="16">
        <f t="shared" si="22"/>
        <v>42864</v>
      </c>
      <c r="F60" s="17">
        <f t="shared" si="27"/>
        <v>570147</v>
      </c>
      <c r="G60" s="16">
        <f t="shared" si="23"/>
        <v>10.482797751449654</v>
      </c>
      <c r="H60" s="16">
        <f t="shared" si="24"/>
        <v>0.4827977514496542</v>
      </c>
      <c r="I60" s="36" t="str">
        <f t="shared" si="25"/>
        <v>Preferencia</v>
      </c>
      <c r="J60" s="16">
        <f t="shared" si="26"/>
        <v>0.4827977514496542</v>
      </c>
    </row>
    <row r="61" spans="1:10" x14ac:dyDescent="0.25">
      <c r="A61" s="25">
        <v>9</v>
      </c>
      <c r="B61" s="17">
        <f>'CONTEO Pirámides'!D22+'CONTEO Pirámides'!D32+'CONTEO Pirámides'!D42+'CONTEO Pirámides'!D52+'CONTEO Pirámides'!D62+'CONTEO Pirámides'!D72</f>
        <v>48984</v>
      </c>
      <c r="C61" s="17">
        <f>'CONTEO Pirámides'!D32+'CONTEO Pirámides'!D42+'CONTEO Pirámides'!D52+'CONTEO Pirámides'!D62+'CONTEO Pirámides'!D72+'CONTEO Pirámides'!D82</f>
        <v>34385</v>
      </c>
      <c r="D61" s="17">
        <f t="shared" si="21"/>
        <v>489840</v>
      </c>
      <c r="E61" s="16">
        <f t="shared" si="22"/>
        <v>0</v>
      </c>
      <c r="F61" s="17">
        <f t="shared" si="27"/>
        <v>489840</v>
      </c>
      <c r="G61" s="16">
        <f t="shared" si="23"/>
        <v>9.006262684132512</v>
      </c>
      <c r="H61" s="16">
        <f t="shared" si="24"/>
        <v>-0.99373731586748804</v>
      </c>
      <c r="I61" s="36" t="str">
        <f t="shared" si="25"/>
        <v>Rechazo</v>
      </c>
      <c r="J61" s="16">
        <f t="shared" si="26"/>
        <v>0.99373731586748804</v>
      </c>
    </row>
    <row r="62" spans="1:10" x14ac:dyDescent="0.25">
      <c r="E62" s="16" t="s">
        <v>107</v>
      </c>
      <c r="F62" s="22">
        <f>SUM(F52:F61)</f>
        <v>5438882</v>
      </c>
    </row>
  </sheetData>
  <mergeCells count="7">
    <mergeCell ref="B1:E1"/>
    <mergeCell ref="B2:C2"/>
    <mergeCell ref="D2:E2"/>
    <mergeCell ref="A7:B7"/>
    <mergeCell ref="A50:B50"/>
    <mergeCell ref="A35:B35"/>
    <mergeCell ref="A21:B21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2E9A-2D7F-4099-9AD2-21141A427B0B}">
  <dimension ref="B2:J49"/>
  <sheetViews>
    <sheetView topLeftCell="A27" zoomScale="80" zoomScaleNormal="80" workbookViewId="0">
      <selection activeCell="G50" sqref="G50"/>
    </sheetView>
  </sheetViews>
  <sheetFormatPr baseColWidth="10" defaultRowHeight="15" x14ac:dyDescent="0.25"/>
  <cols>
    <col min="2" max="2" width="14.28515625" customWidth="1"/>
  </cols>
  <sheetData>
    <row r="2" spans="2:10" x14ac:dyDescent="0.25">
      <c r="B2" s="189" t="s">
        <v>277</v>
      </c>
      <c r="C2" s="189"/>
    </row>
    <row r="3" spans="2:10" ht="18.75" x14ac:dyDescent="0.35">
      <c r="B3" s="40" t="s">
        <v>256</v>
      </c>
      <c r="C3" s="40" t="s">
        <v>279</v>
      </c>
      <c r="D3" s="40" t="s">
        <v>280</v>
      </c>
      <c r="E3" s="40" t="s">
        <v>281</v>
      </c>
      <c r="F3" s="40" t="s">
        <v>282</v>
      </c>
      <c r="G3" s="40" t="s">
        <v>283</v>
      </c>
      <c r="H3" s="40" t="s">
        <v>284</v>
      </c>
      <c r="I3" s="40" t="s">
        <v>275</v>
      </c>
      <c r="J3" s="40" t="s">
        <v>285</v>
      </c>
    </row>
    <row r="4" spans="2:10" x14ac:dyDescent="0.25">
      <c r="B4" s="74" t="s">
        <v>257</v>
      </c>
      <c r="C4" s="16">
        <f>'CENSO Pirámides'!Z4</f>
        <v>90972</v>
      </c>
      <c r="D4" s="16">
        <f>'CENSO Pirámides'!AA4</f>
        <v>87944</v>
      </c>
      <c r="E4" s="31"/>
      <c r="F4" s="31"/>
      <c r="G4" s="31"/>
      <c r="H4" s="31"/>
      <c r="I4" s="16">
        <f>(C4/D4)*100</f>
        <v>103.44310015464386</v>
      </c>
      <c r="J4" s="31"/>
    </row>
    <row r="5" spans="2:10" x14ac:dyDescent="0.25">
      <c r="B5" s="74" t="s">
        <v>258</v>
      </c>
      <c r="C5" s="16">
        <f>'CENSO Pirámides'!Z5</f>
        <v>93230</v>
      </c>
      <c r="D5" s="16">
        <f>'CENSO Pirámides'!AA5</f>
        <v>90311</v>
      </c>
      <c r="E5" s="16">
        <f>((2*(C5))/(C4+C6))*100</f>
        <v>101.65462723183862</v>
      </c>
      <c r="F5" s="16">
        <f>((2*(D5))/(D4+D6))*100</f>
        <v>101.4166278305886</v>
      </c>
      <c r="G5" s="16">
        <f>ABS(100-E5)</f>
        <v>1.6546272318386173</v>
      </c>
      <c r="H5" s="16">
        <f>ABS(100-F5)</f>
        <v>1.4166278305885953</v>
      </c>
      <c r="I5" s="16">
        <f t="shared" ref="I5:I21" si="0">(C5/D5)*100</f>
        <v>103.23216440965109</v>
      </c>
      <c r="J5" s="16">
        <f>ABS(I5-I4)</f>
        <v>0.21093574499276713</v>
      </c>
    </row>
    <row r="6" spans="2:10" x14ac:dyDescent="0.25">
      <c r="B6" s="74" t="s">
        <v>259</v>
      </c>
      <c r="C6" s="16">
        <f>'CENSO Pirámides'!Z6</f>
        <v>92453</v>
      </c>
      <c r="D6" s="16">
        <f>'CENSO Pirámides'!AA6</f>
        <v>90155</v>
      </c>
      <c r="E6" s="16">
        <f t="shared" ref="E6:F20" si="1">((2*(C6))/(C5+C7))*100</f>
        <v>99.3402602426209</v>
      </c>
      <c r="F6" s="16">
        <f t="shared" si="1"/>
        <v>97.650665049174648</v>
      </c>
      <c r="G6" s="16">
        <f t="shared" ref="G6:H20" si="2">ABS(100-E6)</f>
        <v>0.65973975737909996</v>
      </c>
      <c r="H6" s="16">
        <f t="shared" si="2"/>
        <v>2.3493349508253516</v>
      </c>
      <c r="I6" s="16">
        <f t="shared" si="0"/>
        <v>102.54894348621816</v>
      </c>
      <c r="J6" s="16">
        <f t="shared" ref="J6:J21" si="3">ABS(I6-I5)</f>
        <v>0.68322092343292695</v>
      </c>
    </row>
    <row r="7" spans="2:10" x14ac:dyDescent="0.25">
      <c r="B7" s="74" t="s">
        <v>260</v>
      </c>
      <c r="C7" s="16">
        <f>'CENSO Pirámides'!Z7</f>
        <v>92904</v>
      </c>
      <c r="D7" s="16">
        <f>'CENSO Pirámides'!AA7</f>
        <v>94337</v>
      </c>
      <c r="E7" s="16">
        <f t="shared" si="1"/>
        <v>107.29803083675003</v>
      </c>
      <c r="F7" s="16">
        <f t="shared" si="1"/>
        <v>106.02164555681676</v>
      </c>
      <c r="G7" s="16">
        <f t="shared" si="2"/>
        <v>7.2980308367500299</v>
      </c>
      <c r="H7" s="16">
        <f t="shared" si="2"/>
        <v>6.0216455568167646</v>
      </c>
      <c r="I7" s="16">
        <f t="shared" si="0"/>
        <v>98.48097777118204</v>
      </c>
      <c r="J7" s="16">
        <f t="shared" si="3"/>
        <v>4.0679657150361237</v>
      </c>
    </row>
    <row r="8" spans="2:10" x14ac:dyDescent="0.25">
      <c r="B8" s="74" t="s">
        <v>261</v>
      </c>
      <c r="C8" s="16">
        <f>'CENSO Pirámides'!Z8</f>
        <v>80717</v>
      </c>
      <c r="D8" s="16">
        <f>'CENSO Pirámides'!AA8</f>
        <v>87803</v>
      </c>
      <c r="E8" s="16">
        <f t="shared" si="1"/>
        <v>97.707918484938347</v>
      </c>
      <c r="F8" s="16">
        <f t="shared" si="1"/>
        <v>100.16313027606662</v>
      </c>
      <c r="G8" s="16">
        <f t="shared" si="2"/>
        <v>2.2920815150616534</v>
      </c>
      <c r="H8" s="16">
        <f t="shared" si="2"/>
        <v>0.16313027606662445</v>
      </c>
      <c r="I8" s="16">
        <f t="shared" si="0"/>
        <v>91.929660717743133</v>
      </c>
      <c r="J8" s="16">
        <f t="shared" si="3"/>
        <v>6.5513170534389076</v>
      </c>
    </row>
    <row r="9" spans="2:10" x14ac:dyDescent="0.25">
      <c r="B9" s="74" t="s">
        <v>262</v>
      </c>
      <c r="C9" s="16">
        <f>'CENSO Pirámides'!Z9</f>
        <v>72317</v>
      </c>
      <c r="D9" s="16">
        <f>'CENSO Pirámides'!AA9</f>
        <v>80983</v>
      </c>
      <c r="E9" s="16">
        <f t="shared" si="1"/>
        <v>97.201575289990458</v>
      </c>
      <c r="F9" s="16">
        <f t="shared" si="1"/>
        <v>98.226100878762338</v>
      </c>
      <c r="G9" s="16">
        <f t="shared" si="2"/>
        <v>2.7984247100095416</v>
      </c>
      <c r="H9" s="16">
        <f t="shared" si="2"/>
        <v>1.7738991212376618</v>
      </c>
      <c r="I9" s="16">
        <f t="shared" si="0"/>
        <v>89.298988676635844</v>
      </c>
      <c r="J9" s="16">
        <f t="shared" si="3"/>
        <v>2.6306720411072888</v>
      </c>
    </row>
    <row r="10" spans="2:10" x14ac:dyDescent="0.25">
      <c r="B10" s="74" t="s">
        <v>263</v>
      </c>
      <c r="C10" s="16">
        <f>'CENSO Pirámides'!Z10</f>
        <v>68081</v>
      </c>
      <c r="D10" s="16">
        <f>'CENSO Pirámides'!AA10</f>
        <v>77088</v>
      </c>
      <c r="E10" s="16">
        <f t="shared" si="1"/>
        <v>98.635952044623139</v>
      </c>
      <c r="F10" s="16">
        <f t="shared" si="1"/>
        <v>100.31426284866585</v>
      </c>
      <c r="G10" s="16">
        <f t="shared" si="2"/>
        <v>1.3640479553768614</v>
      </c>
      <c r="H10" s="16">
        <f t="shared" si="2"/>
        <v>0.31426284866584808</v>
      </c>
      <c r="I10" s="16">
        <f t="shared" si="0"/>
        <v>88.315950601909506</v>
      </c>
      <c r="J10" s="16">
        <f t="shared" si="3"/>
        <v>0.98303807472633764</v>
      </c>
    </row>
    <row r="11" spans="2:10" x14ac:dyDescent="0.25">
      <c r="B11" s="74" t="s">
        <v>264</v>
      </c>
      <c r="C11" s="16">
        <f>'CENSO Pirámides'!Z11</f>
        <v>65728</v>
      </c>
      <c r="D11" s="16">
        <f>'CENSO Pirámides'!AA11</f>
        <v>72710</v>
      </c>
      <c r="E11" s="16">
        <f t="shared" si="1"/>
        <v>107.88877581169365</v>
      </c>
      <c r="F11" s="16">
        <f t="shared" si="1"/>
        <v>105.68313953488374</v>
      </c>
      <c r="G11" s="16">
        <f t="shared" si="2"/>
        <v>7.8887758116936482</v>
      </c>
      <c r="H11" s="16">
        <f t="shared" si="2"/>
        <v>5.6831395348837361</v>
      </c>
      <c r="I11" s="16">
        <f t="shared" si="0"/>
        <v>90.397469398982253</v>
      </c>
      <c r="J11" s="16">
        <f t="shared" si="3"/>
        <v>2.0815187970727465</v>
      </c>
    </row>
    <row r="12" spans="2:10" x14ac:dyDescent="0.25">
      <c r="B12" s="74" t="s">
        <v>265</v>
      </c>
      <c r="C12" s="16">
        <f>'CENSO Pirámides'!Z12</f>
        <v>53763</v>
      </c>
      <c r="D12" s="16">
        <f>'CENSO Pirámides'!AA12</f>
        <v>60512</v>
      </c>
      <c r="E12" s="16">
        <f t="shared" si="1"/>
        <v>97.573502722323042</v>
      </c>
      <c r="F12" s="16">
        <f t="shared" si="1"/>
        <v>99.455159548678168</v>
      </c>
      <c r="G12" s="16">
        <f t="shared" si="2"/>
        <v>2.4264972776769582</v>
      </c>
      <c r="H12" s="16">
        <f t="shared" si="2"/>
        <v>0.54484045132183212</v>
      </c>
      <c r="I12" s="16">
        <f t="shared" si="0"/>
        <v>88.846840296139604</v>
      </c>
      <c r="J12" s="16">
        <f t="shared" si="3"/>
        <v>1.5506291028426489</v>
      </c>
    </row>
    <row r="13" spans="2:10" x14ac:dyDescent="0.25">
      <c r="B13" s="74" t="s">
        <v>266</v>
      </c>
      <c r="C13" s="16">
        <f>'CENSO Pirámides'!Z13</f>
        <v>44472</v>
      </c>
      <c r="D13" s="16">
        <f>'CENSO Pirámides'!AA13</f>
        <v>48977</v>
      </c>
      <c r="E13" s="16">
        <f t="shared" si="1"/>
        <v>98.399176909205565</v>
      </c>
      <c r="F13" s="16">
        <f t="shared" si="1"/>
        <v>97.220954006788816</v>
      </c>
      <c r="G13" s="16">
        <f t="shared" si="2"/>
        <v>1.6008230907944352</v>
      </c>
      <c r="H13" s="16">
        <f t="shared" si="2"/>
        <v>2.7790459932111844</v>
      </c>
      <c r="I13" s="16">
        <f t="shared" si="0"/>
        <v>90.801804928844149</v>
      </c>
      <c r="J13" s="16">
        <f t="shared" si="3"/>
        <v>1.9549646327045451</v>
      </c>
    </row>
    <row r="14" spans="2:10" x14ac:dyDescent="0.25">
      <c r="B14" s="74" t="s">
        <v>267</v>
      </c>
      <c r="C14" s="16">
        <f>'CENSO Pirámides'!Z14</f>
        <v>36628</v>
      </c>
      <c r="D14" s="16">
        <f>'CENSO Pirámides'!AA14</f>
        <v>40242</v>
      </c>
      <c r="E14" s="16">
        <f t="shared" si="1"/>
        <v>102.62243640031379</v>
      </c>
      <c r="F14" s="16">
        <f t="shared" si="1"/>
        <v>102.71974270289587</v>
      </c>
      <c r="G14" s="16">
        <f t="shared" si="2"/>
        <v>2.6224364003137879</v>
      </c>
      <c r="H14" s="16">
        <f t="shared" si="2"/>
        <v>2.7197427028958714</v>
      </c>
      <c r="I14" s="16">
        <f t="shared" si="0"/>
        <v>91.019333035137421</v>
      </c>
      <c r="J14" s="16">
        <f t="shared" si="3"/>
        <v>0.21752810629327257</v>
      </c>
    </row>
    <row r="15" spans="2:10" x14ac:dyDescent="0.25">
      <c r="B15" s="74" t="s">
        <v>268</v>
      </c>
      <c r="C15" s="16">
        <f>'CENSO Pirámides'!Z15</f>
        <v>26912</v>
      </c>
      <c r="D15" s="16">
        <f>'CENSO Pirámides'!AA15</f>
        <v>29376</v>
      </c>
      <c r="E15" s="16">
        <f t="shared" si="1"/>
        <v>94.864112235186298</v>
      </c>
      <c r="F15" s="16">
        <f t="shared" si="1"/>
        <v>93.075424171854948</v>
      </c>
      <c r="G15" s="16">
        <f t="shared" si="2"/>
        <v>5.1358877648137025</v>
      </c>
      <c r="H15" s="16">
        <f t="shared" si="2"/>
        <v>6.924575828145052</v>
      </c>
      <c r="I15" s="16">
        <f t="shared" si="0"/>
        <v>91.612200435729847</v>
      </c>
      <c r="J15" s="16">
        <f t="shared" si="3"/>
        <v>0.59286740059242504</v>
      </c>
    </row>
    <row r="16" spans="2:10" x14ac:dyDescent="0.25">
      <c r="B16" s="74" t="s">
        <v>269</v>
      </c>
      <c r="C16" s="16">
        <f>'CENSO Pirámides'!Z16</f>
        <v>20110</v>
      </c>
      <c r="D16" s="16">
        <f>'CENSO Pirámides'!AA16</f>
        <v>22881</v>
      </c>
      <c r="E16" s="16">
        <f t="shared" si="1"/>
        <v>96.522594734694849</v>
      </c>
      <c r="F16" s="16">
        <f t="shared" si="1"/>
        <v>99.092700461228645</v>
      </c>
      <c r="G16" s="16">
        <f t="shared" si="2"/>
        <v>3.4774052653051513</v>
      </c>
      <c r="H16" s="16">
        <f t="shared" si="2"/>
        <v>0.90729953877135472</v>
      </c>
      <c r="I16" s="16">
        <f t="shared" si="0"/>
        <v>87.889515318386429</v>
      </c>
      <c r="J16" s="16">
        <f t="shared" si="3"/>
        <v>3.722685117343417</v>
      </c>
    </row>
    <row r="17" spans="2:10" x14ac:dyDescent="0.25">
      <c r="B17" s="74" t="s">
        <v>270</v>
      </c>
      <c r="C17" s="16">
        <f>'CENSO Pirámides'!Z17</f>
        <v>14757</v>
      </c>
      <c r="D17" s="16">
        <f>'CENSO Pirámides'!AA17</f>
        <v>16805</v>
      </c>
      <c r="E17" s="16">
        <f t="shared" si="1"/>
        <v>93.603120738321024</v>
      </c>
      <c r="F17" s="16">
        <f t="shared" si="1"/>
        <v>92.945438455794914</v>
      </c>
      <c r="G17" s="16">
        <f t="shared" si="2"/>
        <v>6.3968792616789756</v>
      </c>
      <c r="H17" s="16">
        <f t="shared" si="2"/>
        <v>7.054561544205086</v>
      </c>
      <c r="I17" s="16">
        <f t="shared" si="0"/>
        <v>87.813150847961921</v>
      </c>
      <c r="J17" s="16">
        <f t="shared" si="3"/>
        <v>7.6364470424508113E-2</v>
      </c>
    </row>
    <row r="18" spans="2:10" x14ac:dyDescent="0.25">
      <c r="B18" s="74" t="s">
        <v>271</v>
      </c>
      <c r="C18" s="16">
        <f>'CENSO Pirámides'!Z18</f>
        <v>11421</v>
      </c>
      <c r="D18" s="16">
        <f>'CENSO Pirámides'!AA18</f>
        <v>13280</v>
      </c>
      <c r="E18" s="16">
        <f t="shared" si="1"/>
        <v>102.34329495049062</v>
      </c>
      <c r="F18" s="16">
        <f t="shared" si="1"/>
        <v>103.1977308932665</v>
      </c>
      <c r="G18" s="16">
        <f t="shared" si="2"/>
        <v>2.3432949504906162</v>
      </c>
      <c r="H18" s="16">
        <f t="shared" si="2"/>
        <v>3.1977308932664954</v>
      </c>
      <c r="I18" s="16">
        <f t="shared" si="0"/>
        <v>86.001506024096386</v>
      </c>
      <c r="J18" s="16">
        <f t="shared" si="3"/>
        <v>1.8116448238655352</v>
      </c>
    </row>
    <row r="19" spans="2:10" x14ac:dyDescent="0.25">
      <c r="B19" s="74" t="s">
        <v>272</v>
      </c>
      <c r="C19" s="16">
        <f>'CENSO Pirámides'!Z19</f>
        <v>7562</v>
      </c>
      <c r="D19" s="16">
        <f>'CENSO Pirámides'!AA19</f>
        <v>8932</v>
      </c>
      <c r="E19" s="16">
        <f t="shared" si="1"/>
        <v>94.160129498194493</v>
      </c>
      <c r="F19" s="16">
        <f t="shared" si="1"/>
        <v>92.087220990772721</v>
      </c>
      <c r="G19" s="16">
        <f t="shared" si="2"/>
        <v>5.8398705018055068</v>
      </c>
      <c r="H19" s="16">
        <f t="shared" si="2"/>
        <v>7.9127790092272789</v>
      </c>
      <c r="I19" s="16">
        <f t="shared" si="0"/>
        <v>84.661889834303622</v>
      </c>
      <c r="J19" s="16">
        <f t="shared" si="3"/>
        <v>1.3396161897927641</v>
      </c>
    </row>
    <row r="20" spans="2:10" x14ac:dyDescent="0.25">
      <c r="B20" s="74" t="s">
        <v>273</v>
      </c>
      <c r="C20" s="16">
        <f>'CENSO Pirámides'!Z20</f>
        <v>4641</v>
      </c>
      <c r="D20" s="16">
        <f>'CENSO Pirámides'!AA20</f>
        <v>6119</v>
      </c>
      <c r="E20" s="16">
        <f t="shared" si="1"/>
        <v>80.017241379310349</v>
      </c>
      <c r="F20" s="16">
        <f t="shared" si="1"/>
        <v>82.87397575675493</v>
      </c>
      <c r="G20" s="16">
        <f t="shared" si="2"/>
        <v>19.982758620689651</v>
      </c>
      <c r="H20" s="16">
        <f t="shared" si="2"/>
        <v>17.12602424324507</v>
      </c>
      <c r="I20" s="16">
        <f t="shared" si="0"/>
        <v>75.845726425886582</v>
      </c>
      <c r="J20" s="16">
        <f t="shared" si="3"/>
        <v>8.8161634084170402</v>
      </c>
    </row>
    <row r="21" spans="2:10" x14ac:dyDescent="0.25">
      <c r="B21" s="74" t="s">
        <v>274</v>
      </c>
      <c r="C21" s="16">
        <f>'CENSO Pirámides'!Z21</f>
        <v>4038</v>
      </c>
      <c r="D21" s="16">
        <f>'CENSO Pirámides'!AA21</f>
        <v>5835</v>
      </c>
      <c r="E21" s="31"/>
      <c r="F21" s="31"/>
      <c r="G21" s="31"/>
      <c r="H21" s="31"/>
      <c r="I21" s="16">
        <f t="shared" si="0"/>
        <v>69.203084832904878</v>
      </c>
      <c r="J21" s="16">
        <f t="shared" si="3"/>
        <v>6.642641592981704</v>
      </c>
    </row>
    <row r="22" spans="2:10" x14ac:dyDescent="0.25">
      <c r="F22" s="16" t="s">
        <v>107</v>
      </c>
      <c r="G22" s="21">
        <f>SUM(G5:G21)</f>
        <v>73.781580951678237</v>
      </c>
      <c r="H22" s="21">
        <f>SUM(H5:H21)</f>
        <v>66.888640323373806</v>
      </c>
      <c r="J22" s="21">
        <f>SUM(J5:J21)</f>
        <v>43.933773195064958</v>
      </c>
    </row>
    <row r="24" spans="2:10" x14ac:dyDescent="0.25">
      <c r="F24" s="75" t="s">
        <v>276</v>
      </c>
      <c r="G24" s="30">
        <f>(G22/16)+(H22/16)+(3*(J22)/16)</f>
        <v>17.029471303765433</v>
      </c>
    </row>
    <row r="25" spans="2:10" x14ac:dyDescent="0.25">
      <c r="F25" s="75" t="s">
        <v>286</v>
      </c>
      <c r="G25" s="30" t="s">
        <v>287</v>
      </c>
    </row>
    <row r="26" spans="2:10" x14ac:dyDescent="0.25">
      <c r="B26" s="190" t="s">
        <v>278</v>
      </c>
      <c r="C26" s="190"/>
    </row>
    <row r="27" spans="2:10" ht="18.75" x14ac:dyDescent="0.35">
      <c r="B27" s="41" t="s">
        <v>256</v>
      </c>
      <c r="C27" s="41" t="s">
        <v>279</v>
      </c>
      <c r="D27" s="41" t="s">
        <v>280</v>
      </c>
      <c r="E27" s="41" t="s">
        <v>281</v>
      </c>
      <c r="F27" s="41" t="s">
        <v>282</v>
      </c>
      <c r="G27" s="41" t="s">
        <v>283</v>
      </c>
      <c r="H27" s="41" t="s">
        <v>284</v>
      </c>
      <c r="I27" s="41" t="s">
        <v>275</v>
      </c>
      <c r="J27" s="41" t="s">
        <v>285</v>
      </c>
    </row>
    <row r="28" spans="2:10" x14ac:dyDescent="0.25">
      <c r="B28" s="73" t="s">
        <v>257</v>
      </c>
      <c r="C28" s="16">
        <f>'CONTEO Pirámides'!Z3</f>
        <v>82781</v>
      </c>
      <c r="D28" s="16">
        <f>'CONTEO Pirámides'!AA3</f>
        <v>80060</v>
      </c>
      <c r="E28" s="31"/>
      <c r="F28" s="31"/>
      <c r="G28" s="31"/>
      <c r="H28" s="31"/>
      <c r="I28" s="16">
        <f>(C28/D28)*100</f>
        <v>103.3987009742693</v>
      </c>
      <c r="J28" s="31"/>
    </row>
    <row r="29" spans="2:10" x14ac:dyDescent="0.25">
      <c r="B29" s="73" t="s">
        <v>258</v>
      </c>
      <c r="C29" s="16">
        <f>'CONTEO Pirámides'!Z4</f>
        <v>85804</v>
      </c>
      <c r="D29" s="16">
        <f>'CONTEO Pirámides'!AA4</f>
        <v>83096</v>
      </c>
      <c r="E29" s="16">
        <f>((2*(C29))/(C28+C30))*100</f>
        <v>99.381500613866436</v>
      </c>
      <c r="F29" s="16">
        <f>((2*(D29))/(D28+D30))*100</f>
        <v>98.481813764414468</v>
      </c>
      <c r="G29" s="16">
        <f>ABS(100-E29)</f>
        <v>0.61849938613356414</v>
      </c>
      <c r="H29" s="16">
        <f>ABS(100-F29)</f>
        <v>1.5181862355855316</v>
      </c>
      <c r="I29" s="16">
        <f t="shared" ref="I29:I45" si="4">(C29/D29)*100</f>
        <v>103.25888129392511</v>
      </c>
      <c r="J29" s="16">
        <f>ABS(I29-I28)</f>
        <v>0.13981968034418912</v>
      </c>
    </row>
    <row r="30" spans="2:10" x14ac:dyDescent="0.25">
      <c r="B30" s="73" t="s">
        <v>259</v>
      </c>
      <c r="C30" s="16">
        <f>'CONTEO Pirámides'!Z5</f>
        <v>89895</v>
      </c>
      <c r="D30" s="16">
        <f>'CONTEO Pirámides'!AA5</f>
        <v>88694</v>
      </c>
      <c r="E30" s="16">
        <f t="shared" ref="E30:E44" si="5">((2*(C30))/(C29+C31))*100</f>
        <v>109.06212276540634</v>
      </c>
      <c r="F30" s="16">
        <f t="shared" ref="F30:F44" si="6">((2*(D30))/(D29+D31))*100</f>
        <v>106.481781619545</v>
      </c>
      <c r="G30" s="16">
        <f t="shared" ref="G30:G44" si="7">ABS(100-E30)</f>
        <v>9.0621227654063432</v>
      </c>
      <c r="H30" s="16">
        <f t="shared" ref="H30:H44" si="8">ABS(100-F30)</f>
        <v>6.4817816195450035</v>
      </c>
      <c r="I30" s="16">
        <f t="shared" si="4"/>
        <v>101.35409385076781</v>
      </c>
      <c r="J30" s="16">
        <f t="shared" ref="J30:J45" si="9">ABS(I30-I29)</f>
        <v>1.9047874431573035</v>
      </c>
    </row>
    <row r="31" spans="2:10" x14ac:dyDescent="0.25">
      <c r="B31" s="73" t="s">
        <v>260</v>
      </c>
      <c r="C31" s="16">
        <f>'CONTEO Pirámides'!Z6</f>
        <v>79047</v>
      </c>
      <c r="D31" s="16">
        <f>'CONTEO Pirámides'!AA6</f>
        <v>83494</v>
      </c>
      <c r="E31" s="16">
        <f t="shared" si="5"/>
        <v>100.11779010563113</v>
      </c>
      <c r="F31" s="16">
        <f t="shared" si="6"/>
        <v>99.757458451318442</v>
      </c>
      <c r="G31" s="16">
        <f t="shared" si="7"/>
        <v>0.1177901056311299</v>
      </c>
      <c r="H31" s="16">
        <f t="shared" si="8"/>
        <v>0.24254154868155808</v>
      </c>
      <c r="I31" s="16">
        <f t="shared" si="4"/>
        <v>94.673868780990261</v>
      </c>
      <c r="J31" s="16">
        <f t="shared" si="9"/>
        <v>6.6802250697775492</v>
      </c>
    </row>
    <row r="32" spans="2:10" x14ac:dyDescent="0.25">
      <c r="B32" s="73" t="s">
        <v>261</v>
      </c>
      <c r="C32" s="16">
        <f>'CONTEO Pirámides'!Z7</f>
        <v>68013</v>
      </c>
      <c r="D32" s="16">
        <f>'CONTEO Pirámides'!AA7</f>
        <v>78700</v>
      </c>
      <c r="E32" s="16">
        <f t="shared" si="5"/>
        <v>97.81258089567693</v>
      </c>
      <c r="F32" s="16">
        <f t="shared" si="6"/>
        <v>102.22571489806653</v>
      </c>
      <c r="G32" s="16">
        <f t="shared" si="7"/>
        <v>2.1874191043230695</v>
      </c>
      <c r="H32" s="16">
        <f t="shared" si="8"/>
        <v>2.2257148980665278</v>
      </c>
      <c r="I32" s="16">
        <f t="shared" si="4"/>
        <v>86.42058449809403</v>
      </c>
      <c r="J32" s="16">
        <f t="shared" si="9"/>
        <v>8.2532842828962316</v>
      </c>
    </row>
    <row r="33" spans="2:10" x14ac:dyDescent="0.25">
      <c r="B33" s="73" t="s">
        <v>262</v>
      </c>
      <c r="C33" s="16">
        <f>'CONTEO Pirámides'!Z8</f>
        <v>60021</v>
      </c>
      <c r="D33" s="16">
        <f>'CONTEO Pirámides'!AA8</f>
        <v>70479</v>
      </c>
      <c r="E33" s="16">
        <f t="shared" si="5"/>
        <v>94.42534748169183</v>
      </c>
      <c r="F33" s="16">
        <f t="shared" si="6"/>
        <v>96.532029420224347</v>
      </c>
      <c r="G33" s="16">
        <f t="shared" si="7"/>
        <v>5.5746525183081701</v>
      </c>
      <c r="H33" s="16">
        <f t="shared" si="8"/>
        <v>3.4679705797756526</v>
      </c>
      <c r="I33" s="16">
        <f t="shared" si="4"/>
        <v>85.161537479249134</v>
      </c>
      <c r="J33" s="16">
        <f t="shared" si="9"/>
        <v>1.2590470188448961</v>
      </c>
    </row>
    <row r="34" spans="2:10" x14ac:dyDescent="0.25">
      <c r="B34" s="73" t="s">
        <v>263</v>
      </c>
      <c r="C34" s="16">
        <f>'CONTEO Pirámides'!Z9</f>
        <v>59116</v>
      </c>
      <c r="D34" s="16">
        <f>'CONTEO Pirámides'!AA9</f>
        <v>67322</v>
      </c>
      <c r="E34" s="16">
        <f t="shared" si="5"/>
        <v>106.07952914154464</v>
      </c>
      <c r="F34" s="16">
        <f t="shared" si="6"/>
        <v>104.59167424048223</v>
      </c>
      <c r="G34" s="16">
        <f t="shared" si="7"/>
        <v>6.07952914154464</v>
      </c>
      <c r="H34" s="16">
        <f t="shared" si="8"/>
        <v>4.5916742404822344</v>
      </c>
      <c r="I34" s="16">
        <f t="shared" si="4"/>
        <v>87.810819642910189</v>
      </c>
      <c r="J34" s="16">
        <f t="shared" si="9"/>
        <v>2.6492821636610557</v>
      </c>
    </row>
    <row r="35" spans="2:10" x14ac:dyDescent="0.25">
      <c r="B35" s="73" t="s">
        <v>264</v>
      </c>
      <c r="C35" s="16">
        <f>'CONTEO Pirámides'!Z10</f>
        <v>51435</v>
      </c>
      <c r="D35" s="16">
        <f>'CONTEO Pirámides'!AA10</f>
        <v>58254</v>
      </c>
      <c r="E35" s="16">
        <f t="shared" si="5"/>
        <v>100.00680516803904</v>
      </c>
      <c r="F35" s="16">
        <f t="shared" si="6"/>
        <v>101.17845264044603</v>
      </c>
      <c r="G35" s="16">
        <f t="shared" si="7"/>
        <v>6.8051680390368574E-3</v>
      </c>
      <c r="H35" s="16">
        <f t="shared" si="8"/>
        <v>1.1784526404460252</v>
      </c>
      <c r="I35" s="16">
        <f t="shared" si="4"/>
        <v>88.294366052116587</v>
      </c>
      <c r="J35" s="16">
        <f t="shared" si="9"/>
        <v>0.48354640920639724</v>
      </c>
    </row>
    <row r="36" spans="2:10" x14ac:dyDescent="0.25">
      <c r="B36" s="73" t="s">
        <v>265</v>
      </c>
      <c r="C36" s="16">
        <f>'CONTEO Pirámides'!Z11</f>
        <v>43747</v>
      </c>
      <c r="D36" s="16">
        <f>'CONTEO Pirámides'!AA11</f>
        <v>47829</v>
      </c>
      <c r="E36" s="16">
        <f t="shared" si="5"/>
        <v>101.06384207547387</v>
      </c>
      <c r="F36" s="16">
        <f t="shared" si="6"/>
        <v>99.277663615418149</v>
      </c>
      <c r="G36" s="16">
        <f t="shared" si="7"/>
        <v>1.0638420754738718</v>
      </c>
      <c r="H36" s="16">
        <f t="shared" si="8"/>
        <v>0.72233638458185112</v>
      </c>
      <c r="I36" s="16">
        <f t="shared" si="4"/>
        <v>91.46542892387464</v>
      </c>
      <c r="J36" s="16">
        <f t="shared" si="9"/>
        <v>3.1710628717580533</v>
      </c>
    </row>
    <row r="37" spans="2:10" x14ac:dyDescent="0.25">
      <c r="B37" s="73" t="s">
        <v>266</v>
      </c>
      <c r="C37" s="16">
        <f>'CONTEO Pirámides'!Z12</f>
        <v>35138</v>
      </c>
      <c r="D37" s="16">
        <f>'CONTEO Pirámides'!AA12</f>
        <v>38100</v>
      </c>
      <c r="E37" s="16">
        <f t="shared" si="5"/>
        <v>98.594236650860012</v>
      </c>
      <c r="F37" s="16">
        <f t="shared" si="6"/>
        <v>98.415281490952765</v>
      </c>
      <c r="G37" s="16">
        <f t="shared" si="7"/>
        <v>1.4057633491399883</v>
      </c>
      <c r="H37" s="16">
        <f t="shared" si="8"/>
        <v>1.5847185090472351</v>
      </c>
      <c r="I37" s="16">
        <f t="shared" si="4"/>
        <v>92.225721784776908</v>
      </c>
      <c r="J37" s="16">
        <f t="shared" si="9"/>
        <v>0.76029286090226833</v>
      </c>
    </row>
    <row r="38" spans="2:10" x14ac:dyDescent="0.25">
      <c r="B38" s="73" t="s">
        <v>267</v>
      </c>
      <c r="C38" s="16">
        <f>'CONTEO Pirámides'!Z13</f>
        <v>27531</v>
      </c>
      <c r="D38" s="16">
        <f>'CONTEO Pirámides'!AA13</f>
        <v>29598</v>
      </c>
      <c r="E38" s="16">
        <f t="shared" si="5"/>
        <v>100.59191055573824</v>
      </c>
      <c r="F38" s="16">
        <f t="shared" si="6"/>
        <v>100.12685847668341</v>
      </c>
      <c r="G38" s="16">
        <f t="shared" si="7"/>
        <v>0.59191055573823803</v>
      </c>
      <c r="H38" s="16">
        <f t="shared" si="8"/>
        <v>0.12685847668340955</v>
      </c>
      <c r="I38" s="16">
        <f t="shared" si="4"/>
        <v>93.016420028380296</v>
      </c>
      <c r="J38" s="16">
        <f t="shared" si="9"/>
        <v>0.79069824360338714</v>
      </c>
    </row>
    <row r="39" spans="2:10" x14ac:dyDescent="0.25">
      <c r="B39" s="73" t="s">
        <v>268</v>
      </c>
      <c r="C39" s="16">
        <f>'CONTEO Pirámides'!Z14</f>
        <v>19600</v>
      </c>
      <c r="D39" s="16">
        <f>'CONTEO Pirámides'!AA14</f>
        <v>21021</v>
      </c>
      <c r="E39" s="16">
        <f t="shared" si="5"/>
        <v>90.453884671297047</v>
      </c>
      <c r="F39" s="16">
        <f t="shared" si="6"/>
        <v>88.539297447561282</v>
      </c>
      <c r="G39" s="16">
        <f t="shared" si="7"/>
        <v>9.5461153287029532</v>
      </c>
      <c r="H39" s="16">
        <f t="shared" si="8"/>
        <v>11.460702552438718</v>
      </c>
      <c r="I39" s="16">
        <f t="shared" si="4"/>
        <v>93.240093240093231</v>
      </c>
      <c r="J39" s="16">
        <f t="shared" si="9"/>
        <v>0.22367321171293497</v>
      </c>
    </row>
    <row r="40" spans="2:10" x14ac:dyDescent="0.25">
      <c r="B40" s="73" t="s">
        <v>269</v>
      </c>
      <c r="C40" s="16">
        <f>'CONTEO Pirámides'!Z15</f>
        <v>15806</v>
      </c>
      <c r="D40" s="16">
        <f>'CONTEO Pirámides'!AA15</f>
        <v>17886</v>
      </c>
      <c r="E40" s="16">
        <f t="shared" si="5"/>
        <v>101.47011619695705</v>
      </c>
      <c r="F40" s="16">
        <f t="shared" si="6"/>
        <v>105.25200812075207</v>
      </c>
      <c r="G40" s="16">
        <f t="shared" si="7"/>
        <v>1.4701161969570506</v>
      </c>
      <c r="H40" s="16">
        <f t="shared" si="8"/>
        <v>5.2520081207520661</v>
      </c>
      <c r="I40" s="16">
        <f t="shared" si="4"/>
        <v>88.370792798837087</v>
      </c>
      <c r="J40" s="16">
        <f t="shared" si="9"/>
        <v>4.8693004412561436</v>
      </c>
    </row>
    <row r="41" spans="2:10" x14ac:dyDescent="0.25">
      <c r="B41" s="73" t="s">
        <v>270</v>
      </c>
      <c r="C41" s="16">
        <f>'CONTEO Pirámides'!Z16</f>
        <v>11554</v>
      </c>
      <c r="D41" s="16">
        <f>'CONTEO Pirámides'!AA16</f>
        <v>12966</v>
      </c>
      <c r="E41" s="16">
        <f t="shared" si="5"/>
        <v>94.883797322821721</v>
      </c>
      <c r="F41" s="16">
        <f t="shared" si="6"/>
        <v>93.854505971769825</v>
      </c>
      <c r="G41" s="16">
        <f t="shared" si="7"/>
        <v>5.1162026771782791</v>
      </c>
      <c r="H41" s="16">
        <f t="shared" si="8"/>
        <v>6.1454940282301749</v>
      </c>
      <c r="I41" s="16">
        <f t="shared" si="4"/>
        <v>89.109979947555146</v>
      </c>
      <c r="J41" s="16">
        <f t="shared" si="9"/>
        <v>0.73918714871805946</v>
      </c>
    </row>
    <row r="42" spans="2:10" x14ac:dyDescent="0.25">
      <c r="B42" s="73" t="s">
        <v>271</v>
      </c>
      <c r="C42" s="16">
        <f>'CONTEO Pirámides'!Z17</f>
        <v>8548</v>
      </c>
      <c r="D42" s="16">
        <f>'CONTEO Pirámides'!AA17</f>
        <v>9744</v>
      </c>
      <c r="E42" s="16">
        <f t="shared" si="5"/>
        <v>97.075691329282833</v>
      </c>
      <c r="F42" s="16">
        <f t="shared" si="6"/>
        <v>97.075965130759656</v>
      </c>
      <c r="G42" s="16">
        <f t="shared" si="7"/>
        <v>2.924308670717167</v>
      </c>
      <c r="H42" s="16">
        <f t="shared" si="8"/>
        <v>2.9240348692403444</v>
      </c>
      <c r="I42" s="16">
        <f t="shared" si="4"/>
        <v>87.725779967159284</v>
      </c>
      <c r="J42" s="16">
        <f t="shared" si="9"/>
        <v>1.3841999803958629</v>
      </c>
    </row>
    <row r="43" spans="2:10" x14ac:dyDescent="0.25">
      <c r="B43" s="73" t="s">
        <v>272</v>
      </c>
      <c r="C43" s="16">
        <f>'CONTEO Pirámides'!Z18</f>
        <v>6057</v>
      </c>
      <c r="D43" s="16">
        <f>'CONTEO Pirámides'!AA18</f>
        <v>7109</v>
      </c>
      <c r="E43" s="16">
        <f t="shared" si="5"/>
        <v>98.592007813135837</v>
      </c>
      <c r="F43" s="16">
        <f t="shared" si="6"/>
        <v>98.928472028945166</v>
      </c>
      <c r="G43" s="16">
        <f t="shared" si="7"/>
        <v>1.4079921868641634</v>
      </c>
      <c r="H43" s="16">
        <f t="shared" si="8"/>
        <v>1.0715279710548344</v>
      </c>
      <c r="I43" s="16">
        <f t="shared" si="4"/>
        <v>85.201856801237867</v>
      </c>
      <c r="J43" s="16">
        <f t="shared" si="9"/>
        <v>2.523923165921417</v>
      </c>
    </row>
    <row r="44" spans="2:10" x14ac:dyDescent="0.25">
      <c r="B44" s="73" t="s">
        <v>273</v>
      </c>
      <c r="C44" s="16">
        <f>'CONTEO Pirámides'!Z19</f>
        <v>3739</v>
      </c>
      <c r="D44" s="16">
        <f>'CONTEO Pirámides'!AA19</f>
        <v>4628</v>
      </c>
      <c r="E44" s="16">
        <f t="shared" si="5"/>
        <v>83.74958002015903</v>
      </c>
      <c r="F44" s="16">
        <f t="shared" si="6"/>
        <v>80.937390696047572</v>
      </c>
      <c r="G44" s="16">
        <f t="shared" si="7"/>
        <v>16.25041997984097</v>
      </c>
      <c r="H44" s="16">
        <f t="shared" si="8"/>
        <v>19.062609303952428</v>
      </c>
      <c r="I44" s="16">
        <f t="shared" si="4"/>
        <v>80.790838375108038</v>
      </c>
      <c r="J44" s="16">
        <f t="shared" si="9"/>
        <v>4.4110184261298286</v>
      </c>
    </row>
    <row r="45" spans="2:10" x14ac:dyDescent="0.25">
      <c r="B45" s="73" t="s">
        <v>274</v>
      </c>
      <c r="C45" s="16">
        <f>'CONTEO Pirámides'!Z20</f>
        <v>2872</v>
      </c>
      <c r="D45" s="16">
        <f>'CONTEO Pirámides'!AA20</f>
        <v>4327</v>
      </c>
      <c r="E45" s="31"/>
      <c r="F45" s="31"/>
      <c r="G45" s="31"/>
      <c r="H45" s="31"/>
      <c r="I45" s="16">
        <f t="shared" si="4"/>
        <v>66.373931130113235</v>
      </c>
      <c r="J45" s="16">
        <f t="shared" si="9"/>
        <v>14.416907244994803</v>
      </c>
    </row>
    <row r="46" spans="2:10" x14ac:dyDescent="0.25">
      <c r="F46" s="16" t="s">
        <v>107</v>
      </c>
      <c r="G46" s="21">
        <f>SUM(G29:G45)</f>
        <v>63.423489209998635</v>
      </c>
      <c r="H46" s="21">
        <f>SUM(H29:H45)</f>
        <v>68.056611978563595</v>
      </c>
      <c r="J46" s="21">
        <f>SUM(J29:J45)</f>
        <v>54.660255663280381</v>
      </c>
    </row>
    <row r="48" spans="2:10" x14ac:dyDescent="0.25">
      <c r="F48" s="75" t="s">
        <v>276</v>
      </c>
      <c r="G48" s="29">
        <f>(G46/16)+(H46/16)+(3*(J46)/16)</f>
        <v>18.46630426115021</v>
      </c>
    </row>
    <row r="49" spans="6:7" x14ac:dyDescent="0.25">
      <c r="F49" s="75" t="s">
        <v>286</v>
      </c>
      <c r="G49" s="30" t="s">
        <v>287</v>
      </c>
    </row>
  </sheetData>
  <mergeCells count="2">
    <mergeCell ref="B2:C2"/>
    <mergeCell ref="B26:C26"/>
  </mergeCells>
  <phoneticPr fontId="4" type="noConversion"/>
  <pageMargins left="0.7" right="0.7" top="0.75" bottom="0.75" header="0.3" footer="0.3"/>
  <pageSetup orientation="portrait" horizontalDpi="0" verticalDpi="0" r:id="rId1"/>
  <ignoredErrors>
    <ignoredError sqref="B6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96F4-2C99-42C2-8D13-C30AE66F7B81}">
  <dimension ref="B5:U31"/>
  <sheetViews>
    <sheetView topLeftCell="B4" zoomScale="80" zoomScaleNormal="80" workbookViewId="0">
      <selection activeCell="E12" sqref="E12"/>
    </sheetView>
  </sheetViews>
  <sheetFormatPr baseColWidth="10" defaultRowHeight="15" x14ac:dyDescent="0.25"/>
  <cols>
    <col min="2" max="2" width="15.7109375" style="42" customWidth="1"/>
    <col min="4" max="4" width="13.7109375" customWidth="1"/>
    <col min="7" max="7" width="16" customWidth="1"/>
    <col min="13" max="13" width="15.7109375" customWidth="1"/>
    <col min="18" max="18" width="15.5703125" customWidth="1"/>
  </cols>
  <sheetData>
    <row r="5" spans="2:21" x14ac:dyDescent="0.25">
      <c r="B5" s="196" t="s">
        <v>295</v>
      </c>
      <c r="C5" s="196"/>
      <c r="G5" s="197" t="s">
        <v>255</v>
      </c>
      <c r="H5" s="197"/>
      <c r="M5" s="191" t="s">
        <v>254</v>
      </c>
      <c r="N5" s="191"/>
      <c r="R5" s="191" t="s">
        <v>253</v>
      </c>
      <c r="S5" s="191"/>
    </row>
    <row r="6" spans="2:21" x14ac:dyDescent="0.25">
      <c r="B6" s="194" t="s">
        <v>294</v>
      </c>
      <c r="C6" s="195"/>
      <c r="D6" s="48">
        <f>((C27/(C29-C27))+1)</f>
        <v>1.0073600043601383</v>
      </c>
      <c r="G6" s="192" t="s">
        <v>294</v>
      </c>
      <c r="H6" s="193"/>
      <c r="I6" s="48">
        <f>(H27/(H29-H27))+1</f>
        <v>1.006913271040041</v>
      </c>
      <c r="M6" s="192" t="s">
        <v>294</v>
      </c>
      <c r="N6" s="193"/>
      <c r="O6" s="48">
        <f>(N27/(N29-N27))+1</f>
        <v>1.0293790894946611</v>
      </c>
      <c r="R6" s="192" t="s">
        <v>294</v>
      </c>
      <c r="S6" s="193"/>
      <c r="T6" s="48">
        <f>(S27/(S29-S27))+1</f>
        <v>1.0274776642055901</v>
      </c>
    </row>
    <row r="7" spans="2:21" x14ac:dyDescent="0.25">
      <c r="C7" s="50"/>
      <c r="D7" s="49"/>
      <c r="E7" s="51"/>
    </row>
    <row r="8" spans="2:21" x14ac:dyDescent="0.25">
      <c r="B8" s="43" t="s">
        <v>239</v>
      </c>
      <c r="C8" s="52" t="s">
        <v>293</v>
      </c>
      <c r="D8" s="53"/>
      <c r="E8" s="47"/>
      <c r="G8" s="43" t="s">
        <v>239</v>
      </c>
      <c r="H8" s="39" t="s">
        <v>293</v>
      </c>
      <c r="I8" s="47"/>
      <c r="J8" s="47"/>
      <c r="M8" s="54" t="s">
        <v>239</v>
      </c>
      <c r="N8" s="38" t="s">
        <v>293</v>
      </c>
      <c r="O8" s="56"/>
      <c r="P8" s="56"/>
      <c r="R8" s="54" t="s">
        <v>239</v>
      </c>
      <c r="S8" s="38" t="s">
        <v>293</v>
      </c>
      <c r="T8" s="56"/>
      <c r="U8" s="56"/>
    </row>
    <row r="9" spans="2:21" x14ac:dyDescent="0.25">
      <c r="B9" s="43" t="s">
        <v>291</v>
      </c>
      <c r="C9" s="16">
        <f>'CENSO Pirámides'!Z4</f>
        <v>90972</v>
      </c>
      <c r="D9" s="16">
        <f>ROUND(C9*$D$6,0)</f>
        <v>91642</v>
      </c>
      <c r="E9" s="36">
        <f>D9</f>
        <v>91642</v>
      </c>
      <c r="G9" s="43" t="s">
        <v>291</v>
      </c>
      <c r="H9" s="16">
        <f>'CENSO Pirámides'!AA4</f>
        <v>87944</v>
      </c>
      <c r="I9" s="16">
        <f>ROUND(H9*$I$6, 0)</f>
        <v>88552</v>
      </c>
      <c r="J9" s="16">
        <f>I9</f>
        <v>88552</v>
      </c>
      <c r="M9" s="54" t="s">
        <v>291</v>
      </c>
      <c r="N9" s="16">
        <f>'CONTEO Pirámides'!Z3</f>
        <v>82781</v>
      </c>
      <c r="O9" s="16">
        <f>ROUND(N9*$O$6,0)</f>
        <v>85213</v>
      </c>
      <c r="P9" s="16">
        <f>O9</f>
        <v>85213</v>
      </c>
      <c r="R9" s="54" t="s">
        <v>291</v>
      </c>
      <c r="S9" s="16">
        <f>'CONTEO Pirámides'!AA3</f>
        <v>80060</v>
      </c>
      <c r="T9" s="16">
        <f>ROUND(S9*$T$6,0)</f>
        <v>82260</v>
      </c>
      <c r="U9" s="16">
        <f>T9</f>
        <v>82260</v>
      </c>
    </row>
    <row r="10" spans="2:21" x14ac:dyDescent="0.25">
      <c r="B10" s="43" t="s">
        <v>292</v>
      </c>
      <c r="C10" s="16">
        <f>'CENSO Pirámides'!Z5</f>
        <v>93230</v>
      </c>
      <c r="D10" s="45">
        <v>93915</v>
      </c>
      <c r="E10" s="46">
        <f>D10</f>
        <v>93915</v>
      </c>
      <c r="G10" s="43" t="s">
        <v>292</v>
      </c>
      <c r="H10" s="16">
        <f>'CENSO Pirámides'!AA5</f>
        <v>90311</v>
      </c>
      <c r="I10" s="16">
        <f t="shared" ref="I10:I26" si="0">ROUND(H10*$I$6, 0)</f>
        <v>90935</v>
      </c>
      <c r="J10" s="16">
        <f>I10</f>
        <v>90935</v>
      </c>
      <c r="M10" s="54" t="s">
        <v>292</v>
      </c>
      <c r="N10" s="16">
        <f>'CONTEO Pirámides'!Z4</f>
        <v>85804</v>
      </c>
      <c r="O10" s="16">
        <f t="shared" ref="O10:O25" si="1">ROUND(N10*$O$6,0)</f>
        <v>88325</v>
      </c>
      <c r="P10" s="16">
        <f>O10</f>
        <v>88325</v>
      </c>
      <c r="R10" s="54" t="s">
        <v>292</v>
      </c>
      <c r="S10" s="16">
        <f>'CONTEO Pirámides'!AA4</f>
        <v>83096</v>
      </c>
      <c r="T10" s="16">
        <f t="shared" ref="T10:T26" si="2">ROUND(S10*$T$6,0)</f>
        <v>85379</v>
      </c>
      <c r="U10" s="16">
        <f>T10</f>
        <v>85379</v>
      </c>
    </row>
    <row r="11" spans="2:21" x14ac:dyDescent="0.25">
      <c r="B11" s="43" t="s">
        <v>259</v>
      </c>
      <c r="C11" s="16">
        <f>'CENSO Pirámides'!Z6</f>
        <v>92453</v>
      </c>
      <c r="D11" s="16">
        <f>ROUND(C11*$D$6,0)</f>
        <v>93133</v>
      </c>
      <c r="E11" s="16">
        <f>ROUND((1/16)*(-1*D9 + 4*D10 +10*D11 + 4*D12+ (-1)*D13),0)</f>
        <v>94274</v>
      </c>
      <c r="G11" s="43" t="s">
        <v>259</v>
      </c>
      <c r="H11" s="16">
        <f>'CENSO Pirámides'!AA6</f>
        <v>90155</v>
      </c>
      <c r="I11" s="16">
        <f t="shared" si="0"/>
        <v>90778</v>
      </c>
      <c r="J11" s="16">
        <f>ROUND((1/16)*((-1)*I9+4*I10 + 10*I11 + 4*I12 + (-1)*I13),0)</f>
        <v>92157</v>
      </c>
      <c r="M11" s="54" t="s">
        <v>259</v>
      </c>
      <c r="N11" s="16">
        <f>'CONTEO Pirámides'!Z5</f>
        <v>89895</v>
      </c>
      <c r="O11" s="16">
        <v>92538</v>
      </c>
      <c r="P11" s="16">
        <f>ROUND((1/16)*((-1)*O9+4*O10+10*O11+4*O12+(-1)*O13),0)</f>
        <v>90558</v>
      </c>
      <c r="R11" s="54" t="s">
        <v>259</v>
      </c>
      <c r="S11" s="16">
        <f>'CONTEO Pirámides'!AA5</f>
        <v>88694</v>
      </c>
      <c r="T11" s="16">
        <f t="shared" si="2"/>
        <v>91131</v>
      </c>
      <c r="U11" s="16">
        <f>ROUND((1/16)*((-1)*T9+4*T10+10*T11+4*T12+(-1)*T13),0)</f>
        <v>89554</v>
      </c>
    </row>
    <row r="12" spans="2:21" x14ac:dyDescent="0.25">
      <c r="B12" s="43" t="s">
        <v>260</v>
      </c>
      <c r="C12" s="16">
        <f>'CENSO Pirámides'!Z7</f>
        <v>92904</v>
      </c>
      <c r="D12" s="16">
        <f t="shared" ref="D12:D26" si="3">ROUND(C12*$D$6,0)</f>
        <v>93588</v>
      </c>
      <c r="E12" s="16">
        <f t="shared" ref="E12:E23" si="4">ROUND((1/16)*(-1*D10 + 4*D11 +10*D12 + 4*D13+ (-1)*D14),0)</f>
        <v>91681</v>
      </c>
      <c r="G12" s="43" t="s">
        <v>260</v>
      </c>
      <c r="H12" s="16">
        <f>'CENSO Pirámides'!AA7</f>
        <v>94337</v>
      </c>
      <c r="I12" s="16">
        <v>94990</v>
      </c>
      <c r="J12" s="16">
        <f t="shared" ref="J12:J23" si="5">ROUND((1/16)*((-1)*I10+4*I11 + 10*I12 + 4*I13 + (-1)*I14),0)</f>
        <v>93386</v>
      </c>
      <c r="M12" s="54" t="s">
        <v>260</v>
      </c>
      <c r="N12" s="16">
        <f>'CONTEO Pirámides'!Z6</f>
        <v>79047</v>
      </c>
      <c r="O12" s="16">
        <f t="shared" si="1"/>
        <v>81369</v>
      </c>
      <c r="P12" s="16">
        <f t="shared" ref="P12:P23" si="6">ROUND((1/16)*((-1)*O10+4*O11+10*O12+4*O13+(-1)*O14),0)</f>
        <v>82111</v>
      </c>
      <c r="R12" s="54" t="s">
        <v>260</v>
      </c>
      <c r="S12" s="16">
        <f>'CONTEO Pirámides'!AA6</f>
        <v>83494</v>
      </c>
      <c r="T12" s="16">
        <f t="shared" si="2"/>
        <v>85788</v>
      </c>
      <c r="U12" s="16">
        <f t="shared" ref="U12:U23" si="7">ROUND((1/16)*((-1)*T10+4*T11+10*T12+4*T13+(-1)*T14),0)</f>
        <v>86754</v>
      </c>
    </row>
    <row r="13" spans="2:21" x14ac:dyDescent="0.25">
      <c r="B13" s="43" t="s">
        <v>261</v>
      </c>
      <c r="C13" s="16">
        <f>'CENSO Pirámides'!Z8</f>
        <v>80717</v>
      </c>
      <c r="D13" s="16">
        <f t="shared" si="3"/>
        <v>81311</v>
      </c>
      <c r="E13" s="16">
        <f t="shared" si="4"/>
        <v>82321</v>
      </c>
      <c r="G13" s="43" t="s">
        <v>261</v>
      </c>
      <c r="H13" s="16">
        <f>'CENSO Pirámides'!AA8</f>
        <v>87803</v>
      </c>
      <c r="I13" s="16">
        <f t="shared" si="0"/>
        <v>88410</v>
      </c>
      <c r="J13" s="16">
        <f t="shared" si="5"/>
        <v>88865</v>
      </c>
      <c r="M13" s="54" t="s">
        <v>261</v>
      </c>
      <c r="N13" s="16">
        <f>'CONTEO Pirámides'!Z7</f>
        <v>68013</v>
      </c>
      <c r="O13" s="16">
        <f t="shared" si="1"/>
        <v>70011</v>
      </c>
      <c r="P13" s="16">
        <f t="shared" si="6"/>
        <v>69958</v>
      </c>
      <c r="R13" s="54" t="s">
        <v>261</v>
      </c>
      <c r="S13" s="16">
        <f>'CONTEO Pirámides'!AA7</f>
        <v>78700</v>
      </c>
      <c r="T13" s="16">
        <f t="shared" si="2"/>
        <v>80862</v>
      </c>
      <c r="U13" s="16">
        <f t="shared" si="7"/>
        <v>80071</v>
      </c>
    </row>
    <row r="14" spans="2:21" x14ac:dyDescent="0.25">
      <c r="B14" s="43" t="s">
        <v>262</v>
      </c>
      <c r="C14" s="16">
        <f>'CENSO Pirámides'!Z9</f>
        <v>72317</v>
      </c>
      <c r="D14" s="16">
        <f t="shared" si="3"/>
        <v>72849</v>
      </c>
      <c r="E14" s="16">
        <f t="shared" si="4"/>
        <v>73016</v>
      </c>
      <c r="G14" s="43" t="s">
        <v>262</v>
      </c>
      <c r="H14" s="16">
        <f>'CENSO Pirámides'!AA9</f>
        <v>80983</v>
      </c>
      <c r="I14" s="16">
        <f t="shared" si="0"/>
        <v>81543</v>
      </c>
      <c r="J14" s="16">
        <f t="shared" si="5"/>
        <v>81959</v>
      </c>
      <c r="M14" s="54" t="s">
        <v>262</v>
      </c>
      <c r="N14" s="16">
        <f>'CONTEO Pirámides'!Z8</f>
        <v>60021</v>
      </c>
      <c r="O14" s="16">
        <f t="shared" si="1"/>
        <v>61784</v>
      </c>
      <c r="P14" s="16">
        <f t="shared" si="6"/>
        <v>62936</v>
      </c>
      <c r="R14" s="54" t="s">
        <v>262</v>
      </c>
      <c r="S14" s="16">
        <f>'CONTEO Pirámides'!AA8</f>
        <v>70479</v>
      </c>
      <c r="T14" s="16">
        <f t="shared" si="2"/>
        <v>72416</v>
      </c>
      <c r="U14" s="16">
        <f t="shared" si="7"/>
        <v>73666</v>
      </c>
    </row>
    <row r="15" spans="2:21" x14ac:dyDescent="0.25">
      <c r="B15" s="43" t="s">
        <v>263</v>
      </c>
      <c r="C15" s="16">
        <f>'CENSO Pirámides'!Z10</f>
        <v>68081</v>
      </c>
      <c r="D15" s="16">
        <f t="shared" si="3"/>
        <v>68582</v>
      </c>
      <c r="E15" s="16">
        <f t="shared" si="4"/>
        <v>69162</v>
      </c>
      <c r="G15" s="43" t="s">
        <v>263</v>
      </c>
      <c r="H15" s="16">
        <f>'CENSO Pirámides'!AA10</f>
        <v>77088</v>
      </c>
      <c r="I15" s="16">
        <f t="shared" si="0"/>
        <v>77621</v>
      </c>
      <c r="J15" s="16">
        <f t="shared" si="5"/>
        <v>77868</v>
      </c>
      <c r="M15" s="54" t="s">
        <v>263</v>
      </c>
      <c r="N15" s="16">
        <f>'CONTEO Pirámides'!Z9</f>
        <v>59116</v>
      </c>
      <c r="O15" s="16">
        <f t="shared" si="1"/>
        <v>60853</v>
      </c>
      <c r="P15" s="16">
        <f t="shared" si="6"/>
        <v>59525</v>
      </c>
      <c r="R15" s="54" t="s">
        <v>263</v>
      </c>
      <c r="S15" s="16">
        <f>'CONTEO Pirámides'!AA9</f>
        <v>67322</v>
      </c>
      <c r="T15" s="16">
        <f t="shared" si="2"/>
        <v>69172</v>
      </c>
      <c r="U15" s="16">
        <f t="shared" si="7"/>
        <v>68175</v>
      </c>
    </row>
    <row r="16" spans="2:21" x14ac:dyDescent="0.25">
      <c r="B16" s="43" t="s">
        <v>264</v>
      </c>
      <c r="C16" s="16">
        <f>'CENSO Pirámides'!Z11</f>
        <v>65728</v>
      </c>
      <c r="D16" s="16">
        <f t="shared" si="3"/>
        <v>66212</v>
      </c>
      <c r="E16" s="16">
        <f t="shared" si="4"/>
        <v>64715</v>
      </c>
      <c r="G16" s="43" t="s">
        <v>264</v>
      </c>
      <c r="H16" s="16">
        <f>'CENSO Pirámides'!AA11</f>
        <v>72710</v>
      </c>
      <c r="I16" s="16">
        <f t="shared" si="0"/>
        <v>73213</v>
      </c>
      <c r="J16" s="16">
        <f t="shared" si="5"/>
        <v>72217</v>
      </c>
      <c r="M16" s="54" t="s">
        <v>264</v>
      </c>
      <c r="N16" s="16">
        <f>'CONTEO Pirámides'!Z10</f>
        <v>51435</v>
      </c>
      <c r="O16" s="16">
        <f t="shared" si="1"/>
        <v>52946</v>
      </c>
      <c r="P16" s="16">
        <f t="shared" si="6"/>
        <v>53440</v>
      </c>
      <c r="R16" s="54" t="s">
        <v>264</v>
      </c>
      <c r="S16" s="16">
        <f>'CONTEO Pirámides'!AA10</f>
        <v>58254</v>
      </c>
      <c r="T16" s="16">
        <f t="shared" si="2"/>
        <v>59855</v>
      </c>
      <c r="U16" s="16">
        <f t="shared" si="7"/>
        <v>60015</v>
      </c>
    </row>
    <row r="17" spans="2:21" x14ac:dyDescent="0.25">
      <c r="B17" s="43" t="s">
        <v>265</v>
      </c>
      <c r="C17" s="16">
        <f>'CENSO Pirámides'!Z12</f>
        <v>53763</v>
      </c>
      <c r="D17" s="16">
        <f t="shared" si="3"/>
        <v>54159</v>
      </c>
      <c r="E17" s="16">
        <f t="shared" si="4"/>
        <v>55010</v>
      </c>
      <c r="G17" s="43" t="s">
        <v>265</v>
      </c>
      <c r="H17" s="16">
        <f>'CENSO Pirámides'!AA12</f>
        <v>60512</v>
      </c>
      <c r="I17" s="16">
        <f t="shared" si="0"/>
        <v>60930</v>
      </c>
      <c r="J17" s="16">
        <f t="shared" si="5"/>
        <v>61330</v>
      </c>
      <c r="M17" s="54" t="s">
        <v>265</v>
      </c>
      <c r="N17" s="16">
        <f>'CONTEO Pirámides'!Z11</f>
        <v>43747</v>
      </c>
      <c r="O17" s="16">
        <f t="shared" si="1"/>
        <v>45032</v>
      </c>
      <c r="P17" s="16">
        <f t="shared" si="6"/>
        <v>44849</v>
      </c>
      <c r="R17" s="54" t="s">
        <v>265</v>
      </c>
      <c r="S17" s="16">
        <f>'CONTEO Pirámides'!AA11</f>
        <v>47829</v>
      </c>
      <c r="T17" s="16">
        <f t="shared" si="2"/>
        <v>49143</v>
      </c>
      <c r="U17" s="16">
        <f t="shared" si="7"/>
        <v>49241</v>
      </c>
    </row>
    <row r="18" spans="2:21" x14ac:dyDescent="0.25">
      <c r="B18" s="43" t="s">
        <v>266</v>
      </c>
      <c r="C18" s="16">
        <f>'CENSO Pirámides'!Z13</f>
        <v>44472</v>
      </c>
      <c r="D18" s="16">
        <f t="shared" si="3"/>
        <v>44799</v>
      </c>
      <c r="E18" s="16">
        <f t="shared" si="4"/>
        <v>44931</v>
      </c>
      <c r="G18" s="43" t="s">
        <v>266</v>
      </c>
      <c r="H18" s="16">
        <f>'CENSO Pirámides'!AA13</f>
        <v>48977</v>
      </c>
      <c r="I18" s="16">
        <f t="shared" si="0"/>
        <v>49316</v>
      </c>
      <c r="J18" s="16">
        <f t="shared" si="5"/>
        <v>49761</v>
      </c>
      <c r="M18" s="54" t="s">
        <v>266</v>
      </c>
      <c r="N18" s="16">
        <f>'CONTEO Pirámides'!Z12</f>
        <v>35138</v>
      </c>
      <c r="O18" s="16">
        <f t="shared" si="1"/>
        <v>36170</v>
      </c>
      <c r="P18" s="16">
        <f t="shared" si="6"/>
        <v>36379</v>
      </c>
      <c r="R18" s="54" t="s">
        <v>266</v>
      </c>
      <c r="S18" s="16">
        <f>'CONTEO Pirámides'!AA12</f>
        <v>38100</v>
      </c>
      <c r="T18" s="16">
        <f t="shared" si="2"/>
        <v>39147</v>
      </c>
      <c r="U18" s="16">
        <f t="shared" si="7"/>
        <v>39265</v>
      </c>
    </row>
    <row r="19" spans="2:21" x14ac:dyDescent="0.25">
      <c r="B19" s="43" t="s">
        <v>267</v>
      </c>
      <c r="C19" s="16">
        <f>'CENSO Pirámides'!Z14</f>
        <v>36628</v>
      </c>
      <c r="D19" s="16">
        <f t="shared" si="3"/>
        <v>36898</v>
      </c>
      <c r="E19" s="16">
        <f t="shared" si="4"/>
        <v>36387</v>
      </c>
      <c r="G19" s="43" t="s">
        <v>267</v>
      </c>
      <c r="H19" s="16">
        <f>'CENSO Pirámides'!AA14</f>
        <v>40242</v>
      </c>
      <c r="I19" s="16">
        <f t="shared" si="0"/>
        <v>40520</v>
      </c>
      <c r="J19" s="16">
        <f t="shared" si="5"/>
        <v>39801</v>
      </c>
      <c r="M19" s="54" t="s">
        <v>267</v>
      </c>
      <c r="N19" s="16">
        <f>'CONTEO Pirámides'!Z13</f>
        <v>27531</v>
      </c>
      <c r="O19" s="16">
        <f t="shared" si="1"/>
        <v>28340</v>
      </c>
      <c r="P19" s="16">
        <f t="shared" si="6"/>
        <v>27968</v>
      </c>
      <c r="R19" s="54" t="s">
        <v>267</v>
      </c>
      <c r="S19" s="16">
        <f>'CONTEO Pirámides'!AA13</f>
        <v>29598</v>
      </c>
      <c r="T19" s="16">
        <f t="shared" si="2"/>
        <v>30411</v>
      </c>
      <c r="U19" s="16">
        <f t="shared" si="7"/>
        <v>29973</v>
      </c>
    </row>
    <row r="20" spans="2:21" x14ac:dyDescent="0.25">
      <c r="B20" s="43" t="s">
        <v>268</v>
      </c>
      <c r="C20" s="16">
        <f>'CENSO Pirámides'!Z15</f>
        <v>26912</v>
      </c>
      <c r="D20" s="16">
        <f t="shared" si="3"/>
        <v>27110</v>
      </c>
      <c r="E20" s="16">
        <f t="shared" si="4"/>
        <v>27504</v>
      </c>
      <c r="G20" s="43" t="s">
        <v>268</v>
      </c>
      <c r="H20" s="16">
        <f>'CENSO Pirámides'!AA15</f>
        <v>29376</v>
      </c>
      <c r="I20" s="16">
        <f t="shared" si="0"/>
        <v>29579</v>
      </c>
      <c r="J20" s="16">
        <f t="shared" si="5"/>
        <v>30237</v>
      </c>
      <c r="M20" s="54" t="s">
        <v>268</v>
      </c>
      <c r="N20" s="16">
        <f>'CONTEO Pirámides'!Z14</f>
        <v>19600</v>
      </c>
      <c r="O20" s="16">
        <f t="shared" si="1"/>
        <v>20176</v>
      </c>
      <c r="P20" s="16">
        <f t="shared" si="6"/>
        <v>20759</v>
      </c>
      <c r="R20" s="54" t="s">
        <v>268</v>
      </c>
      <c r="S20" s="16">
        <f>'CONTEO Pirámides'!AA14</f>
        <v>21021</v>
      </c>
      <c r="T20" s="16">
        <f t="shared" si="2"/>
        <v>21599</v>
      </c>
      <c r="U20" s="16">
        <f t="shared" si="7"/>
        <v>22417</v>
      </c>
    </row>
    <row r="21" spans="2:21" x14ac:dyDescent="0.25">
      <c r="B21" s="43" t="s">
        <v>269</v>
      </c>
      <c r="C21" s="16">
        <f>'CENSO Pirámides'!Z16</f>
        <v>20110</v>
      </c>
      <c r="D21" s="16">
        <f t="shared" si="3"/>
        <v>20258</v>
      </c>
      <c r="E21" s="16">
        <f t="shared" si="4"/>
        <v>20130</v>
      </c>
      <c r="G21" s="43" t="s">
        <v>269</v>
      </c>
      <c r="H21" s="16">
        <f>'CENSO Pirámides'!AA16</f>
        <v>22881</v>
      </c>
      <c r="I21" s="16">
        <f t="shared" si="0"/>
        <v>23039</v>
      </c>
      <c r="J21" s="16">
        <f t="shared" si="5"/>
        <v>22656</v>
      </c>
      <c r="M21" s="54" t="s">
        <v>269</v>
      </c>
      <c r="N21" s="16">
        <f>'CONTEO Pirámides'!Z15</f>
        <v>15806</v>
      </c>
      <c r="O21" s="16">
        <f t="shared" si="1"/>
        <v>16270</v>
      </c>
      <c r="P21" s="16">
        <f t="shared" si="6"/>
        <v>15865</v>
      </c>
      <c r="R21" s="54" t="s">
        <v>269</v>
      </c>
      <c r="S21" s="16">
        <f>'CONTEO Pirámides'!AA15</f>
        <v>17886</v>
      </c>
      <c r="T21" s="16">
        <f t="shared" si="2"/>
        <v>18377</v>
      </c>
      <c r="U21" s="16">
        <f t="shared" si="7"/>
        <v>17689</v>
      </c>
    </row>
    <row r="22" spans="2:21" x14ac:dyDescent="0.25">
      <c r="B22" s="43" t="s">
        <v>270</v>
      </c>
      <c r="C22" s="16">
        <f>'CENSO Pirámides'!Z17</f>
        <v>14757</v>
      </c>
      <c r="D22" s="16">
        <f t="shared" si="3"/>
        <v>14866</v>
      </c>
      <c r="E22" s="16">
        <f t="shared" si="4"/>
        <v>15062</v>
      </c>
      <c r="G22" s="43" t="s">
        <v>270</v>
      </c>
      <c r="H22" s="16">
        <f>'CENSO Pirámides'!AA17</f>
        <v>16805</v>
      </c>
      <c r="I22" s="16">
        <f t="shared" si="0"/>
        <v>16921</v>
      </c>
      <c r="J22" s="16">
        <f t="shared" si="5"/>
        <v>17268</v>
      </c>
      <c r="M22" s="54" t="s">
        <v>270</v>
      </c>
      <c r="N22" s="16">
        <f>'CONTEO Pirámides'!Z16</f>
        <v>11554</v>
      </c>
      <c r="O22" s="16">
        <f t="shared" si="1"/>
        <v>11893</v>
      </c>
      <c r="P22" s="16">
        <f t="shared" si="6"/>
        <v>12050</v>
      </c>
      <c r="R22" s="54" t="s">
        <v>270</v>
      </c>
      <c r="S22" s="16">
        <f>'CONTEO Pirámides'!AA16</f>
        <v>12966</v>
      </c>
      <c r="T22" s="16">
        <f t="shared" si="2"/>
        <v>13322</v>
      </c>
      <c r="U22" s="16">
        <f t="shared" si="7"/>
        <v>13617</v>
      </c>
    </row>
    <row r="23" spans="2:21" x14ac:dyDescent="0.25">
      <c r="B23" s="43" t="s">
        <v>271</v>
      </c>
      <c r="C23" s="16">
        <f>'CENSO Pirámides'!Z18</f>
        <v>11421</v>
      </c>
      <c r="D23" s="16">
        <f t="shared" si="3"/>
        <v>11505</v>
      </c>
      <c r="E23" s="16">
        <f t="shared" si="4"/>
        <v>11253</v>
      </c>
      <c r="G23" s="43" t="s">
        <v>271</v>
      </c>
      <c r="H23" s="16">
        <f>'CENSO Pirámides'!AA18</f>
        <v>13280</v>
      </c>
      <c r="I23" s="16">
        <f t="shared" si="0"/>
        <v>13372</v>
      </c>
      <c r="J23" s="16">
        <f t="shared" si="5"/>
        <v>13011</v>
      </c>
      <c r="M23" s="54" t="s">
        <v>271</v>
      </c>
      <c r="N23" s="16">
        <f>'CONTEO Pirámides'!Z17</f>
        <v>8548</v>
      </c>
      <c r="O23" s="16">
        <f t="shared" si="1"/>
        <v>8799</v>
      </c>
      <c r="P23" s="16">
        <f t="shared" si="6"/>
        <v>8774</v>
      </c>
      <c r="R23" s="54" t="s">
        <v>271</v>
      </c>
      <c r="S23" s="16">
        <f>'CONTEO Pirámides'!AA17</f>
        <v>9744</v>
      </c>
      <c r="T23" s="16">
        <f t="shared" si="2"/>
        <v>10012</v>
      </c>
      <c r="U23" s="16">
        <f t="shared" si="7"/>
        <v>9968</v>
      </c>
    </row>
    <row r="24" spans="2:21" x14ac:dyDescent="0.25">
      <c r="B24" s="43" t="s">
        <v>272</v>
      </c>
      <c r="C24" s="16">
        <f>'CENSO Pirámides'!Z19</f>
        <v>7562</v>
      </c>
      <c r="D24" s="16">
        <f t="shared" si="3"/>
        <v>7618</v>
      </c>
      <c r="E24" s="16">
        <f>D24</f>
        <v>7618</v>
      </c>
      <c r="G24" s="43" t="s">
        <v>272</v>
      </c>
      <c r="H24" s="16">
        <f>'CENSO Pirámides'!AA19</f>
        <v>8932</v>
      </c>
      <c r="I24" s="16">
        <f t="shared" si="0"/>
        <v>8994</v>
      </c>
      <c r="J24" s="16">
        <f>I24</f>
        <v>8994</v>
      </c>
      <c r="M24" s="54" t="s">
        <v>272</v>
      </c>
      <c r="N24" s="16">
        <f>'CONTEO Pirámides'!Z18</f>
        <v>6057</v>
      </c>
      <c r="O24" s="16">
        <f t="shared" si="1"/>
        <v>6235</v>
      </c>
      <c r="P24" s="16">
        <f>O24</f>
        <v>6235</v>
      </c>
      <c r="R24" s="54" t="s">
        <v>272</v>
      </c>
      <c r="S24" s="16">
        <f>'CONTEO Pirámides'!AA18</f>
        <v>7109</v>
      </c>
      <c r="T24" s="16">
        <f t="shared" si="2"/>
        <v>7304</v>
      </c>
      <c r="U24" s="16">
        <f>T24</f>
        <v>7304</v>
      </c>
    </row>
    <row r="25" spans="2:21" x14ac:dyDescent="0.25">
      <c r="B25" s="43" t="s">
        <v>273</v>
      </c>
      <c r="C25" s="16">
        <f>'CENSO Pirámides'!Z20</f>
        <v>4641</v>
      </c>
      <c r="D25" s="16">
        <f t="shared" si="3"/>
        <v>4675</v>
      </c>
      <c r="E25" s="36">
        <f>D25</f>
        <v>4675</v>
      </c>
      <c r="G25" s="43" t="s">
        <v>273</v>
      </c>
      <c r="H25" s="16">
        <f>'CENSO Pirámides'!AA20</f>
        <v>6119</v>
      </c>
      <c r="I25" s="16">
        <f t="shared" si="0"/>
        <v>6161</v>
      </c>
      <c r="J25" s="16">
        <f>I25</f>
        <v>6161</v>
      </c>
      <c r="M25" s="54" t="s">
        <v>273</v>
      </c>
      <c r="N25" s="16">
        <f>'CONTEO Pirámides'!Z19</f>
        <v>3739</v>
      </c>
      <c r="O25" s="16">
        <f t="shared" si="1"/>
        <v>3849</v>
      </c>
      <c r="P25" s="16">
        <f>O25</f>
        <v>3849</v>
      </c>
      <c r="R25" s="54" t="s">
        <v>273</v>
      </c>
      <c r="S25" s="16">
        <f>'CONTEO Pirámides'!AA19</f>
        <v>4628</v>
      </c>
      <c r="T25" s="16">
        <f t="shared" si="2"/>
        <v>4755</v>
      </c>
      <c r="U25" s="16">
        <f>T25</f>
        <v>4755</v>
      </c>
    </row>
    <row r="26" spans="2:21" x14ac:dyDescent="0.25">
      <c r="B26" s="43" t="s">
        <v>290</v>
      </c>
      <c r="C26" s="16">
        <f>'CENSO Pirámides'!Z21</f>
        <v>4038</v>
      </c>
      <c r="D26" s="16">
        <f t="shared" si="3"/>
        <v>4068</v>
      </c>
      <c r="E26" s="36">
        <f>D26</f>
        <v>4068</v>
      </c>
      <c r="G26" s="43" t="s">
        <v>290</v>
      </c>
      <c r="H26" s="16">
        <f>'CENSO Pirámides'!AA21</f>
        <v>5835</v>
      </c>
      <c r="I26" s="16">
        <f t="shared" si="0"/>
        <v>5875</v>
      </c>
      <c r="J26" s="16">
        <f>I26</f>
        <v>5875</v>
      </c>
      <c r="M26" s="54" t="s">
        <v>290</v>
      </c>
      <c r="N26" s="16">
        <f>'CONTEO Pirámides'!Z20</f>
        <v>2872</v>
      </c>
      <c r="O26" s="16">
        <f>ROUND(N26*$O$6,0)</f>
        <v>2956</v>
      </c>
      <c r="P26" s="16">
        <f>O26</f>
        <v>2956</v>
      </c>
      <c r="R26" s="54" t="s">
        <v>290</v>
      </c>
      <c r="S26" s="16">
        <f>'CONTEO Pirámides'!AA20</f>
        <v>4327</v>
      </c>
      <c r="T26" s="16">
        <f t="shared" si="2"/>
        <v>4446</v>
      </c>
      <c r="U26" s="16">
        <f>T26</f>
        <v>4446</v>
      </c>
    </row>
    <row r="27" spans="2:21" x14ac:dyDescent="0.25">
      <c r="B27" s="43" t="s">
        <v>106</v>
      </c>
      <c r="C27" s="16">
        <f>'CENSO Pirámides'!Z22</f>
        <v>6482</v>
      </c>
      <c r="D27" s="16"/>
      <c r="E27" s="16"/>
      <c r="G27" s="43" t="s">
        <v>106</v>
      </c>
      <c r="H27" s="16">
        <f>'CENSO Pirámides'!AA22</f>
        <v>6459</v>
      </c>
      <c r="I27" s="16"/>
      <c r="J27" s="16"/>
      <c r="M27" s="54" t="s">
        <v>106</v>
      </c>
      <c r="N27" s="16">
        <f>'CONTEO Pirámides'!Z21</f>
        <v>22055</v>
      </c>
      <c r="O27" s="16"/>
      <c r="P27" s="16"/>
      <c r="R27" s="54" t="s">
        <v>106</v>
      </c>
      <c r="S27" s="16">
        <f>'CONTEO Pirámides'!AA21</f>
        <v>22073</v>
      </c>
      <c r="T27" s="16"/>
      <c r="U27" s="16"/>
    </row>
    <row r="28" spans="2:21" x14ac:dyDescent="0.25">
      <c r="B28" s="44"/>
      <c r="C28" s="16"/>
      <c r="D28" s="16"/>
      <c r="E28" s="16"/>
      <c r="G28" s="44"/>
      <c r="H28" s="16"/>
      <c r="I28" s="16"/>
      <c r="J28" s="16"/>
      <c r="M28" s="55"/>
      <c r="N28" s="16"/>
      <c r="O28" s="16"/>
      <c r="P28" s="16"/>
      <c r="R28" s="55"/>
      <c r="S28" s="16"/>
      <c r="T28" s="16"/>
      <c r="U28" s="16"/>
    </row>
    <row r="29" spans="2:21" x14ac:dyDescent="0.25">
      <c r="B29" s="43" t="s">
        <v>107</v>
      </c>
      <c r="C29" s="16">
        <f>SUM(C9:C27)</f>
        <v>887188</v>
      </c>
      <c r="D29" s="16">
        <f>SUM(D9:D26)</f>
        <v>887188</v>
      </c>
      <c r="E29" s="16">
        <f>SUM(E9:E26)</f>
        <v>887364</v>
      </c>
      <c r="G29" s="43" t="s">
        <v>107</v>
      </c>
      <c r="H29" s="16">
        <f>SUM(H9:H27)</f>
        <v>940749</v>
      </c>
      <c r="I29" s="16">
        <f>SUM(I9:I26)</f>
        <v>940749</v>
      </c>
      <c r="J29" s="16">
        <f>SUM(J9:J26)</f>
        <v>941033</v>
      </c>
      <c r="M29" s="54" t="s">
        <v>107</v>
      </c>
      <c r="N29" s="16">
        <f>SUM(N9:N27)</f>
        <v>772759</v>
      </c>
      <c r="O29" s="16">
        <f>SUM(O9:O26)</f>
        <v>772759</v>
      </c>
      <c r="P29" s="16">
        <f>SUM(P9:P26)</f>
        <v>771750</v>
      </c>
      <c r="R29" s="54" t="s">
        <v>107</v>
      </c>
      <c r="S29" s="16">
        <f>SUM(S9:S27)</f>
        <v>825380</v>
      </c>
      <c r="T29" s="16">
        <f>SUM(T9:T26)</f>
        <v>825379</v>
      </c>
      <c r="U29" s="16">
        <f>SUM(U9:U26)</f>
        <v>824549</v>
      </c>
    </row>
    <row r="31" spans="2:21" x14ac:dyDescent="0.25">
      <c r="B31" s="43" t="s">
        <v>309</v>
      </c>
      <c r="C31" s="79">
        <f>C27/SUM(C9:C27)</f>
        <v>7.3062304720081872E-3</v>
      </c>
      <c r="G31" s="43" t="s">
        <v>309</v>
      </c>
      <c r="H31" s="79">
        <f>H27/SUM(H9:H27)</f>
        <v>6.865805863200492E-3</v>
      </c>
      <c r="M31" s="54" t="s">
        <v>309</v>
      </c>
      <c r="N31" s="79">
        <f>N27/SUM(N9:N27)</f>
        <v>2.8540592862716579E-2</v>
      </c>
      <c r="R31" s="54" t="s">
        <v>309</v>
      </c>
      <c r="S31" s="79">
        <f>S27/SUM(S9:S27)</f>
        <v>2.6742833603915772E-2</v>
      </c>
    </row>
  </sheetData>
  <mergeCells count="8">
    <mergeCell ref="R5:S5"/>
    <mergeCell ref="R6:S6"/>
    <mergeCell ref="B6:C6"/>
    <mergeCell ref="B5:C5"/>
    <mergeCell ref="G5:H5"/>
    <mergeCell ref="G6:H6"/>
    <mergeCell ref="M5:N5"/>
    <mergeCell ref="M6:N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6206-EF1A-40D0-A69B-31E2C1D168FC}">
  <dimension ref="B3:AB28"/>
  <sheetViews>
    <sheetView topLeftCell="A7" zoomScaleNormal="100" workbookViewId="0">
      <selection activeCell="J13" sqref="J13"/>
    </sheetView>
  </sheetViews>
  <sheetFormatPr baseColWidth="10" defaultRowHeight="15" x14ac:dyDescent="0.25"/>
  <cols>
    <col min="6" max="6" width="11.42578125" customWidth="1"/>
    <col min="10" max="10" width="12.7109375" customWidth="1"/>
    <col min="11" max="12" width="13.7109375" customWidth="1"/>
    <col min="25" max="25" width="11.85546875" customWidth="1"/>
  </cols>
  <sheetData>
    <row r="3" spans="2:28" x14ac:dyDescent="0.25">
      <c r="D3" s="200" t="s">
        <v>297</v>
      </c>
      <c r="E3" s="201"/>
      <c r="F3" s="57">
        <v>40334</v>
      </c>
      <c r="G3" s="65"/>
      <c r="K3" s="61" t="s">
        <v>300</v>
      </c>
      <c r="L3" s="62">
        <v>40359</v>
      </c>
      <c r="M3" s="20">
        <v>18</v>
      </c>
    </row>
    <row r="4" spans="2:28" x14ac:dyDescent="0.25">
      <c r="D4" s="202" t="s">
        <v>296</v>
      </c>
      <c r="E4" s="203"/>
      <c r="F4" s="58">
        <v>38642</v>
      </c>
      <c r="G4" s="65"/>
      <c r="K4" s="63" t="s">
        <v>301</v>
      </c>
      <c r="L4" s="64">
        <v>38533</v>
      </c>
      <c r="M4" s="60">
        <f>L4-F4</f>
        <v>-109</v>
      </c>
    </row>
    <row r="5" spans="2:28" x14ac:dyDescent="0.25">
      <c r="C5" s="4"/>
      <c r="D5" s="202" t="s">
        <v>298</v>
      </c>
      <c r="E5" s="203"/>
      <c r="F5" s="59">
        <v>1699</v>
      </c>
      <c r="G5" s="51"/>
    </row>
    <row r="6" spans="2:28" x14ac:dyDescent="0.25">
      <c r="D6" s="204" t="s">
        <v>302</v>
      </c>
      <c r="E6" s="205"/>
      <c r="F6" s="60">
        <f>F5/365</f>
        <v>4.6547945205479451</v>
      </c>
      <c r="G6" s="51"/>
    </row>
    <row r="9" spans="2:28" x14ac:dyDescent="0.25">
      <c r="B9" s="198" t="s">
        <v>1</v>
      </c>
      <c r="C9" s="198"/>
      <c r="Q9" s="199" t="s">
        <v>4</v>
      </c>
      <c r="R9" s="199"/>
    </row>
    <row r="10" spans="2:28" ht="28.9" customHeight="1" x14ac:dyDescent="0.35">
      <c r="B10" s="68" t="s">
        <v>239</v>
      </c>
      <c r="C10" s="69">
        <v>2005</v>
      </c>
      <c r="D10" s="69">
        <v>2010</v>
      </c>
      <c r="E10" s="70" t="s">
        <v>299</v>
      </c>
      <c r="F10" s="71" t="s">
        <v>306</v>
      </c>
      <c r="G10" s="71" t="s">
        <v>305</v>
      </c>
      <c r="H10" s="66" t="s">
        <v>304</v>
      </c>
      <c r="I10" s="66" t="s">
        <v>306</v>
      </c>
      <c r="J10" s="66" t="s">
        <v>305</v>
      </c>
      <c r="K10" s="72" t="s">
        <v>303</v>
      </c>
      <c r="L10" s="72" t="s">
        <v>306</v>
      </c>
      <c r="M10" s="72" t="s">
        <v>305</v>
      </c>
      <c r="Q10" s="68" t="s">
        <v>239</v>
      </c>
      <c r="R10" s="69">
        <v>2005</v>
      </c>
      <c r="S10" s="69">
        <v>2010</v>
      </c>
      <c r="T10" s="70" t="s">
        <v>299</v>
      </c>
      <c r="U10" s="71" t="s">
        <v>306</v>
      </c>
      <c r="V10" s="71" t="s">
        <v>305</v>
      </c>
      <c r="W10" s="66" t="s">
        <v>304</v>
      </c>
      <c r="X10" s="66" t="s">
        <v>306</v>
      </c>
      <c r="Y10" s="66" t="s">
        <v>305</v>
      </c>
      <c r="Z10" s="72" t="s">
        <v>303</v>
      </c>
      <c r="AA10" s="72" t="s">
        <v>306</v>
      </c>
      <c r="AB10" s="72" t="s">
        <v>305</v>
      </c>
    </row>
    <row r="11" spans="2:28" x14ac:dyDescent="0.25">
      <c r="B11" s="68" t="s">
        <v>291</v>
      </c>
      <c r="C11" s="16">
        <f>'Correción de información'!P9</f>
        <v>85213</v>
      </c>
      <c r="D11" s="16">
        <f>'Correción de información'!E9</f>
        <v>91642</v>
      </c>
      <c r="E11" s="67">
        <f>((D11/C11)-1)*(1/$F$6)</f>
        <v>1.6208284682899692E-2</v>
      </c>
      <c r="F11" s="16">
        <f>ROUND((C11*(1+($M$4/365)*E11)),0)</f>
        <v>84801</v>
      </c>
      <c r="G11" s="16">
        <f>ROUND(D11*(1+($M$3/365)*E11),0)</f>
        <v>91715</v>
      </c>
      <c r="H11" s="67">
        <f>POWER((D11/C11), (1/$F$6)) -1</f>
        <v>1.5748693423445426E-2</v>
      </c>
      <c r="I11" s="16">
        <f>ROUND(C11*POWER((1+H11),($M$4/365)),0)</f>
        <v>84816</v>
      </c>
      <c r="J11" s="16">
        <f>ROUND(D11*POWER(1+H11,($M$3/365)),0)</f>
        <v>91713</v>
      </c>
      <c r="K11" s="67">
        <f>LN(D11/C11)*(1/$F$6)</f>
        <v>1.5625969567810882E-2</v>
      </c>
      <c r="L11" s="16">
        <f>ROUND(C11* EXP(($M$4/365)*K11),0)</f>
        <v>84816</v>
      </c>
      <c r="M11" s="16">
        <f>ROUND(D11* EXP(($M$3/365)*K11),0)</f>
        <v>91713</v>
      </c>
      <c r="Q11" s="68" t="s">
        <v>291</v>
      </c>
      <c r="R11" s="16">
        <f>'Correción de información'!U9</f>
        <v>82260</v>
      </c>
      <c r="S11" s="16">
        <f>'Correción de información'!J9</f>
        <v>88552</v>
      </c>
      <c r="T11" s="67">
        <f>((S11/R11)-1)*(1/$F$6)</f>
        <v>1.6432343105389283E-2</v>
      </c>
      <c r="U11" s="16">
        <f>ROUND((R11*(1+($M$4/365)*T11)),0)</f>
        <v>81856</v>
      </c>
      <c r="V11" s="16">
        <f>ROUND(S11*(1+($M$3/365)*T11),0)</f>
        <v>88624</v>
      </c>
      <c r="W11" s="67">
        <f>POWER((S11/R11), (1/$F$6)) -1</f>
        <v>1.596023394086421E-2</v>
      </c>
      <c r="X11" s="16">
        <f>ROUND(R11*POWER((1+W11),($M$4/365)),0)</f>
        <v>81872</v>
      </c>
      <c r="Y11" s="16">
        <f>ROUND(S11*POWER(1+W11,($M$3/365)),0)</f>
        <v>88621</v>
      </c>
      <c r="Z11" s="67">
        <f>LN(S11/R11)*(1/$F$6)</f>
        <v>1.5834208568323332E-2</v>
      </c>
      <c r="AA11" s="16">
        <f>ROUND(R11* EXP(($M$4/365)*Z11),0)</f>
        <v>81872</v>
      </c>
      <c r="AB11" s="16">
        <f>ROUND(S11* EXP(($M$3/365)*Z11),0)</f>
        <v>88621</v>
      </c>
    </row>
    <row r="12" spans="2:28" x14ac:dyDescent="0.25">
      <c r="B12" s="68" t="s">
        <v>292</v>
      </c>
      <c r="C12" s="16">
        <f>'Correción de información'!P10</f>
        <v>88325</v>
      </c>
      <c r="D12" s="16">
        <f>'Correción de información'!E10</f>
        <v>93915</v>
      </c>
      <c r="E12" s="67">
        <f t="shared" ref="E12:E28" si="0">((D12/C12)-1)*(1/$F$6)</f>
        <v>1.3596516290447067E-2</v>
      </c>
      <c r="F12" s="16">
        <f t="shared" ref="F12:F28" si="1">ROUND((C12*(1+($M$4/365)*E12)),0)</f>
        <v>87966</v>
      </c>
      <c r="G12" s="16">
        <f t="shared" ref="G12:G28" si="2">ROUND(D12*(1+($M$3/365)*E12),0)</f>
        <v>93978</v>
      </c>
      <c r="H12" s="67">
        <f t="shared" ref="H12:H28" si="3">POWER((D12/C12), (1/$F$6)) -1</f>
        <v>1.3270881501494136E-2</v>
      </c>
      <c r="I12" s="16">
        <f t="shared" ref="I12:I28" si="4">ROUND(C12*POWER((1+H12),($M$4/365)),0)</f>
        <v>87978</v>
      </c>
      <c r="J12" s="16">
        <f>ROUND(D12*POWER(1+H12,($M$3/365)),0)</f>
        <v>93976</v>
      </c>
      <c r="K12" s="67">
        <f t="shared" ref="K12:K28" si="5">LN(D12/C12)*(1/$F$6)</f>
        <v>1.3183594753598411E-2</v>
      </c>
      <c r="L12" s="16">
        <f t="shared" ref="L12:L28" si="6">ROUND(C12* EXP(($M$4/365)*K12),0)</f>
        <v>87978</v>
      </c>
      <c r="M12" s="16">
        <f t="shared" ref="M12:M28" si="7">ROUND(D12* EXP(($M$3/365)*K12),0)</f>
        <v>93976</v>
      </c>
      <c r="Q12" s="68" t="s">
        <v>292</v>
      </c>
      <c r="R12" s="16">
        <f>'Correción de información'!U10</f>
        <v>85379</v>
      </c>
      <c r="S12" s="16">
        <f>'Correción de información'!J10</f>
        <v>90935</v>
      </c>
      <c r="T12" s="67">
        <f t="shared" ref="T12:T28" si="8">((S12/R12)-1)*(1/$F$6)</f>
        <v>1.3980112260727505E-2</v>
      </c>
      <c r="U12" s="16">
        <f t="shared" ref="U12:U28" si="9">ROUND((R12*(1+($M$4/365)*T12)),0)</f>
        <v>85023</v>
      </c>
      <c r="V12" s="16">
        <f t="shared" ref="V12:V28" si="10">ROUND(S12*(1+($M$3/365)*T12),0)</f>
        <v>90998</v>
      </c>
      <c r="W12" s="67">
        <f t="shared" ref="W12:W28" si="11">POWER((S12/R12), (1/$F$6)) -1</f>
        <v>1.3636192006536874E-2</v>
      </c>
      <c r="X12" s="16">
        <f t="shared" ref="X12:X28" si="12">ROUND(R12*POWER((1+W12),($M$4/365)),0)</f>
        <v>85034</v>
      </c>
      <c r="Y12" s="16">
        <f t="shared" ref="Y12:Y28" si="13">ROUND(S12*POWER(1+W12,($M$3/365)),0)</f>
        <v>90996</v>
      </c>
      <c r="Z12" s="67">
        <f t="shared" ref="Z12:Z28" si="14">LN(S12/R12)*(1/$F$6)</f>
        <v>1.3544055786837478E-2</v>
      </c>
      <c r="AA12" s="16">
        <f t="shared" ref="AA12:AA28" si="15">ROUND(R12* EXP(($M$4/365)*Z12),0)</f>
        <v>85034</v>
      </c>
      <c r="AB12" s="16">
        <f t="shared" ref="AB12:AB28" si="16">ROUND(S12* EXP(($M$3/365)*Z12),0)</f>
        <v>90996</v>
      </c>
    </row>
    <row r="13" spans="2:28" x14ac:dyDescent="0.25">
      <c r="B13" s="68" t="s">
        <v>259</v>
      </c>
      <c r="C13" s="16">
        <f>'Correción de información'!P11</f>
        <v>90558</v>
      </c>
      <c r="D13" s="16">
        <f>'Correción de información'!E11</f>
        <v>94274</v>
      </c>
      <c r="E13" s="67">
        <f t="shared" si="0"/>
        <v>8.8155287976432236E-3</v>
      </c>
      <c r="F13" s="16">
        <f t="shared" si="1"/>
        <v>90320</v>
      </c>
      <c r="G13" s="16">
        <f t="shared" si="2"/>
        <v>94315</v>
      </c>
      <c r="H13" s="67">
        <f t="shared" si="3"/>
        <v>8.6768868343531924E-3</v>
      </c>
      <c r="I13" s="16">
        <f t="shared" si="4"/>
        <v>90325</v>
      </c>
      <c r="J13" s="16">
        <f t="shared" ref="J13:J28" si="17">ROUND(D13*POWER(1+H13,($M$3/365)),0)</f>
        <v>94314</v>
      </c>
      <c r="K13" s="67">
        <f t="shared" si="5"/>
        <v>8.6394590006748703E-3</v>
      </c>
      <c r="L13" s="16">
        <f t="shared" si="6"/>
        <v>90325</v>
      </c>
      <c r="M13" s="16">
        <f t="shared" si="7"/>
        <v>94314</v>
      </c>
      <c r="Q13" s="68" t="s">
        <v>259</v>
      </c>
      <c r="R13" s="16">
        <f>'Correción de información'!U11</f>
        <v>89554</v>
      </c>
      <c r="S13" s="16">
        <f>'Correción de información'!J11</f>
        <v>92157</v>
      </c>
      <c r="T13" s="97">
        <f t="shared" si="8"/>
        <v>6.2443705234558377E-3</v>
      </c>
      <c r="U13" s="16">
        <f t="shared" si="9"/>
        <v>89387</v>
      </c>
      <c r="V13" s="16">
        <f t="shared" si="10"/>
        <v>92185</v>
      </c>
      <c r="W13" s="97">
        <f t="shared" si="11"/>
        <v>6.174324361020167E-3</v>
      </c>
      <c r="X13" s="16">
        <f t="shared" si="12"/>
        <v>89390</v>
      </c>
      <c r="Y13" s="16">
        <f t="shared" si="13"/>
        <v>92185</v>
      </c>
      <c r="Z13" s="97">
        <f t="shared" si="14"/>
        <v>6.155341318597702E-3</v>
      </c>
      <c r="AA13" s="16">
        <f t="shared" si="15"/>
        <v>89390</v>
      </c>
      <c r="AB13" s="16">
        <f t="shared" si="16"/>
        <v>92185</v>
      </c>
    </row>
    <row r="14" spans="2:28" x14ac:dyDescent="0.25">
      <c r="B14" s="68" t="s">
        <v>260</v>
      </c>
      <c r="C14" s="16">
        <f>'Correción de información'!P12</f>
        <v>82111</v>
      </c>
      <c r="D14" s="16">
        <f>'Correción de información'!E12</f>
        <v>91681</v>
      </c>
      <c r="E14" s="67">
        <f t="shared" si="0"/>
        <v>2.503860229856238E-2</v>
      </c>
      <c r="F14" s="16">
        <f t="shared" si="1"/>
        <v>81497</v>
      </c>
      <c r="G14" s="16">
        <f t="shared" si="2"/>
        <v>91794</v>
      </c>
      <c r="H14" s="67">
        <f t="shared" si="3"/>
        <v>2.3966476946407189E-2</v>
      </c>
      <c r="I14" s="16">
        <f t="shared" si="4"/>
        <v>81532</v>
      </c>
      <c r="J14" s="16">
        <f t="shared" si="17"/>
        <v>91788</v>
      </c>
      <c r="K14" s="67">
        <f t="shared" si="5"/>
        <v>2.3683788724412833E-2</v>
      </c>
      <c r="L14" s="16">
        <f t="shared" si="6"/>
        <v>81532</v>
      </c>
      <c r="M14" s="16">
        <f t="shared" si="7"/>
        <v>91788</v>
      </c>
      <c r="Q14" s="68" t="s">
        <v>260</v>
      </c>
      <c r="R14" s="16">
        <f>'Correción de información'!U12</f>
        <v>86754</v>
      </c>
      <c r="S14" s="16">
        <f>'Correción de información'!J12</f>
        <v>93386</v>
      </c>
      <c r="T14" s="67">
        <f t="shared" si="8"/>
        <v>1.6423075711784793E-2</v>
      </c>
      <c r="U14" s="16">
        <f t="shared" si="9"/>
        <v>86329</v>
      </c>
      <c r="V14" s="16">
        <f t="shared" si="10"/>
        <v>93462</v>
      </c>
      <c r="W14" s="67">
        <f t="shared" si="11"/>
        <v>1.5951487497641414E-2</v>
      </c>
      <c r="X14" s="16">
        <f t="shared" si="12"/>
        <v>86345</v>
      </c>
      <c r="Y14" s="16">
        <f t="shared" si="13"/>
        <v>93459</v>
      </c>
      <c r="Z14" s="67">
        <f t="shared" si="14"/>
        <v>1.5825599490349545E-2</v>
      </c>
      <c r="AA14" s="16">
        <f t="shared" si="15"/>
        <v>86345</v>
      </c>
      <c r="AB14" s="16">
        <f t="shared" si="16"/>
        <v>93459</v>
      </c>
    </row>
    <row r="15" spans="2:28" x14ac:dyDescent="0.25">
      <c r="B15" s="68" t="s">
        <v>261</v>
      </c>
      <c r="C15" s="16">
        <f>'Correción de información'!P13</f>
        <v>69958</v>
      </c>
      <c r="D15" s="16">
        <f>'Correción de información'!E13</f>
        <v>82321</v>
      </c>
      <c r="E15" s="67">
        <f t="shared" si="0"/>
        <v>3.7965224270356382E-2</v>
      </c>
      <c r="F15" s="16">
        <f t="shared" si="1"/>
        <v>69165</v>
      </c>
      <c r="G15" s="16">
        <f t="shared" si="2"/>
        <v>82475</v>
      </c>
      <c r="H15" s="67">
        <f t="shared" si="3"/>
        <v>3.5578187117914828E-2</v>
      </c>
      <c r="I15" s="16">
        <f t="shared" si="4"/>
        <v>69231</v>
      </c>
      <c r="J15" s="16">
        <f t="shared" si="17"/>
        <v>82463</v>
      </c>
      <c r="K15" s="67">
        <f t="shared" si="5"/>
        <v>3.4959905635481833E-2</v>
      </c>
      <c r="L15" s="16">
        <f t="shared" si="6"/>
        <v>69231</v>
      </c>
      <c r="M15" s="16">
        <f t="shared" si="7"/>
        <v>82463</v>
      </c>
      <c r="Q15" s="68" t="s">
        <v>261</v>
      </c>
      <c r="R15" s="16">
        <f>'Correción de información'!U13</f>
        <v>80071</v>
      </c>
      <c r="S15" s="16">
        <f>'Correción de información'!J13</f>
        <v>88865</v>
      </c>
      <c r="T15" s="67">
        <f t="shared" si="8"/>
        <v>2.3594495435624623E-2</v>
      </c>
      <c r="U15" s="16">
        <f t="shared" si="9"/>
        <v>79507</v>
      </c>
      <c r="V15" s="16">
        <f t="shared" si="10"/>
        <v>88968</v>
      </c>
      <c r="W15" s="67">
        <f t="shared" si="11"/>
        <v>2.2638972467359242E-2</v>
      </c>
      <c r="X15" s="16">
        <f t="shared" si="12"/>
        <v>79537</v>
      </c>
      <c r="Y15" s="16">
        <f t="shared" si="13"/>
        <v>88963</v>
      </c>
      <c r="Z15" s="67">
        <f t="shared" si="14"/>
        <v>2.2386514092800808E-2</v>
      </c>
      <c r="AA15" s="16">
        <f t="shared" si="15"/>
        <v>79537</v>
      </c>
      <c r="AB15" s="16">
        <f t="shared" si="16"/>
        <v>88963</v>
      </c>
    </row>
    <row r="16" spans="2:28" x14ac:dyDescent="0.25">
      <c r="B16" s="68" t="s">
        <v>262</v>
      </c>
      <c r="C16" s="16">
        <f>'Correción de información'!P14</f>
        <v>62936</v>
      </c>
      <c r="D16" s="16">
        <f>'Correción de información'!E14</f>
        <v>73016</v>
      </c>
      <c r="E16" s="67">
        <f t="shared" si="0"/>
        <v>3.4408114958267733E-2</v>
      </c>
      <c r="F16" s="16">
        <f t="shared" si="1"/>
        <v>62289</v>
      </c>
      <c r="G16" s="16">
        <f t="shared" si="2"/>
        <v>73140</v>
      </c>
      <c r="H16" s="67">
        <f t="shared" si="3"/>
        <v>3.2430297563282195E-2</v>
      </c>
      <c r="I16" s="16">
        <f t="shared" si="4"/>
        <v>62339</v>
      </c>
      <c r="J16" s="16">
        <f t="shared" si="17"/>
        <v>73131</v>
      </c>
      <c r="K16" s="67">
        <f t="shared" si="5"/>
        <v>3.1915535160969226E-2</v>
      </c>
      <c r="L16" s="16">
        <f t="shared" si="6"/>
        <v>62339</v>
      </c>
      <c r="M16" s="16">
        <f t="shared" si="7"/>
        <v>73131</v>
      </c>
      <c r="Q16" s="68" t="s">
        <v>262</v>
      </c>
      <c r="R16" s="16">
        <f>'Correción de información'!U14</f>
        <v>73666</v>
      </c>
      <c r="S16" s="16">
        <f>'Correción de información'!J14</f>
        <v>81959</v>
      </c>
      <c r="T16" s="67">
        <f t="shared" si="8"/>
        <v>2.4184886985013761E-2</v>
      </c>
      <c r="U16" s="16">
        <f t="shared" si="9"/>
        <v>73134</v>
      </c>
      <c r="V16" s="16">
        <f t="shared" si="10"/>
        <v>82057</v>
      </c>
      <c r="W16" s="67">
        <f t="shared" si="11"/>
        <v>2.3182454525523921E-2</v>
      </c>
      <c r="X16" s="16">
        <f t="shared" si="12"/>
        <v>73164</v>
      </c>
      <c r="Y16" s="16">
        <f t="shared" si="13"/>
        <v>82052</v>
      </c>
      <c r="Z16" s="67">
        <f t="shared" si="14"/>
        <v>2.2917823486454384E-2</v>
      </c>
      <c r="AA16" s="16">
        <f t="shared" si="15"/>
        <v>73164</v>
      </c>
      <c r="AB16" s="16">
        <f t="shared" si="16"/>
        <v>82052</v>
      </c>
    </row>
    <row r="17" spans="2:28" x14ac:dyDescent="0.25">
      <c r="B17" s="68" t="s">
        <v>263</v>
      </c>
      <c r="C17" s="16">
        <f>'Correción de información'!P15</f>
        <v>59525</v>
      </c>
      <c r="D17" s="16">
        <f>'Correción de información'!E15</f>
        <v>69162</v>
      </c>
      <c r="E17" s="67">
        <f t="shared" si="0"/>
        <v>3.4780990077667565E-2</v>
      </c>
      <c r="F17" s="16">
        <f t="shared" si="1"/>
        <v>58907</v>
      </c>
      <c r="G17" s="16">
        <f t="shared" si="2"/>
        <v>69281</v>
      </c>
      <c r="H17" s="67">
        <f t="shared" si="3"/>
        <v>3.2761924902575901E-2</v>
      </c>
      <c r="I17" s="16">
        <f t="shared" si="4"/>
        <v>58955</v>
      </c>
      <c r="J17" s="16">
        <f t="shared" si="17"/>
        <v>69272</v>
      </c>
      <c r="K17" s="67">
        <f t="shared" si="5"/>
        <v>3.2236693974697771E-2</v>
      </c>
      <c r="L17" s="16">
        <f t="shared" si="6"/>
        <v>58955</v>
      </c>
      <c r="M17" s="16">
        <f t="shared" si="7"/>
        <v>69272</v>
      </c>
      <c r="Q17" s="68" t="s">
        <v>263</v>
      </c>
      <c r="R17" s="16">
        <f>'Correción de información'!U15</f>
        <v>68175</v>
      </c>
      <c r="S17" s="16">
        <f>'Correción de información'!J15</f>
        <v>77868</v>
      </c>
      <c r="T17" s="67">
        <f t="shared" si="8"/>
        <v>3.0544467042348714E-2</v>
      </c>
      <c r="U17" s="16">
        <f t="shared" si="9"/>
        <v>67553</v>
      </c>
      <c r="V17" s="16">
        <f t="shared" si="10"/>
        <v>77985</v>
      </c>
      <c r="W17" s="67">
        <f t="shared" si="11"/>
        <v>2.8970912841654872E-2</v>
      </c>
      <c r="X17" s="16">
        <f t="shared" si="12"/>
        <v>67596</v>
      </c>
      <c r="Y17" s="16">
        <f t="shared" si="13"/>
        <v>77978</v>
      </c>
      <c r="Z17" s="67">
        <f t="shared" si="14"/>
        <v>2.8559189048742491E-2</v>
      </c>
      <c r="AA17" s="16">
        <f t="shared" si="15"/>
        <v>67596</v>
      </c>
      <c r="AB17" s="16">
        <f t="shared" si="16"/>
        <v>77978</v>
      </c>
    </row>
    <row r="18" spans="2:28" x14ac:dyDescent="0.25">
      <c r="B18" s="68" t="s">
        <v>264</v>
      </c>
      <c r="C18" s="16">
        <f>'Correción de información'!P16</f>
        <v>53440</v>
      </c>
      <c r="D18" s="16">
        <f>'Correción de información'!E16</f>
        <v>64715</v>
      </c>
      <c r="E18" s="67">
        <f t="shared" si="0"/>
        <v>4.532622879608645E-2</v>
      </c>
      <c r="F18" s="16">
        <f t="shared" si="1"/>
        <v>52717</v>
      </c>
      <c r="G18" s="16">
        <f t="shared" si="2"/>
        <v>64860</v>
      </c>
      <c r="H18" s="67">
        <f t="shared" si="3"/>
        <v>4.1983477889160348E-2</v>
      </c>
      <c r="I18" s="16">
        <f t="shared" si="4"/>
        <v>52788</v>
      </c>
      <c r="J18" s="16">
        <f t="shared" si="17"/>
        <v>64846</v>
      </c>
      <c r="K18" s="67">
        <f t="shared" si="5"/>
        <v>4.1126087053027699E-2</v>
      </c>
      <c r="L18" s="16">
        <f t="shared" si="6"/>
        <v>52788</v>
      </c>
      <c r="M18" s="16">
        <f t="shared" si="7"/>
        <v>64846</v>
      </c>
      <c r="Q18" s="68" t="s">
        <v>264</v>
      </c>
      <c r="R18" s="16">
        <f>'Correción de información'!U16</f>
        <v>60015</v>
      </c>
      <c r="S18" s="16">
        <f>'Correción de información'!J16</f>
        <v>72217</v>
      </c>
      <c r="T18" s="67">
        <f t="shared" si="8"/>
        <v>4.3678799742873795E-2</v>
      </c>
      <c r="U18" s="16">
        <f t="shared" si="9"/>
        <v>59232</v>
      </c>
      <c r="V18" s="16">
        <f t="shared" si="10"/>
        <v>72373</v>
      </c>
      <c r="W18" s="67">
        <f t="shared" si="11"/>
        <v>4.0562421079988864E-2</v>
      </c>
      <c r="X18" s="16">
        <f t="shared" si="12"/>
        <v>59307</v>
      </c>
      <c r="Y18" s="16">
        <f t="shared" si="13"/>
        <v>72359</v>
      </c>
      <c r="Z18" s="67">
        <f t="shared" si="14"/>
        <v>3.9761356479326077E-2</v>
      </c>
      <c r="AA18" s="16">
        <f t="shared" si="15"/>
        <v>59307</v>
      </c>
      <c r="AB18" s="16">
        <f t="shared" si="16"/>
        <v>72359</v>
      </c>
    </row>
    <row r="19" spans="2:28" x14ac:dyDescent="0.25">
      <c r="B19" s="68" t="s">
        <v>265</v>
      </c>
      <c r="C19" s="16">
        <f>'Correción de información'!P17</f>
        <v>44849</v>
      </c>
      <c r="D19" s="16">
        <f>'Correción de información'!E17</f>
        <v>55010</v>
      </c>
      <c r="E19" s="67">
        <f t="shared" si="0"/>
        <v>4.8672446110485892E-2</v>
      </c>
      <c r="F19" s="16">
        <f t="shared" si="1"/>
        <v>44197</v>
      </c>
      <c r="G19" s="16">
        <f t="shared" si="2"/>
        <v>55142</v>
      </c>
      <c r="H19" s="67">
        <f t="shared" si="3"/>
        <v>4.4848280222982373E-2</v>
      </c>
      <c r="I19" s="16">
        <f t="shared" si="4"/>
        <v>44265</v>
      </c>
      <c r="J19" s="16">
        <f t="shared" si="17"/>
        <v>55129</v>
      </c>
      <c r="K19" s="67">
        <f t="shared" si="5"/>
        <v>4.3871688486719629E-2</v>
      </c>
      <c r="L19" s="16">
        <f t="shared" si="6"/>
        <v>44265</v>
      </c>
      <c r="M19" s="16">
        <f t="shared" si="7"/>
        <v>55129</v>
      </c>
      <c r="Q19" s="68" t="s">
        <v>265</v>
      </c>
      <c r="R19" s="16">
        <f>'Correción de información'!U17</f>
        <v>49241</v>
      </c>
      <c r="S19" s="16">
        <f>'Correción de información'!J17</f>
        <v>61330</v>
      </c>
      <c r="T19" s="67">
        <f t="shared" si="8"/>
        <v>5.2742777803789026E-2</v>
      </c>
      <c r="U19" s="16">
        <f t="shared" si="9"/>
        <v>48465</v>
      </c>
      <c r="V19" s="16">
        <f t="shared" si="10"/>
        <v>61490</v>
      </c>
      <c r="W19" s="67">
        <f t="shared" si="11"/>
        <v>4.8294766709829684E-2</v>
      </c>
      <c r="X19" s="16">
        <f t="shared" si="12"/>
        <v>48552</v>
      </c>
      <c r="Y19" s="16">
        <f t="shared" si="13"/>
        <v>61473</v>
      </c>
      <c r="Z19" s="67">
        <f t="shared" si="14"/>
        <v>4.7164812295494074E-2</v>
      </c>
      <c r="AA19" s="16">
        <f t="shared" si="15"/>
        <v>48552</v>
      </c>
      <c r="AB19" s="16">
        <f t="shared" si="16"/>
        <v>61473</v>
      </c>
    </row>
    <row r="20" spans="2:28" x14ac:dyDescent="0.25">
      <c r="B20" s="68" t="s">
        <v>266</v>
      </c>
      <c r="C20" s="16">
        <f>'Correción de información'!P18</f>
        <v>36379</v>
      </c>
      <c r="D20" s="16">
        <f>'Correción de información'!E18</f>
        <v>44931</v>
      </c>
      <c r="E20" s="67">
        <f t="shared" si="0"/>
        <v>5.0502912078210817E-2</v>
      </c>
      <c r="F20" s="16">
        <f t="shared" si="1"/>
        <v>35830</v>
      </c>
      <c r="G20" s="16">
        <f t="shared" si="2"/>
        <v>45043</v>
      </c>
      <c r="H20" s="67">
        <f t="shared" si="3"/>
        <v>4.6403332166749411E-2</v>
      </c>
      <c r="I20" s="16">
        <f t="shared" si="4"/>
        <v>35890</v>
      </c>
      <c r="J20" s="16">
        <f t="shared" si="17"/>
        <v>45032</v>
      </c>
      <c r="K20" s="67">
        <f t="shared" si="5"/>
        <v>4.5358886125846848E-2</v>
      </c>
      <c r="L20" s="16">
        <f t="shared" si="6"/>
        <v>35890</v>
      </c>
      <c r="M20" s="16">
        <f t="shared" si="7"/>
        <v>45032</v>
      </c>
      <c r="Q20" s="68" t="s">
        <v>266</v>
      </c>
      <c r="R20" s="16">
        <f>'Correción de información'!U18</f>
        <v>39265</v>
      </c>
      <c r="S20" s="16">
        <f>'Correción de información'!J18</f>
        <v>49761</v>
      </c>
      <c r="T20" s="67">
        <f t="shared" si="8"/>
        <v>5.7427208475453961E-2</v>
      </c>
      <c r="U20" s="16">
        <f t="shared" si="9"/>
        <v>38592</v>
      </c>
      <c r="V20" s="16">
        <f t="shared" si="10"/>
        <v>49902</v>
      </c>
      <c r="W20" s="67">
        <f t="shared" si="11"/>
        <v>5.2210651207796888E-2</v>
      </c>
      <c r="X20" s="16">
        <f t="shared" si="12"/>
        <v>38673</v>
      </c>
      <c r="Y20" s="16">
        <f t="shared" si="13"/>
        <v>49886</v>
      </c>
      <c r="Z20" s="67">
        <f t="shared" si="14"/>
        <v>5.089333306108873E-2</v>
      </c>
      <c r="AA20" s="16">
        <f t="shared" si="15"/>
        <v>38673</v>
      </c>
      <c r="AB20" s="16">
        <f t="shared" si="16"/>
        <v>49886</v>
      </c>
    </row>
    <row r="21" spans="2:28" x14ac:dyDescent="0.25">
      <c r="B21" s="68" t="s">
        <v>267</v>
      </c>
      <c r="C21" s="16">
        <f>'Correción de información'!P19</f>
        <v>27968</v>
      </c>
      <c r="D21" s="16">
        <f>'Correción de información'!E19</f>
        <v>36387</v>
      </c>
      <c r="E21" s="67">
        <f t="shared" si="0"/>
        <v>6.466936315345008E-2</v>
      </c>
      <c r="F21" s="16">
        <f t="shared" si="1"/>
        <v>27428</v>
      </c>
      <c r="G21" s="16">
        <f t="shared" si="2"/>
        <v>36503</v>
      </c>
      <c r="H21" s="67">
        <f t="shared" si="3"/>
        <v>5.8161776770188078E-2</v>
      </c>
      <c r="I21" s="16">
        <f t="shared" si="4"/>
        <v>27500</v>
      </c>
      <c r="J21" s="16">
        <f t="shared" si="17"/>
        <v>36489</v>
      </c>
      <c r="K21" s="67">
        <f t="shared" si="5"/>
        <v>5.653322984722238E-2</v>
      </c>
      <c r="L21" s="16">
        <f t="shared" si="6"/>
        <v>27500</v>
      </c>
      <c r="M21" s="16">
        <f t="shared" si="7"/>
        <v>36489</v>
      </c>
      <c r="Q21" s="68" t="s">
        <v>267</v>
      </c>
      <c r="R21" s="16">
        <f>'Correción de información'!U19</f>
        <v>29973</v>
      </c>
      <c r="S21" s="16">
        <f>'Correción de información'!J19</f>
        <v>39801</v>
      </c>
      <c r="T21" s="67">
        <f t="shared" si="8"/>
        <v>7.0442444698168294E-2</v>
      </c>
      <c r="U21" s="16">
        <f t="shared" si="9"/>
        <v>29342</v>
      </c>
      <c r="V21" s="16">
        <f t="shared" si="10"/>
        <v>39939</v>
      </c>
      <c r="W21" s="67">
        <f t="shared" si="11"/>
        <v>6.2819589061461789E-2</v>
      </c>
      <c r="X21" s="16">
        <f t="shared" si="12"/>
        <v>29433</v>
      </c>
      <c r="Y21" s="16">
        <f t="shared" si="13"/>
        <v>39921</v>
      </c>
      <c r="Z21" s="67">
        <f t="shared" si="14"/>
        <v>6.092536629318588E-2</v>
      </c>
      <c r="AA21" s="16">
        <f t="shared" si="15"/>
        <v>29433</v>
      </c>
      <c r="AB21" s="16">
        <f t="shared" si="16"/>
        <v>39921</v>
      </c>
    </row>
    <row r="22" spans="2:28" x14ac:dyDescent="0.25">
      <c r="B22" s="68" t="s">
        <v>268</v>
      </c>
      <c r="C22" s="16">
        <f>'Correción de información'!P20</f>
        <v>20759</v>
      </c>
      <c r="D22" s="16">
        <f>'Correción de información'!E20</f>
        <v>27504</v>
      </c>
      <c r="E22" s="67">
        <f t="shared" si="0"/>
        <v>6.9803148274597604E-2</v>
      </c>
      <c r="F22" s="16">
        <f t="shared" si="1"/>
        <v>20326</v>
      </c>
      <c r="G22" s="16">
        <f t="shared" si="2"/>
        <v>27599</v>
      </c>
      <c r="H22" s="67">
        <f t="shared" si="3"/>
        <v>6.2307458753445122E-2</v>
      </c>
      <c r="I22" s="16">
        <f t="shared" si="4"/>
        <v>20388</v>
      </c>
      <c r="J22" s="16">
        <f t="shared" si="17"/>
        <v>27586</v>
      </c>
      <c r="K22" s="67">
        <f t="shared" si="5"/>
        <v>6.0443390104084831E-2</v>
      </c>
      <c r="L22" s="16">
        <f t="shared" si="6"/>
        <v>20388</v>
      </c>
      <c r="M22" s="16">
        <f t="shared" si="7"/>
        <v>27586</v>
      </c>
      <c r="Q22" s="68" t="s">
        <v>268</v>
      </c>
      <c r="R22" s="16">
        <f>'Correción de información'!U20</f>
        <v>22417</v>
      </c>
      <c r="S22" s="16">
        <f>'Correción de información'!J20</f>
        <v>30237</v>
      </c>
      <c r="T22" s="67">
        <f t="shared" si="8"/>
        <v>7.4942598401642926E-2</v>
      </c>
      <c r="U22" s="16">
        <f t="shared" si="9"/>
        <v>21915</v>
      </c>
      <c r="V22" s="16">
        <f t="shared" si="10"/>
        <v>30349</v>
      </c>
      <c r="W22" s="67">
        <f t="shared" si="11"/>
        <v>6.6399319584158789E-2</v>
      </c>
      <c r="X22" s="16">
        <f t="shared" si="12"/>
        <v>21991</v>
      </c>
      <c r="Y22" s="16">
        <f t="shared" si="13"/>
        <v>30333</v>
      </c>
      <c r="Z22" s="67">
        <f t="shared" si="14"/>
        <v>6.4287851832794854E-2</v>
      </c>
      <c r="AA22" s="16">
        <f t="shared" si="15"/>
        <v>21991</v>
      </c>
      <c r="AB22" s="16">
        <f t="shared" si="16"/>
        <v>30333</v>
      </c>
    </row>
    <row r="23" spans="2:28" x14ac:dyDescent="0.25">
      <c r="B23" s="68" t="s">
        <v>269</v>
      </c>
      <c r="C23" s="16">
        <f>'Correción de información'!P21</f>
        <v>15865</v>
      </c>
      <c r="D23" s="16">
        <f>'Correción de información'!E21</f>
        <v>20130</v>
      </c>
      <c r="E23" s="67">
        <f t="shared" si="0"/>
        <v>5.7753518086963516E-2</v>
      </c>
      <c r="F23" s="16">
        <f t="shared" si="1"/>
        <v>15591</v>
      </c>
      <c r="G23" s="16">
        <f t="shared" si="2"/>
        <v>20187</v>
      </c>
      <c r="H23" s="67">
        <f t="shared" si="3"/>
        <v>5.2481448810344444E-2</v>
      </c>
      <c r="I23" s="16">
        <f t="shared" si="4"/>
        <v>15625</v>
      </c>
      <c r="J23" s="16">
        <f t="shared" si="17"/>
        <v>20181</v>
      </c>
      <c r="K23" s="67">
        <f t="shared" si="5"/>
        <v>5.1150660585660701E-2</v>
      </c>
      <c r="L23" s="16">
        <f t="shared" si="6"/>
        <v>15625</v>
      </c>
      <c r="M23" s="16">
        <f t="shared" si="7"/>
        <v>20181</v>
      </c>
      <c r="Q23" s="68" t="s">
        <v>269</v>
      </c>
      <c r="R23" s="16">
        <f>'Correción de información'!U21</f>
        <v>17689</v>
      </c>
      <c r="S23" s="16">
        <f>'Correción de información'!J21</f>
        <v>22656</v>
      </c>
      <c r="T23" s="67">
        <f t="shared" si="8"/>
        <v>6.0324032276853519E-2</v>
      </c>
      <c r="U23" s="16">
        <f t="shared" si="9"/>
        <v>17370</v>
      </c>
      <c r="V23" s="16">
        <f t="shared" si="10"/>
        <v>22723</v>
      </c>
      <c r="W23" s="67">
        <f t="shared" si="11"/>
        <v>5.4605812961380229E-2</v>
      </c>
      <c r="X23" s="16">
        <f t="shared" si="12"/>
        <v>17410</v>
      </c>
      <c r="Y23" s="16">
        <f t="shared" si="13"/>
        <v>22715</v>
      </c>
      <c r="Z23" s="67">
        <f t="shared" si="14"/>
        <v>5.3167060104901499E-2</v>
      </c>
      <c r="AA23" s="16">
        <f t="shared" si="15"/>
        <v>17410</v>
      </c>
      <c r="AB23" s="16">
        <f t="shared" si="16"/>
        <v>22715</v>
      </c>
    </row>
    <row r="24" spans="2:28" x14ac:dyDescent="0.25">
      <c r="B24" s="68" t="s">
        <v>270</v>
      </c>
      <c r="C24" s="16">
        <f>'Correción de información'!P22</f>
        <v>12050</v>
      </c>
      <c r="D24" s="16">
        <f>'Correción de información'!E22</f>
        <v>15062</v>
      </c>
      <c r="E24" s="67">
        <f t="shared" si="0"/>
        <v>5.3699149365382122E-2</v>
      </c>
      <c r="F24" s="16">
        <f t="shared" si="1"/>
        <v>11857</v>
      </c>
      <c r="G24" s="16">
        <f t="shared" si="2"/>
        <v>15102</v>
      </c>
      <c r="H24" s="67">
        <f t="shared" si="3"/>
        <v>4.9098580483912135E-2</v>
      </c>
      <c r="I24" s="16">
        <f t="shared" si="4"/>
        <v>11879</v>
      </c>
      <c r="J24" s="16">
        <f t="shared" si="17"/>
        <v>15098</v>
      </c>
      <c r="K24" s="67">
        <f t="shared" si="5"/>
        <v>4.7931300674520907E-2</v>
      </c>
      <c r="L24" s="16">
        <f t="shared" si="6"/>
        <v>11879</v>
      </c>
      <c r="M24" s="16">
        <f t="shared" si="7"/>
        <v>15098</v>
      </c>
      <c r="Q24" s="68" t="s">
        <v>270</v>
      </c>
      <c r="R24" s="16">
        <f>'Correción de información'!U22</f>
        <v>13617</v>
      </c>
      <c r="S24" s="16">
        <f>'Correción de información'!J22</f>
        <v>17268</v>
      </c>
      <c r="T24" s="67">
        <f t="shared" si="8"/>
        <v>5.7600981150738473E-2</v>
      </c>
      <c r="U24" s="16">
        <f t="shared" si="9"/>
        <v>13383</v>
      </c>
      <c r="V24" s="16">
        <f t="shared" si="10"/>
        <v>17317</v>
      </c>
      <c r="W24" s="67">
        <f t="shared" si="11"/>
        <v>5.2354893258922619E-2</v>
      </c>
      <c r="X24" s="16">
        <f t="shared" si="12"/>
        <v>13411</v>
      </c>
      <c r="Y24" s="16">
        <f t="shared" si="13"/>
        <v>17312</v>
      </c>
      <c r="Z24" s="67">
        <f t="shared" si="14"/>
        <v>5.103040843204202E-2</v>
      </c>
      <c r="AA24" s="16">
        <f t="shared" si="15"/>
        <v>13411</v>
      </c>
      <c r="AB24" s="16">
        <f t="shared" si="16"/>
        <v>17312</v>
      </c>
    </row>
    <row r="25" spans="2:28" x14ac:dyDescent="0.25">
      <c r="B25" s="68" t="s">
        <v>271</v>
      </c>
      <c r="C25" s="16">
        <f>'Correción de información'!P23</f>
        <v>8774</v>
      </c>
      <c r="D25" s="16">
        <f>'Correción de información'!E23</f>
        <v>11253</v>
      </c>
      <c r="E25" s="67">
        <f t="shared" si="0"/>
        <v>6.0698559189472125E-2</v>
      </c>
      <c r="F25" s="16">
        <f t="shared" si="1"/>
        <v>8615</v>
      </c>
      <c r="G25" s="16">
        <f t="shared" si="2"/>
        <v>11287</v>
      </c>
      <c r="H25" s="67">
        <f t="shared" si="3"/>
        <v>5.4914033299418241E-2</v>
      </c>
      <c r="I25" s="16">
        <f t="shared" si="4"/>
        <v>8635</v>
      </c>
      <c r="J25" s="16">
        <f t="shared" si="17"/>
        <v>11283</v>
      </c>
      <c r="K25" s="67">
        <f t="shared" si="5"/>
        <v>5.345927858369675E-2</v>
      </c>
      <c r="L25" s="16">
        <f t="shared" si="6"/>
        <v>8635</v>
      </c>
      <c r="M25" s="16">
        <f t="shared" si="7"/>
        <v>11283</v>
      </c>
      <c r="Q25" s="68" t="s">
        <v>271</v>
      </c>
      <c r="R25" s="16">
        <f>'Correción de información'!U23</f>
        <v>9968</v>
      </c>
      <c r="S25" s="16">
        <f>'Correción de información'!J23</f>
        <v>13011</v>
      </c>
      <c r="T25" s="67">
        <f t="shared" si="8"/>
        <v>6.5583321602642297E-2</v>
      </c>
      <c r="U25" s="16">
        <f t="shared" si="9"/>
        <v>9773</v>
      </c>
      <c r="V25" s="16">
        <f t="shared" si="10"/>
        <v>13053</v>
      </c>
      <c r="W25" s="67">
        <f t="shared" si="11"/>
        <v>5.8904174934955922E-2</v>
      </c>
      <c r="X25" s="16">
        <f t="shared" si="12"/>
        <v>9799</v>
      </c>
      <c r="Y25" s="16">
        <f t="shared" si="13"/>
        <v>13048</v>
      </c>
      <c r="Z25" s="67">
        <f t="shared" si="14"/>
        <v>5.723457615587297E-2</v>
      </c>
      <c r="AA25" s="16">
        <f t="shared" si="15"/>
        <v>9799</v>
      </c>
      <c r="AB25" s="16">
        <f t="shared" si="16"/>
        <v>13048</v>
      </c>
    </row>
    <row r="26" spans="2:28" x14ac:dyDescent="0.25">
      <c r="B26" s="68" t="s">
        <v>272</v>
      </c>
      <c r="C26" s="16">
        <f>'Correción de información'!P24</f>
        <v>6235</v>
      </c>
      <c r="D26" s="16">
        <f>'Correción de información'!E24</f>
        <v>7618</v>
      </c>
      <c r="E26" s="67">
        <f t="shared" si="0"/>
        <v>4.7652447097283057E-2</v>
      </c>
      <c r="F26" s="16">
        <f t="shared" si="1"/>
        <v>6146</v>
      </c>
      <c r="G26" s="16">
        <f t="shared" si="2"/>
        <v>7636</v>
      </c>
      <c r="H26" s="67">
        <f t="shared" si="3"/>
        <v>4.3978068158640804E-2</v>
      </c>
      <c r="I26" s="16">
        <f t="shared" si="4"/>
        <v>6155</v>
      </c>
      <c r="J26" s="16">
        <f t="shared" si="17"/>
        <v>7634</v>
      </c>
      <c r="K26" s="67">
        <f t="shared" si="5"/>
        <v>4.3038481728905592E-2</v>
      </c>
      <c r="L26" s="16">
        <f t="shared" si="6"/>
        <v>6155</v>
      </c>
      <c r="M26" s="16">
        <f t="shared" si="7"/>
        <v>7634</v>
      </c>
      <c r="Q26" s="68" t="s">
        <v>272</v>
      </c>
      <c r="R26" s="16">
        <f>'Correción de información'!U24</f>
        <v>7304</v>
      </c>
      <c r="S26" s="16">
        <f>'Correción de información'!J24</f>
        <v>8994</v>
      </c>
      <c r="T26" s="97">
        <f t="shared" si="8"/>
        <v>4.97079011105689E-2</v>
      </c>
      <c r="U26" s="16">
        <f t="shared" si="9"/>
        <v>7196</v>
      </c>
      <c r="V26" s="16">
        <f t="shared" si="10"/>
        <v>9016</v>
      </c>
      <c r="W26" s="97">
        <f t="shared" si="11"/>
        <v>4.572897749624838E-2</v>
      </c>
      <c r="X26" s="16">
        <f t="shared" si="12"/>
        <v>7207</v>
      </c>
      <c r="Y26" s="16">
        <f t="shared" si="13"/>
        <v>9014</v>
      </c>
      <c r="Z26" s="97">
        <f t="shared" si="14"/>
        <v>4.4714228337483619E-2</v>
      </c>
      <c r="AA26" s="16">
        <f t="shared" si="15"/>
        <v>7207</v>
      </c>
      <c r="AB26" s="16">
        <f t="shared" si="16"/>
        <v>9014</v>
      </c>
    </row>
    <row r="27" spans="2:28" x14ac:dyDescent="0.25">
      <c r="B27" s="68" t="s">
        <v>273</v>
      </c>
      <c r="C27" s="16">
        <f>'Correción de información'!P25</f>
        <v>3849</v>
      </c>
      <c r="D27" s="16">
        <f>'Correción de información'!E25</f>
        <v>4675</v>
      </c>
      <c r="E27" s="67">
        <f t="shared" si="0"/>
        <v>4.6103258515126103E-2</v>
      </c>
      <c r="F27" s="16">
        <f t="shared" si="1"/>
        <v>3796</v>
      </c>
      <c r="G27" s="16">
        <f t="shared" si="2"/>
        <v>4686</v>
      </c>
      <c r="H27" s="67">
        <f t="shared" si="3"/>
        <v>4.2651285445430398E-2</v>
      </c>
      <c r="I27" s="16">
        <f t="shared" si="4"/>
        <v>3801</v>
      </c>
      <c r="J27" s="16">
        <f t="shared" si="17"/>
        <v>4685</v>
      </c>
      <c r="K27" s="67">
        <f t="shared" si="5"/>
        <v>4.1766782095497376E-2</v>
      </c>
      <c r="L27" s="16">
        <f t="shared" si="6"/>
        <v>3801</v>
      </c>
      <c r="M27" s="16">
        <f t="shared" si="7"/>
        <v>4685</v>
      </c>
      <c r="Q27" s="68" t="s">
        <v>273</v>
      </c>
      <c r="R27" s="16">
        <f>'Correción de información'!U25</f>
        <v>4755</v>
      </c>
      <c r="S27" s="16">
        <f>'Correción de información'!J25</f>
        <v>6161</v>
      </c>
      <c r="T27" s="67">
        <f t="shared" si="8"/>
        <v>6.3523480441578503E-2</v>
      </c>
      <c r="U27" s="16">
        <f t="shared" si="9"/>
        <v>4665</v>
      </c>
      <c r="V27" s="16">
        <f t="shared" si="10"/>
        <v>6180</v>
      </c>
      <c r="W27" s="67">
        <f t="shared" si="11"/>
        <v>5.7228291358527139E-2</v>
      </c>
      <c r="X27" s="16">
        <f t="shared" si="12"/>
        <v>4677</v>
      </c>
      <c r="Y27" s="16">
        <f t="shared" si="13"/>
        <v>6178</v>
      </c>
      <c r="Z27" s="67">
        <f t="shared" si="14"/>
        <v>5.565066403931973E-2</v>
      </c>
      <c r="AA27" s="16">
        <f t="shared" si="15"/>
        <v>4677</v>
      </c>
      <c r="AB27" s="16">
        <f t="shared" si="16"/>
        <v>6178</v>
      </c>
    </row>
    <row r="28" spans="2:28" x14ac:dyDescent="0.25">
      <c r="B28" s="68" t="s">
        <v>290</v>
      </c>
      <c r="C28" s="16">
        <f>'Correción de información'!P26</f>
        <v>2956</v>
      </c>
      <c r="D28" s="16">
        <f>'Correción de información'!E26</f>
        <v>4068</v>
      </c>
      <c r="E28" s="67">
        <f t="shared" si="0"/>
        <v>8.0816463716219269E-2</v>
      </c>
      <c r="F28" s="16">
        <f t="shared" si="1"/>
        <v>2885</v>
      </c>
      <c r="G28" s="16">
        <f t="shared" si="2"/>
        <v>4084</v>
      </c>
      <c r="H28" s="67">
        <f t="shared" si="3"/>
        <v>7.1006701311181031E-2</v>
      </c>
      <c r="I28" s="16">
        <f t="shared" si="4"/>
        <v>2896</v>
      </c>
      <c r="J28" s="16">
        <f t="shared" si="17"/>
        <v>4082</v>
      </c>
      <c r="K28" s="67">
        <f t="shared" si="5"/>
        <v>6.8599048505962754E-2</v>
      </c>
      <c r="L28" s="16">
        <f t="shared" si="6"/>
        <v>2896</v>
      </c>
      <c r="M28" s="16">
        <f t="shared" si="7"/>
        <v>4082</v>
      </c>
      <c r="Q28" s="68" t="s">
        <v>290</v>
      </c>
      <c r="R28" s="16">
        <f>'Correción de información'!U26</f>
        <v>4446</v>
      </c>
      <c r="S28" s="16">
        <f>'Correción de información'!J26</f>
        <v>5875</v>
      </c>
      <c r="T28" s="67">
        <f t="shared" si="8"/>
        <v>6.9049773132670189E-2</v>
      </c>
      <c r="U28" s="16">
        <f t="shared" si="9"/>
        <v>4354</v>
      </c>
      <c r="V28" s="16">
        <f t="shared" si="10"/>
        <v>5895</v>
      </c>
      <c r="W28" s="67">
        <f t="shared" si="11"/>
        <v>6.1702781215011493E-2</v>
      </c>
      <c r="X28" s="16">
        <f t="shared" si="12"/>
        <v>4367</v>
      </c>
      <c r="Y28" s="16">
        <f t="shared" si="13"/>
        <v>5892</v>
      </c>
      <c r="Z28" s="67">
        <f t="shared" si="14"/>
        <v>5.9874016620482348E-2</v>
      </c>
      <c r="AA28" s="16">
        <f t="shared" si="15"/>
        <v>4367</v>
      </c>
      <c r="AB28" s="16">
        <f t="shared" si="16"/>
        <v>5892</v>
      </c>
    </row>
  </sheetData>
  <mergeCells count="6">
    <mergeCell ref="B9:C9"/>
    <mergeCell ref="Q9:R9"/>
    <mergeCell ref="D3:E3"/>
    <mergeCell ref="D4:E4"/>
    <mergeCell ref="D5:E5"/>
    <mergeCell ref="D6:E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06FE-A143-43A1-A7AB-CAD50A47899C}">
  <dimension ref="A2:AK269"/>
  <sheetViews>
    <sheetView topLeftCell="A130" zoomScale="85" zoomScaleNormal="85" workbookViewId="0">
      <selection activeCell="C57" sqref="C57"/>
    </sheetView>
  </sheetViews>
  <sheetFormatPr baseColWidth="10" defaultRowHeight="15" x14ac:dyDescent="0.25"/>
  <cols>
    <col min="1" max="1" width="21.5703125" customWidth="1"/>
    <col min="2" max="2" width="21.7109375" customWidth="1"/>
    <col min="3" max="3" width="20.28515625" customWidth="1"/>
    <col min="4" max="4" width="16.140625" customWidth="1"/>
    <col min="5" max="5" width="11.42578125" customWidth="1"/>
    <col min="6" max="6" width="16.42578125" customWidth="1"/>
    <col min="7" max="7" width="18.140625" customWidth="1"/>
    <col min="8" max="8" width="18.7109375" customWidth="1"/>
    <col min="9" max="9" width="15.28515625" customWidth="1"/>
    <col min="10" max="10" width="14.85546875" customWidth="1"/>
    <col min="12" max="12" width="18.140625" customWidth="1"/>
    <col min="13" max="13" width="20.28515625" customWidth="1"/>
    <col min="14" max="14" width="16.28515625" customWidth="1"/>
    <col min="15" max="15" width="15" customWidth="1"/>
    <col min="16" max="16" width="14.85546875" customWidth="1"/>
  </cols>
  <sheetData>
    <row r="2" spans="1:4" x14ac:dyDescent="0.25">
      <c r="A2" s="47" t="s">
        <v>311</v>
      </c>
    </row>
    <row r="3" spans="1:4" x14ac:dyDescent="0.25">
      <c r="A3" s="99" t="s">
        <v>310</v>
      </c>
      <c r="B3" s="78" t="s">
        <v>107</v>
      </c>
      <c r="C3" s="78" t="s">
        <v>2</v>
      </c>
      <c r="D3" s="78" t="s">
        <v>3</v>
      </c>
    </row>
    <row r="4" spans="1:4" x14ac:dyDescent="0.25">
      <c r="A4" s="78">
        <v>1999</v>
      </c>
      <c r="B4" s="17">
        <f>C4+D4</f>
        <v>40816</v>
      </c>
      <c r="C4" s="17">
        <v>20333</v>
      </c>
      <c r="D4" s="17">
        <v>20483</v>
      </c>
    </row>
    <row r="5" spans="1:4" x14ac:dyDescent="0.25">
      <c r="A5" s="78">
        <v>2000</v>
      </c>
      <c r="B5" s="17">
        <f>C5+D5</f>
        <v>40125</v>
      </c>
      <c r="C5" s="17">
        <v>20298</v>
      </c>
      <c r="D5" s="17">
        <v>19827</v>
      </c>
    </row>
    <row r="6" spans="1:4" x14ac:dyDescent="0.25">
      <c r="A6" s="78">
        <v>2001</v>
      </c>
      <c r="B6" s="17">
        <f t="shared" ref="B6:B15" si="0">C6+D6</f>
        <v>37877</v>
      </c>
      <c r="C6" s="17">
        <v>19044</v>
      </c>
      <c r="D6" s="17">
        <v>18833</v>
      </c>
    </row>
    <row r="7" spans="1:4" x14ac:dyDescent="0.25">
      <c r="A7" s="78">
        <v>2002</v>
      </c>
      <c r="B7" s="17">
        <f t="shared" si="0"/>
        <v>36928</v>
      </c>
      <c r="C7" s="17">
        <v>18800</v>
      </c>
      <c r="D7" s="17">
        <v>18128</v>
      </c>
    </row>
    <row r="8" spans="1:4" x14ac:dyDescent="0.25">
      <c r="A8" s="78">
        <v>2003</v>
      </c>
      <c r="B8" s="17">
        <f t="shared" si="0"/>
        <v>38105</v>
      </c>
      <c r="C8" s="17">
        <v>19138</v>
      </c>
      <c r="D8" s="17">
        <v>18967</v>
      </c>
    </row>
    <row r="9" spans="1:4" x14ac:dyDescent="0.25">
      <c r="A9" s="78">
        <v>2004</v>
      </c>
      <c r="B9" s="17">
        <f t="shared" si="0"/>
        <v>40069</v>
      </c>
      <c r="C9" s="17">
        <v>20246</v>
      </c>
      <c r="D9" s="17">
        <v>19823</v>
      </c>
    </row>
    <row r="10" spans="1:4" x14ac:dyDescent="0.25">
      <c r="A10" s="78">
        <v>2005</v>
      </c>
      <c r="B10" s="17">
        <f t="shared" si="0"/>
        <v>41887</v>
      </c>
      <c r="C10" s="17">
        <v>21132</v>
      </c>
      <c r="D10" s="17">
        <v>20755</v>
      </c>
    </row>
    <row r="11" spans="1:4" x14ac:dyDescent="0.25">
      <c r="A11" s="78">
        <v>2006</v>
      </c>
      <c r="B11" s="17">
        <f t="shared" si="0"/>
        <v>39498</v>
      </c>
      <c r="C11" s="17">
        <v>19900</v>
      </c>
      <c r="D11" s="17">
        <v>19598</v>
      </c>
    </row>
    <row r="12" spans="1:4" x14ac:dyDescent="0.25">
      <c r="A12" s="78">
        <v>2007</v>
      </c>
      <c r="B12" s="17">
        <f t="shared" si="0"/>
        <v>43458</v>
      </c>
      <c r="C12" s="17">
        <v>21930</v>
      </c>
      <c r="D12" s="17">
        <v>21528</v>
      </c>
    </row>
    <row r="13" spans="1:4" x14ac:dyDescent="0.25">
      <c r="A13" s="78">
        <v>2008</v>
      </c>
      <c r="B13" s="17">
        <f t="shared" si="0"/>
        <v>42457</v>
      </c>
      <c r="C13" s="17">
        <v>21454</v>
      </c>
      <c r="D13" s="17">
        <v>21003</v>
      </c>
    </row>
    <row r="14" spans="1:4" x14ac:dyDescent="0.25">
      <c r="A14" s="78">
        <v>2009</v>
      </c>
      <c r="B14" s="17">
        <f t="shared" si="0"/>
        <v>41258</v>
      </c>
      <c r="C14" s="17">
        <v>20883</v>
      </c>
      <c r="D14" s="17">
        <v>20375</v>
      </c>
    </row>
    <row r="15" spans="1:4" x14ac:dyDescent="0.25">
      <c r="A15" s="78">
        <v>2010</v>
      </c>
      <c r="B15" s="17">
        <f t="shared" si="0"/>
        <v>40856</v>
      </c>
      <c r="C15" s="17">
        <v>20860</v>
      </c>
      <c r="D15" s="17">
        <v>19996</v>
      </c>
    </row>
    <row r="17" spans="1:37" x14ac:dyDescent="0.25">
      <c r="A17" s="81" t="s">
        <v>313</v>
      </c>
    </row>
    <row r="18" spans="1:37" x14ac:dyDescent="0.25">
      <c r="A18" s="16"/>
      <c r="B18" s="77" t="s">
        <v>107</v>
      </c>
      <c r="C18" s="77" t="s">
        <v>107</v>
      </c>
      <c r="D18" s="77" t="s">
        <v>107</v>
      </c>
      <c r="E18" s="77" t="s">
        <v>107</v>
      </c>
      <c r="F18" s="77" t="s">
        <v>107</v>
      </c>
      <c r="G18" s="77" t="s">
        <v>107</v>
      </c>
      <c r="H18" s="77" t="s">
        <v>107</v>
      </c>
      <c r="I18" s="77" t="s">
        <v>107</v>
      </c>
      <c r="J18" s="77" t="s">
        <v>107</v>
      </c>
      <c r="K18" s="77" t="s">
        <v>107</v>
      </c>
      <c r="L18" s="77" t="s">
        <v>107</v>
      </c>
      <c r="M18" s="77" t="s">
        <v>107</v>
      </c>
      <c r="N18" s="77" t="s">
        <v>2</v>
      </c>
      <c r="O18" s="77" t="s">
        <v>2</v>
      </c>
      <c r="P18" s="77" t="s">
        <v>2</v>
      </c>
      <c r="Q18" s="77" t="s">
        <v>2</v>
      </c>
      <c r="R18" s="77" t="s">
        <v>2</v>
      </c>
      <c r="S18" s="77" t="s">
        <v>2</v>
      </c>
      <c r="T18" s="77" t="s">
        <v>2</v>
      </c>
      <c r="U18" s="77" t="s">
        <v>2</v>
      </c>
      <c r="V18" s="77" t="s">
        <v>2</v>
      </c>
      <c r="W18" s="77" t="s">
        <v>2</v>
      </c>
      <c r="X18" s="77" t="s">
        <v>2</v>
      </c>
      <c r="Y18" s="77" t="s">
        <v>2</v>
      </c>
      <c r="Z18" s="77" t="s">
        <v>3</v>
      </c>
      <c r="AA18" s="77" t="s">
        <v>3</v>
      </c>
      <c r="AB18" s="77" t="s">
        <v>3</v>
      </c>
      <c r="AC18" s="77" t="s">
        <v>3</v>
      </c>
      <c r="AD18" s="77" t="s">
        <v>3</v>
      </c>
      <c r="AE18" s="77" t="s">
        <v>3</v>
      </c>
      <c r="AF18" s="77" t="s">
        <v>3</v>
      </c>
      <c r="AG18" s="77" t="s">
        <v>3</v>
      </c>
      <c r="AH18" s="77" t="s">
        <v>3</v>
      </c>
      <c r="AI18" s="77" t="s">
        <v>3</v>
      </c>
      <c r="AJ18" s="77" t="s">
        <v>3</v>
      </c>
      <c r="AK18" s="77" t="s">
        <v>3</v>
      </c>
    </row>
    <row r="19" spans="1:37" x14ac:dyDescent="0.25">
      <c r="A19" s="77" t="s">
        <v>310</v>
      </c>
      <c r="B19" s="77">
        <v>1999</v>
      </c>
      <c r="C19" s="77">
        <v>2000</v>
      </c>
      <c r="D19" s="77">
        <v>2001</v>
      </c>
      <c r="E19" s="77">
        <v>2002</v>
      </c>
      <c r="F19" s="77">
        <v>2003</v>
      </c>
      <c r="G19" s="77">
        <v>2004</v>
      </c>
      <c r="H19" s="77">
        <v>2005</v>
      </c>
      <c r="I19" s="77">
        <v>2006</v>
      </c>
      <c r="J19" s="77">
        <v>2007</v>
      </c>
      <c r="K19" s="77">
        <v>2008</v>
      </c>
      <c r="L19" s="77">
        <v>2009</v>
      </c>
      <c r="M19" s="77">
        <v>2010</v>
      </c>
      <c r="N19" s="77">
        <v>1999</v>
      </c>
      <c r="O19" s="77">
        <v>2000</v>
      </c>
      <c r="P19" s="77">
        <v>2001</v>
      </c>
      <c r="Q19" s="77">
        <v>2002</v>
      </c>
      <c r="R19" s="77">
        <v>2003</v>
      </c>
      <c r="S19" s="77">
        <v>2004</v>
      </c>
      <c r="T19" s="77">
        <v>2005</v>
      </c>
      <c r="U19" s="77">
        <v>2006</v>
      </c>
      <c r="V19" s="77">
        <v>2007</v>
      </c>
      <c r="W19" s="77">
        <v>2008</v>
      </c>
      <c r="X19" s="77">
        <v>2009</v>
      </c>
      <c r="Y19" s="77">
        <v>2010</v>
      </c>
      <c r="Z19" s="77">
        <v>1999</v>
      </c>
      <c r="AA19" s="77">
        <v>2000</v>
      </c>
      <c r="AB19" s="77">
        <v>2001</v>
      </c>
      <c r="AC19" s="77">
        <v>2002</v>
      </c>
      <c r="AD19" s="77">
        <v>2003</v>
      </c>
      <c r="AE19" s="77">
        <v>2004</v>
      </c>
      <c r="AF19" s="77">
        <v>2005</v>
      </c>
      <c r="AG19" s="77">
        <v>2006</v>
      </c>
      <c r="AH19" s="77">
        <v>2007</v>
      </c>
      <c r="AI19" s="77">
        <v>2008</v>
      </c>
      <c r="AJ19" s="77">
        <v>2009</v>
      </c>
      <c r="AK19" s="77">
        <v>2010</v>
      </c>
    </row>
    <row r="20" spans="1:37" x14ac:dyDescent="0.25">
      <c r="A20" s="98" t="s">
        <v>312</v>
      </c>
      <c r="B20" s="16">
        <f>SUM(N20,Z20)</f>
        <v>743</v>
      </c>
      <c r="C20" s="16">
        <f>SUM(O20,AA20)</f>
        <v>676</v>
      </c>
      <c r="D20" s="16">
        <f>SUM(P20,AB20)</f>
        <v>644</v>
      </c>
      <c r="E20" s="16">
        <f>SUM(Q20,AC20)</f>
        <v>648</v>
      </c>
      <c r="F20" s="16">
        <f>SUM(R20,AD20)</f>
        <v>583</v>
      </c>
      <c r="G20" s="16">
        <f t="shared" ref="G20:M25" si="1">SUM(S20,AE20)</f>
        <v>531</v>
      </c>
      <c r="H20" s="16">
        <f t="shared" si="1"/>
        <v>534</v>
      </c>
      <c r="I20" s="16">
        <f t="shared" si="1"/>
        <v>466</v>
      </c>
      <c r="J20" s="16">
        <f t="shared" si="1"/>
        <v>543</v>
      </c>
      <c r="K20" s="16">
        <f t="shared" si="1"/>
        <v>491</v>
      </c>
      <c r="L20" s="16">
        <f t="shared" si="1"/>
        <v>474</v>
      </c>
      <c r="M20" s="16">
        <f t="shared" si="1"/>
        <v>490</v>
      </c>
      <c r="N20" s="16">
        <v>406</v>
      </c>
      <c r="O20" s="16">
        <v>373</v>
      </c>
      <c r="P20" s="16">
        <v>348</v>
      </c>
      <c r="Q20" s="16">
        <v>355</v>
      </c>
      <c r="R20" s="16">
        <v>331</v>
      </c>
      <c r="S20" s="16">
        <v>301</v>
      </c>
      <c r="T20" s="16">
        <v>290</v>
      </c>
      <c r="U20" s="16">
        <v>264</v>
      </c>
      <c r="V20" s="16">
        <v>298</v>
      </c>
      <c r="W20" s="16">
        <v>281</v>
      </c>
      <c r="X20" s="16">
        <v>269</v>
      </c>
      <c r="Y20" s="16">
        <v>267</v>
      </c>
      <c r="Z20" s="16">
        <v>337</v>
      </c>
      <c r="AA20" s="16">
        <v>303</v>
      </c>
      <c r="AB20" s="16">
        <v>296</v>
      </c>
      <c r="AC20" s="16">
        <v>293</v>
      </c>
      <c r="AD20" s="16">
        <v>252</v>
      </c>
      <c r="AE20" s="16">
        <v>230</v>
      </c>
      <c r="AF20" s="16">
        <v>244</v>
      </c>
      <c r="AG20" s="16">
        <v>202</v>
      </c>
      <c r="AH20" s="16">
        <v>245</v>
      </c>
      <c r="AI20" s="16">
        <v>210</v>
      </c>
      <c r="AJ20" s="16">
        <v>205</v>
      </c>
      <c r="AK20" s="16">
        <v>223</v>
      </c>
    </row>
    <row r="21" spans="1:37" x14ac:dyDescent="0.25">
      <c r="A21" s="77" t="s">
        <v>109</v>
      </c>
      <c r="B21" s="16">
        <f t="shared" ref="B21:F25" si="2">SUM(N21,Z21)</f>
        <v>66</v>
      </c>
      <c r="C21" s="16">
        <f t="shared" si="2"/>
        <v>47</v>
      </c>
      <c r="D21" s="16">
        <f t="shared" si="2"/>
        <v>43</v>
      </c>
      <c r="E21" s="16">
        <f t="shared" si="2"/>
        <v>38</v>
      </c>
      <c r="F21" s="16">
        <f t="shared" si="2"/>
        <v>53</v>
      </c>
      <c r="G21" s="16">
        <f t="shared" si="1"/>
        <v>44</v>
      </c>
      <c r="H21" s="16">
        <f t="shared" si="1"/>
        <v>37</v>
      </c>
      <c r="I21" s="16">
        <f t="shared" si="1"/>
        <v>44</v>
      </c>
      <c r="J21" s="16">
        <f t="shared" si="1"/>
        <v>46</v>
      </c>
      <c r="K21" s="16">
        <f t="shared" si="1"/>
        <v>31</v>
      </c>
      <c r="L21" s="16">
        <f t="shared" si="1"/>
        <v>42</v>
      </c>
      <c r="M21" s="16">
        <f t="shared" si="1"/>
        <v>38</v>
      </c>
      <c r="N21" s="16">
        <v>35</v>
      </c>
      <c r="O21" s="16">
        <v>24</v>
      </c>
      <c r="P21" s="16">
        <v>23</v>
      </c>
      <c r="Q21" s="16">
        <v>17</v>
      </c>
      <c r="R21" s="16">
        <v>24</v>
      </c>
      <c r="S21" s="16">
        <v>27</v>
      </c>
      <c r="T21" s="16">
        <v>23</v>
      </c>
      <c r="U21" s="16">
        <v>20</v>
      </c>
      <c r="V21" s="16">
        <v>26</v>
      </c>
      <c r="W21" s="16">
        <v>13</v>
      </c>
      <c r="X21" s="16">
        <v>30</v>
      </c>
      <c r="Y21" s="16">
        <v>18</v>
      </c>
      <c r="Z21" s="16">
        <v>31</v>
      </c>
      <c r="AA21" s="16">
        <v>23</v>
      </c>
      <c r="AB21" s="16">
        <v>20</v>
      </c>
      <c r="AC21" s="16">
        <v>21</v>
      </c>
      <c r="AD21" s="16">
        <v>29</v>
      </c>
      <c r="AE21" s="16">
        <v>17</v>
      </c>
      <c r="AF21" s="16">
        <v>14</v>
      </c>
      <c r="AG21" s="16">
        <v>24</v>
      </c>
      <c r="AH21" s="16">
        <v>20</v>
      </c>
      <c r="AI21" s="16">
        <v>18</v>
      </c>
      <c r="AJ21" s="16">
        <v>12</v>
      </c>
      <c r="AK21" s="16">
        <v>20</v>
      </c>
    </row>
    <row r="22" spans="1:37" x14ac:dyDescent="0.25">
      <c r="A22" s="77" t="s">
        <v>110</v>
      </c>
      <c r="B22" s="16">
        <f t="shared" si="2"/>
        <v>22</v>
      </c>
      <c r="C22" s="16">
        <f t="shared" si="2"/>
        <v>28</v>
      </c>
      <c r="D22" s="16">
        <f t="shared" si="2"/>
        <v>22</v>
      </c>
      <c r="E22" s="16">
        <f t="shared" si="2"/>
        <v>23</v>
      </c>
      <c r="F22" s="16">
        <f t="shared" si="2"/>
        <v>22</v>
      </c>
      <c r="G22" s="16">
        <f t="shared" si="1"/>
        <v>24</v>
      </c>
      <c r="H22" s="16">
        <f t="shared" si="1"/>
        <v>25</v>
      </c>
      <c r="I22" s="16">
        <f t="shared" si="1"/>
        <v>25</v>
      </c>
      <c r="J22" s="16">
        <f t="shared" si="1"/>
        <v>21</v>
      </c>
      <c r="K22" s="16">
        <f t="shared" si="1"/>
        <v>15</v>
      </c>
      <c r="L22" s="16">
        <f t="shared" si="1"/>
        <v>18</v>
      </c>
      <c r="M22" s="16">
        <f t="shared" si="1"/>
        <v>23</v>
      </c>
      <c r="N22" s="16">
        <v>14</v>
      </c>
      <c r="O22" s="16">
        <v>17</v>
      </c>
      <c r="P22" s="16">
        <v>7</v>
      </c>
      <c r="Q22" s="16">
        <v>9</v>
      </c>
      <c r="R22" s="16">
        <v>13</v>
      </c>
      <c r="S22" s="16">
        <v>14</v>
      </c>
      <c r="T22" s="16">
        <v>16</v>
      </c>
      <c r="U22" s="16">
        <v>14</v>
      </c>
      <c r="V22" s="16">
        <v>14</v>
      </c>
      <c r="W22" s="16">
        <v>8</v>
      </c>
      <c r="X22" s="16">
        <v>13</v>
      </c>
      <c r="Y22" s="16">
        <v>9</v>
      </c>
      <c r="Z22" s="16">
        <v>8</v>
      </c>
      <c r="AA22" s="16">
        <v>11</v>
      </c>
      <c r="AB22" s="16">
        <v>15</v>
      </c>
      <c r="AC22" s="16">
        <v>14</v>
      </c>
      <c r="AD22" s="16">
        <v>9</v>
      </c>
      <c r="AE22" s="16">
        <v>10</v>
      </c>
      <c r="AF22" s="16">
        <v>9</v>
      </c>
      <c r="AG22" s="16">
        <v>11</v>
      </c>
      <c r="AH22" s="16">
        <v>7</v>
      </c>
      <c r="AI22" s="16">
        <v>7</v>
      </c>
      <c r="AJ22" s="16">
        <v>5</v>
      </c>
      <c r="AK22" s="16">
        <v>14</v>
      </c>
    </row>
    <row r="23" spans="1:37" x14ac:dyDescent="0.25">
      <c r="A23" s="77" t="s">
        <v>111</v>
      </c>
      <c r="B23" s="16">
        <f t="shared" si="2"/>
        <v>11</v>
      </c>
      <c r="C23" s="16">
        <f t="shared" si="2"/>
        <v>16</v>
      </c>
      <c r="D23" s="16">
        <f t="shared" si="2"/>
        <v>14</v>
      </c>
      <c r="E23" s="16">
        <f>SUM(Q23,AC23)</f>
        <v>13</v>
      </c>
      <c r="F23" s="16">
        <f t="shared" si="2"/>
        <v>14</v>
      </c>
      <c r="G23" s="16">
        <f t="shared" si="1"/>
        <v>11</v>
      </c>
      <c r="H23" s="16">
        <f t="shared" si="1"/>
        <v>12</v>
      </c>
      <c r="I23" s="16">
        <f t="shared" si="1"/>
        <v>15</v>
      </c>
      <c r="J23" s="16">
        <f t="shared" si="1"/>
        <v>14</v>
      </c>
      <c r="K23" s="16">
        <f t="shared" si="1"/>
        <v>14</v>
      </c>
      <c r="L23" s="16">
        <f t="shared" si="1"/>
        <v>18</v>
      </c>
      <c r="M23" s="16">
        <f t="shared" si="1"/>
        <v>10</v>
      </c>
      <c r="N23" s="16">
        <v>6</v>
      </c>
      <c r="O23" s="16">
        <v>10</v>
      </c>
      <c r="P23" s="16">
        <v>9</v>
      </c>
      <c r="Q23" s="16">
        <v>10</v>
      </c>
      <c r="R23" s="16">
        <v>10</v>
      </c>
      <c r="S23" s="16">
        <v>5</v>
      </c>
      <c r="T23" s="16">
        <v>6</v>
      </c>
      <c r="U23" s="16">
        <v>5</v>
      </c>
      <c r="V23" s="16">
        <v>7</v>
      </c>
      <c r="W23" s="16">
        <v>9</v>
      </c>
      <c r="X23" s="16">
        <v>7</v>
      </c>
      <c r="Y23" s="16">
        <v>8</v>
      </c>
      <c r="Z23" s="16">
        <v>5</v>
      </c>
      <c r="AA23" s="16">
        <v>6</v>
      </c>
      <c r="AB23" s="16">
        <v>5</v>
      </c>
      <c r="AC23" s="16">
        <v>3</v>
      </c>
      <c r="AD23" s="16">
        <v>4</v>
      </c>
      <c r="AE23" s="16">
        <v>6</v>
      </c>
      <c r="AF23" s="16">
        <v>6</v>
      </c>
      <c r="AG23" s="16">
        <v>10</v>
      </c>
      <c r="AH23" s="16">
        <v>7</v>
      </c>
      <c r="AI23" s="16">
        <v>5</v>
      </c>
      <c r="AJ23" s="16">
        <v>11</v>
      </c>
      <c r="AK23" s="16">
        <v>2</v>
      </c>
    </row>
    <row r="24" spans="1:37" x14ac:dyDescent="0.25">
      <c r="A24" s="77" t="s">
        <v>112</v>
      </c>
      <c r="B24" s="16">
        <f t="shared" si="2"/>
        <v>18</v>
      </c>
      <c r="C24" s="16">
        <f t="shared" si="2"/>
        <v>12</v>
      </c>
      <c r="D24" s="16">
        <f t="shared" si="2"/>
        <v>11</v>
      </c>
      <c r="E24" s="16">
        <f t="shared" si="2"/>
        <v>19</v>
      </c>
      <c r="F24" s="16">
        <f t="shared" si="2"/>
        <v>15</v>
      </c>
      <c r="G24" s="16">
        <f t="shared" si="1"/>
        <v>14</v>
      </c>
      <c r="H24" s="16">
        <f t="shared" si="1"/>
        <v>12</v>
      </c>
      <c r="I24" s="16">
        <f t="shared" si="1"/>
        <v>17</v>
      </c>
      <c r="J24" s="16">
        <f t="shared" si="1"/>
        <v>9</v>
      </c>
      <c r="K24" s="16">
        <f t="shared" si="1"/>
        <v>9</v>
      </c>
      <c r="L24" s="16">
        <f t="shared" si="1"/>
        <v>16</v>
      </c>
      <c r="M24" s="16">
        <f t="shared" si="1"/>
        <v>14</v>
      </c>
      <c r="N24" s="16">
        <v>12</v>
      </c>
      <c r="O24" s="16">
        <v>6</v>
      </c>
      <c r="P24" s="16">
        <v>6</v>
      </c>
      <c r="Q24" s="16">
        <v>11</v>
      </c>
      <c r="R24" s="16">
        <v>8</v>
      </c>
      <c r="S24" s="16">
        <v>9</v>
      </c>
      <c r="T24" s="16">
        <v>3</v>
      </c>
      <c r="U24" s="16">
        <v>9</v>
      </c>
      <c r="V24" s="16">
        <v>9</v>
      </c>
      <c r="W24" s="16">
        <v>8</v>
      </c>
      <c r="X24" s="16">
        <v>14</v>
      </c>
      <c r="Y24" s="16">
        <v>8</v>
      </c>
      <c r="Z24" s="16">
        <v>6</v>
      </c>
      <c r="AA24" s="16">
        <v>6</v>
      </c>
      <c r="AB24" s="16">
        <v>5</v>
      </c>
      <c r="AC24" s="16">
        <v>8</v>
      </c>
      <c r="AD24" s="16">
        <v>7</v>
      </c>
      <c r="AE24" s="16">
        <v>5</v>
      </c>
      <c r="AF24" s="16">
        <v>9</v>
      </c>
      <c r="AG24" s="16">
        <v>8</v>
      </c>
      <c r="AH24" s="16"/>
      <c r="AI24" s="16">
        <v>1</v>
      </c>
      <c r="AJ24" s="16">
        <v>2</v>
      </c>
      <c r="AK24" s="16">
        <v>6</v>
      </c>
    </row>
    <row r="25" spans="1:37" x14ac:dyDescent="0.25">
      <c r="A25" s="77" t="s">
        <v>113</v>
      </c>
      <c r="B25" s="16">
        <f t="shared" si="2"/>
        <v>10</v>
      </c>
      <c r="C25" s="16">
        <f t="shared" si="2"/>
        <v>18</v>
      </c>
      <c r="D25" s="16">
        <f t="shared" si="2"/>
        <v>9</v>
      </c>
      <c r="E25" s="16">
        <f t="shared" si="2"/>
        <v>11</v>
      </c>
      <c r="F25" s="16">
        <f t="shared" si="2"/>
        <v>6</v>
      </c>
      <c r="G25" s="16">
        <f t="shared" si="1"/>
        <v>10</v>
      </c>
      <c r="H25" s="16">
        <f t="shared" si="1"/>
        <v>12</v>
      </c>
      <c r="I25" s="16">
        <f t="shared" si="1"/>
        <v>10</v>
      </c>
      <c r="J25" s="16">
        <f t="shared" si="1"/>
        <v>8</v>
      </c>
      <c r="K25" s="16">
        <f t="shared" si="1"/>
        <v>13</v>
      </c>
      <c r="L25" s="16">
        <f t="shared" si="1"/>
        <v>12</v>
      </c>
      <c r="M25" s="16">
        <f t="shared" si="1"/>
        <v>10</v>
      </c>
      <c r="N25" s="16">
        <v>7</v>
      </c>
      <c r="O25" s="16">
        <v>5</v>
      </c>
      <c r="P25" s="16">
        <v>4</v>
      </c>
      <c r="Q25" s="16">
        <v>5</v>
      </c>
      <c r="R25" s="16">
        <v>5</v>
      </c>
      <c r="S25" s="16">
        <v>4</v>
      </c>
      <c r="T25" s="16">
        <v>6</v>
      </c>
      <c r="U25" s="16">
        <v>5</v>
      </c>
      <c r="V25" s="16">
        <v>6</v>
      </c>
      <c r="W25" s="16">
        <v>9</v>
      </c>
      <c r="X25" s="16">
        <v>4</v>
      </c>
      <c r="Y25" s="16">
        <v>5</v>
      </c>
      <c r="Z25" s="16">
        <v>3</v>
      </c>
      <c r="AA25" s="16">
        <v>13</v>
      </c>
      <c r="AB25" s="16">
        <v>5</v>
      </c>
      <c r="AC25" s="16">
        <v>6</v>
      </c>
      <c r="AD25" s="16">
        <v>1</v>
      </c>
      <c r="AE25" s="16">
        <v>6</v>
      </c>
      <c r="AF25" s="16">
        <v>6</v>
      </c>
      <c r="AG25" s="16">
        <v>5</v>
      </c>
      <c r="AH25" s="16">
        <v>2</v>
      </c>
      <c r="AI25" s="16">
        <v>4</v>
      </c>
      <c r="AJ25" s="16">
        <v>8</v>
      </c>
      <c r="AK25" s="16">
        <v>5</v>
      </c>
    </row>
    <row r="27" spans="1:37" x14ac:dyDescent="0.25">
      <c r="A27" t="s">
        <v>314</v>
      </c>
    </row>
    <row r="28" spans="1:37" x14ac:dyDescent="0.25">
      <c r="B28" s="179" t="s">
        <v>335</v>
      </c>
      <c r="C28" s="179"/>
    </row>
    <row r="29" spans="1:37" x14ac:dyDescent="0.25">
      <c r="G29" s="83" t="s">
        <v>315</v>
      </c>
      <c r="L29" t="s">
        <v>337</v>
      </c>
    </row>
    <row r="30" spans="1:37" x14ac:dyDescent="0.25">
      <c r="G30" t="s">
        <v>336</v>
      </c>
      <c r="L30" t="s">
        <v>330</v>
      </c>
    </row>
    <row r="31" spans="1:37" x14ac:dyDescent="0.25">
      <c r="G31" t="s">
        <v>330</v>
      </c>
    </row>
    <row r="32" spans="1:37" ht="18.75" x14ac:dyDescent="0.35">
      <c r="L32" s="29" t="s">
        <v>322</v>
      </c>
      <c r="M32" s="29" t="s">
        <v>361</v>
      </c>
      <c r="N32" s="16">
        <f>J34/H34</f>
        <v>1.3723263297368919E-2</v>
      </c>
    </row>
    <row r="33" spans="1:15" ht="18.75" x14ac:dyDescent="0.35">
      <c r="G33" s="29" t="s">
        <v>365</v>
      </c>
      <c r="H33" s="17">
        <f>C9</f>
        <v>20246</v>
      </c>
      <c r="I33" s="29" t="s">
        <v>363</v>
      </c>
      <c r="J33" s="16">
        <f>S20</f>
        <v>301</v>
      </c>
      <c r="L33" s="29" t="s">
        <v>323</v>
      </c>
      <c r="M33" s="21" t="s">
        <v>362</v>
      </c>
      <c r="N33" s="16">
        <f>0.0425 + (2.875*N32)</f>
        <v>8.1954381979935653E-2</v>
      </c>
    </row>
    <row r="34" spans="1:15" ht="18.75" x14ac:dyDescent="0.35">
      <c r="G34" s="29" t="s">
        <v>368</v>
      </c>
      <c r="H34" s="17">
        <f>C10</f>
        <v>21132</v>
      </c>
      <c r="I34" s="29" t="s">
        <v>364</v>
      </c>
      <c r="J34" s="16">
        <f>T20</f>
        <v>290</v>
      </c>
      <c r="L34" s="83"/>
      <c r="M34" s="83"/>
    </row>
    <row r="35" spans="1:15" ht="18.75" x14ac:dyDescent="0.35">
      <c r="L35" s="29" t="s">
        <v>324</v>
      </c>
      <c r="M35" s="21" t="s">
        <v>326</v>
      </c>
      <c r="N35" s="16">
        <f>ROUND(J34*(1-N33),0)</f>
        <v>266</v>
      </c>
    </row>
    <row r="36" spans="1:15" x14ac:dyDescent="0.25">
      <c r="K36" s="76"/>
    </row>
    <row r="37" spans="1:15" ht="18.75" x14ac:dyDescent="0.35">
      <c r="G37" s="29" t="s">
        <v>320</v>
      </c>
      <c r="H37" s="29" t="s">
        <v>328</v>
      </c>
      <c r="I37" s="16">
        <f>J33/H33</f>
        <v>1.4867134248740492E-2</v>
      </c>
      <c r="L37" t="s">
        <v>316</v>
      </c>
    </row>
    <row r="38" spans="1:15" ht="18.75" x14ac:dyDescent="0.35">
      <c r="G38" s="29" t="s">
        <v>321</v>
      </c>
      <c r="H38" s="21" t="s">
        <v>329</v>
      </c>
      <c r="I38" s="16">
        <f>0.0425 + (2.875*I37)</f>
        <v>8.5243010965128915E-2</v>
      </c>
    </row>
    <row r="39" spans="1:15" ht="18.75" x14ac:dyDescent="0.35">
      <c r="G39" s="83"/>
      <c r="L39" s="29" t="s">
        <v>325</v>
      </c>
      <c r="M39" s="17">
        <f>H34-(N35)</f>
        <v>20866</v>
      </c>
    </row>
    <row r="40" spans="1:15" ht="18.75" x14ac:dyDescent="0.35">
      <c r="G40" s="29" t="s">
        <v>318</v>
      </c>
      <c r="H40" s="21" t="s">
        <v>319</v>
      </c>
      <c r="I40" s="34">
        <f>ROUND(J33*(1-I38),0)</f>
        <v>275</v>
      </c>
    </row>
    <row r="41" spans="1:15" x14ac:dyDescent="0.25">
      <c r="L41" t="s">
        <v>338</v>
      </c>
    </row>
    <row r="42" spans="1:15" x14ac:dyDescent="0.25">
      <c r="G42" t="s">
        <v>316</v>
      </c>
    </row>
    <row r="43" spans="1:15" x14ac:dyDescent="0.25">
      <c r="L43" t="s">
        <v>331</v>
      </c>
    </row>
    <row r="44" spans="1:15" ht="18.75" x14ac:dyDescent="0.35">
      <c r="G44" s="29" t="s">
        <v>327</v>
      </c>
      <c r="H44" s="17">
        <f>H33-(I40)</f>
        <v>19971</v>
      </c>
    </row>
    <row r="45" spans="1:15" x14ac:dyDescent="0.25">
      <c r="L45" s="206" t="s">
        <v>332</v>
      </c>
      <c r="M45" s="207"/>
      <c r="N45" s="208"/>
      <c r="O45" s="16">
        <f>ROUND((H44+M39)/2,0)</f>
        <v>20419</v>
      </c>
    </row>
    <row r="47" spans="1:15" x14ac:dyDescent="0.25">
      <c r="A47" s="83" t="s">
        <v>317</v>
      </c>
      <c r="F47" t="s">
        <v>337</v>
      </c>
    </row>
    <row r="48" spans="1:15" x14ac:dyDescent="0.25">
      <c r="A48" t="s">
        <v>336</v>
      </c>
      <c r="F48" t="s">
        <v>330</v>
      </c>
    </row>
    <row r="49" spans="1:9" x14ac:dyDescent="0.25">
      <c r="A49" t="s">
        <v>330</v>
      </c>
    </row>
    <row r="50" spans="1:9" ht="18.75" x14ac:dyDescent="0.35">
      <c r="F50" s="29" t="s">
        <v>322</v>
      </c>
      <c r="G50" s="29" t="s">
        <v>361</v>
      </c>
      <c r="H50" s="16">
        <f>D52/B52</f>
        <v>1.1756203324500121E-2</v>
      </c>
    </row>
    <row r="51" spans="1:9" ht="18.75" x14ac:dyDescent="0.35">
      <c r="A51" s="29" t="s">
        <v>366</v>
      </c>
      <c r="B51" s="17">
        <f>D9</f>
        <v>19823</v>
      </c>
      <c r="C51" s="29" t="s">
        <v>363</v>
      </c>
      <c r="D51" s="16">
        <f>AE20</f>
        <v>230</v>
      </c>
      <c r="F51" s="29" t="s">
        <v>323</v>
      </c>
      <c r="G51" s="21" t="s">
        <v>604</v>
      </c>
      <c r="H51" s="16">
        <f>0.05 + (3*H50)</f>
        <v>8.5268609973500359E-2</v>
      </c>
    </row>
    <row r="52" spans="1:9" ht="18.75" x14ac:dyDescent="0.35">
      <c r="A52" s="29" t="s">
        <v>367</v>
      </c>
      <c r="B52" s="17">
        <f>D10</f>
        <v>20755</v>
      </c>
      <c r="C52" s="29" t="s">
        <v>364</v>
      </c>
      <c r="D52" s="16">
        <f>AF20</f>
        <v>244</v>
      </c>
      <c r="F52" s="83"/>
      <c r="G52" s="83"/>
    </row>
    <row r="53" spans="1:9" ht="18.75" x14ac:dyDescent="0.35">
      <c r="F53" s="29" t="s">
        <v>324</v>
      </c>
      <c r="G53" s="21" t="s">
        <v>326</v>
      </c>
      <c r="H53" s="34">
        <f>ROUND(D52*(1-H51),0)</f>
        <v>223</v>
      </c>
    </row>
    <row r="54" spans="1:9" x14ac:dyDescent="0.25">
      <c r="E54" s="76"/>
    </row>
    <row r="55" spans="1:9" ht="18.75" x14ac:dyDescent="0.35">
      <c r="A55" s="29" t="s">
        <v>320</v>
      </c>
      <c r="B55" s="29" t="s">
        <v>328</v>
      </c>
      <c r="C55" s="16">
        <f>D51/B51</f>
        <v>1.1602683751198103E-2</v>
      </c>
      <c r="F55" t="s">
        <v>316</v>
      </c>
    </row>
    <row r="56" spans="1:9" ht="18.75" x14ac:dyDescent="0.35">
      <c r="A56" s="29" t="s">
        <v>321</v>
      </c>
      <c r="B56" s="21" t="s">
        <v>604</v>
      </c>
      <c r="C56" s="16">
        <f>0.05 + (3*C55)</f>
        <v>8.4808051253594308E-2</v>
      </c>
    </row>
    <row r="57" spans="1:9" ht="18.75" x14ac:dyDescent="0.35">
      <c r="A57" s="83"/>
      <c r="F57" s="29" t="s">
        <v>325</v>
      </c>
      <c r="G57" s="17">
        <f>B52-H53</f>
        <v>20532</v>
      </c>
    </row>
    <row r="58" spans="1:9" ht="18.75" x14ac:dyDescent="0.35">
      <c r="A58" s="29" t="s">
        <v>318</v>
      </c>
      <c r="B58" s="21" t="s">
        <v>319</v>
      </c>
      <c r="C58" s="34">
        <f>ROUND(D51*(1-C56),0)</f>
        <v>210</v>
      </c>
    </row>
    <row r="59" spans="1:9" x14ac:dyDescent="0.25">
      <c r="F59" t="s">
        <v>338</v>
      </c>
    </row>
    <row r="60" spans="1:9" x14ac:dyDescent="0.25">
      <c r="A60" t="s">
        <v>316</v>
      </c>
    </row>
    <row r="61" spans="1:9" x14ac:dyDescent="0.25">
      <c r="F61" t="s">
        <v>331</v>
      </c>
    </row>
    <row r="62" spans="1:9" ht="18.75" x14ac:dyDescent="0.35">
      <c r="A62" s="29" t="s">
        <v>327</v>
      </c>
      <c r="B62" s="17">
        <f>B51-C58</f>
        <v>19613</v>
      </c>
    </row>
    <row r="63" spans="1:9" x14ac:dyDescent="0.25">
      <c r="F63" s="209" t="s">
        <v>334</v>
      </c>
      <c r="G63" s="209"/>
      <c r="H63" s="209"/>
      <c r="I63" s="16">
        <f>ROUND((B62+G57)/2,0)</f>
        <v>20073</v>
      </c>
    </row>
    <row r="65" spans="1:14" x14ac:dyDescent="0.25">
      <c r="A65" t="s">
        <v>333</v>
      </c>
    </row>
    <row r="66" spans="1:14" x14ac:dyDescent="0.25">
      <c r="B66" s="179" t="s">
        <v>335</v>
      </c>
      <c r="C66" s="179"/>
    </row>
    <row r="67" spans="1:14" x14ac:dyDescent="0.25">
      <c r="G67" s="83" t="s">
        <v>315</v>
      </c>
      <c r="L67" t="s">
        <v>342</v>
      </c>
    </row>
    <row r="68" spans="1:14" x14ac:dyDescent="0.25">
      <c r="G68" t="s">
        <v>339</v>
      </c>
      <c r="L68" t="s">
        <v>340</v>
      </c>
    </row>
    <row r="69" spans="1:14" x14ac:dyDescent="0.25">
      <c r="G69" t="s">
        <v>340</v>
      </c>
    </row>
    <row r="70" spans="1:14" ht="18.75" x14ac:dyDescent="0.35">
      <c r="L70" s="29" t="s">
        <v>351</v>
      </c>
      <c r="M70" s="29" t="s">
        <v>356</v>
      </c>
      <c r="N70" s="16">
        <f>J72/H72</f>
        <v>1.2799616490891659E-2</v>
      </c>
    </row>
    <row r="71" spans="1:14" ht="18.75" x14ac:dyDescent="0.35">
      <c r="G71" s="29" t="s">
        <v>369</v>
      </c>
      <c r="H71" s="17">
        <f>C14</f>
        <v>20883</v>
      </c>
      <c r="I71" s="29" t="s">
        <v>371</v>
      </c>
      <c r="J71" s="16">
        <f>X20</f>
        <v>269</v>
      </c>
      <c r="K71" s="51"/>
      <c r="L71" s="85" t="s">
        <v>353</v>
      </c>
      <c r="M71" s="21" t="s">
        <v>357</v>
      </c>
      <c r="N71" s="16">
        <f>0.0425 + (2.875*N70)</f>
        <v>7.9298897411313518E-2</v>
      </c>
    </row>
    <row r="72" spans="1:14" ht="18.75" x14ac:dyDescent="0.35">
      <c r="G72" s="29" t="s">
        <v>370</v>
      </c>
      <c r="H72" s="17">
        <f>C15</f>
        <v>20860</v>
      </c>
      <c r="I72" s="29" t="s">
        <v>372</v>
      </c>
      <c r="J72" s="16">
        <f>Y20</f>
        <v>267</v>
      </c>
      <c r="L72" s="83"/>
      <c r="M72" s="83"/>
    </row>
    <row r="73" spans="1:14" ht="18.75" x14ac:dyDescent="0.35">
      <c r="L73" s="29" t="s">
        <v>358</v>
      </c>
      <c r="M73" s="21" t="s">
        <v>359</v>
      </c>
      <c r="N73" s="16">
        <f>ROUND(J72*(1-N71),0)</f>
        <v>246</v>
      </c>
    </row>
    <row r="74" spans="1:14" x14ac:dyDescent="0.25">
      <c r="K74" s="76"/>
    </row>
    <row r="75" spans="1:14" ht="18.75" x14ac:dyDescent="0.35">
      <c r="G75" s="29" t="s">
        <v>345</v>
      </c>
      <c r="H75" s="29" t="s">
        <v>352</v>
      </c>
      <c r="I75" s="16">
        <f>J71/H71</f>
        <v>1.2881291002250635E-2</v>
      </c>
      <c r="L75" t="s">
        <v>316</v>
      </c>
    </row>
    <row r="76" spans="1:14" ht="18.75" x14ac:dyDescent="0.35">
      <c r="G76" s="29" t="s">
        <v>346</v>
      </c>
      <c r="H76" s="21" t="s">
        <v>347</v>
      </c>
      <c r="I76" s="16">
        <f>0.0425 + (2.875*I75)</f>
        <v>7.9533711631470577E-2</v>
      </c>
    </row>
    <row r="77" spans="1:14" ht="18.75" x14ac:dyDescent="0.35">
      <c r="G77" s="83"/>
      <c r="L77" s="29" t="s">
        <v>355</v>
      </c>
      <c r="M77" s="17">
        <f>H72-N73</f>
        <v>20614</v>
      </c>
    </row>
    <row r="78" spans="1:14" ht="18.75" x14ac:dyDescent="0.35">
      <c r="G78" s="29" t="s">
        <v>348</v>
      </c>
      <c r="H78" s="21" t="s">
        <v>349</v>
      </c>
      <c r="I78" s="34">
        <f>ROUND(J71*(1-I76),0)</f>
        <v>248</v>
      </c>
    </row>
    <row r="79" spans="1:14" x14ac:dyDescent="0.25">
      <c r="L79" t="s">
        <v>343</v>
      </c>
    </row>
    <row r="80" spans="1:14" x14ac:dyDescent="0.25">
      <c r="G80" t="s">
        <v>341</v>
      </c>
    </row>
    <row r="81" spans="1:15" x14ac:dyDescent="0.25">
      <c r="L81" t="s">
        <v>331</v>
      </c>
    </row>
    <row r="82" spans="1:15" ht="18.75" x14ac:dyDescent="0.35">
      <c r="G82" s="29" t="s">
        <v>350</v>
      </c>
      <c r="H82" s="17">
        <f>H71-(I78)</f>
        <v>20635</v>
      </c>
    </row>
    <row r="83" spans="1:15" x14ac:dyDescent="0.25">
      <c r="L83" s="209" t="s">
        <v>344</v>
      </c>
      <c r="M83" s="209"/>
      <c r="N83" s="209"/>
      <c r="O83" s="16">
        <f>ROUND((H82+M77)/2,0)</f>
        <v>20625</v>
      </c>
    </row>
    <row r="85" spans="1:15" x14ac:dyDescent="0.25">
      <c r="A85" s="83" t="s">
        <v>317</v>
      </c>
      <c r="F85" t="s">
        <v>342</v>
      </c>
    </row>
    <row r="86" spans="1:15" x14ac:dyDescent="0.25">
      <c r="A86" t="s">
        <v>339</v>
      </c>
      <c r="F86" t="s">
        <v>340</v>
      </c>
    </row>
    <row r="87" spans="1:15" x14ac:dyDescent="0.25">
      <c r="A87" t="s">
        <v>340</v>
      </c>
    </row>
    <row r="88" spans="1:15" ht="18.75" x14ac:dyDescent="0.35">
      <c r="F88" s="29" t="s">
        <v>351</v>
      </c>
      <c r="G88" s="29" t="s">
        <v>356</v>
      </c>
      <c r="H88" s="16">
        <f>D90/B90</f>
        <v>1.1152230446089218E-2</v>
      </c>
    </row>
    <row r="89" spans="1:15" ht="18.75" x14ac:dyDescent="0.35">
      <c r="A89" s="29" t="s">
        <v>373</v>
      </c>
      <c r="B89" s="17">
        <f>D14</f>
        <v>20375</v>
      </c>
      <c r="C89" s="29" t="s">
        <v>371</v>
      </c>
      <c r="D89" s="16">
        <f>AJ20</f>
        <v>205</v>
      </c>
      <c r="E89" s="16"/>
      <c r="F89" s="29" t="s">
        <v>353</v>
      </c>
      <c r="G89" s="21" t="s">
        <v>604</v>
      </c>
      <c r="H89" s="16">
        <f>0.05 + (3*H88)</f>
        <v>8.3456691338267663E-2</v>
      </c>
    </row>
    <row r="90" spans="1:15" ht="18.75" x14ac:dyDescent="0.35">
      <c r="A90" s="29" t="s">
        <v>374</v>
      </c>
      <c r="B90" s="17">
        <f>D15</f>
        <v>19996</v>
      </c>
      <c r="C90" s="29" t="s">
        <v>372</v>
      </c>
      <c r="D90" s="16">
        <f>AK20</f>
        <v>223</v>
      </c>
      <c r="F90" s="83"/>
      <c r="G90" s="83"/>
    </row>
    <row r="91" spans="1:15" ht="18.75" x14ac:dyDescent="0.35">
      <c r="F91" s="29" t="s">
        <v>358</v>
      </c>
      <c r="G91" s="21" t="s">
        <v>359</v>
      </c>
      <c r="H91" s="16">
        <f>ROUND(D90*(1-H89),0)</f>
        <v>204</v>
      </c>
    </row>
    <row r="92" spans="1:15" x14ac:dyDescent="0.25">
      <c r="E92" s="76"/>
      <c r="G92" s="83"/>
    </row>
    <row r="93" spans="1:15" ht="18.75" x14ac:dyDescent="0.35">
      <c r="A93" s="29" t="s">
        <v>345</v>
      </c>
      <c r="B93" s="29" t="s">
        <v>352</v>
      </c>
      <c r="C93" s="16">
        <f>D89/B89</f>
        <v>1.0061349693251533E-2</v>
      </c>
      <c r="F93" t="s">
        <v>316</v>
      </c>
    </row>
    <row r="94" spans="1:15" ht="18.75" x14ac:dyDescent="0.35">
      <c r="A94" s="29" t="s">
        <v>346</v>
      </c>
      <c r="B94" s="21" t="s">
        <v>604</v>
      </c>
      <c r="C94" s="16">
        <f>0.05 + (3*C93)</f>
        <v>8.0184049079754599E-2</v>
      </c>
    </row>
    <row r="95" spans="1:15" ht="18.75" x14ac:dyDescent="0.35">
      <c r="A95" s="83"/>
      <c r="F95" s="29" t="s">
        <v>355</v>
      </c>
      <c r="G95" s="17">
        <f>B90-(H91)</f>
        <v>19792</v>
      </c>
    </row>
    <row r="96" spans="1:15" ht="18.75" x14ac:dyDescent="0.35">
      <c r="A96" s="29" t="s">
        <v>348</v>
      </c>
      <c r="B96" s="21" t="s">
        <v>349</v>
      </c>
      <c r="C96" s="34">
        <f>ROUND(D89*(1-C94),0)</f>
        <v>189</v>
      </c>
    </row>
    <row r="97" spans="1:15" x14ac:dyDescent="0.25">
      <c r="F97" t="s">
        <v>343</v>
      </c>
    </row>
    <row r="98" spans="1:15" x14ac:dyDescent="0.25">
      <c r="A98" t="s">
        <v>341</v>
      </c>
    </row>
    <row r="99" spans="1:15" x14ac:dyDescent="0.25">
      <c r="F99" t="s">
        <v>331</v>
      </c>
    </row>
    <row r="100" spans="1:15" ht="18.75" x14ac:dyDescent="0.35">
      <c r="A100" s="29" t="s">
        <v>350</v>
      </c>
      <c r="B100" s="17">
        <f>B89-(C96)</f>
        <v>20186</v>
      </c>
    </row>
    <row r="101" spans="1:15" x14ac:dyDescent="0.25">
      <c r="F101" s="209" t="s">
        <v>354</v>
      </c>
      <c r="G101" s="209"/>
      <c r="H101" s="209"/>
      <c r="I101" s="16">
        <f>ROUND((B100+G95)/2,0)</f>
        <v>19989</v>
      </c>
    </row>
    <row r="103" spans="1:15" x14ac:dyDescent="0.25">
      <c r="A103" t="s">
        <v>360</v>
      </c>
    </row>
    <row r="104" spans="1:15" x14ac:dyDescent="0.25">
      <c r="B104" s="179" t="s">
        <v>335</v>
      </c>
      <c r="C104" s="179"/>
    </row>
    <row r="105" spans="1:15" x14ac:dyDescent="0.25">
      <c r="G105" s="80" t="s">
        <v>401</v>
      </c>
    </row>
    <row r="107" spans="1:15" ht="18.75" x14ac:dyDescent="0.35">
      <c r="G107" s="29" t="s">
        <v>381</v>
      </c>
      <c r="H107" s="17">
        <f t="shared" ref="H107:H112" si="3">C5</f>
        <v>20298</v>
      </c>
      <c r="J107" s="29" t="s">
        <v>382</v>
      </c>
      <c r="K107" s="16">
        <f>O20</f>
        <v>373</v>
      </c>
    </row>
    <row r="108" spans="1:15" ht="18.75" x14ac:dyDescent="0.35">
      <c r="G108" s="29" t="s">
        <v>375</v>
      </c>
      <c r="H108" s="17">
        <f t="shared" si="3"/>
        <v>19044</v>
      </c>
      <c r="J108" s="29" t="s">
        <v>378</v>
      </c>
      <c r="K108" s="16">
        <f>P20</f>
        <v>348</v>
      </c>
    </row>
    <row r="109" spans="1:15" ht="18.75" x14ac:dyDescent="0.35">
      <c r="G109" s="29" t="s">
        <v>376</v>
      </c>
      <c r="H109" s="17">
        <f t="shared" si="3"/>
        <v>18800</v>
      </c>
      <c r="J109" s="29" t="s">
        <v>379</v>
      </c>
      <c r="K109" s="16">
        <f>Q20</f>
        <v>355</v>
      </c>
      <c r="L109" s="89"/>
      <c r="M109" s="51"/>
      <c r="N109" s="51"/>
      <c r="O109" s="48"/>
    </row>
    <row r="110" spans="1:15" ht="18.75" x14ac:dyDescent="0.35">
      <c r="G110" s="29" t="s">
        <v>377</v>
      </c>
      <c r="H110" s="17">
        <f t="shared" si="3"/>
        <v>19138</v>
      </c>
      <c r="J110" s="29" t="s">
        <v>380</v>
      </c>
      <c r="K110" s="16">
        <f>R20</f>
        <v>331</v>
      </c>
    </row>
    <row r="111" spans="1:15" ht="18.75" x14ac:dyDescent="0.35">
      <c r="G111" s="29" t="s">
        <v>365</v>
      </c>
      <c r="H111" s="17">
        <f t="shared" si="3"/>
        <v>20246</v>
      </c>
      <c r="J111" s="29" t="s">
        <v>363</v>
      </c>
      <c r="K111" s="16">
        <f>S20</f>
        <v>301</v>
      </c>
    </row>
    <row r="112" spans="1:15" ht="18.75" x14ac:dyDescent="0.35">
      <c r="G112" s="84" t="s">
        <v>368</v>
      </c>
      <c r="H112" s="17">
        <f t="shared" si="3"/>
        <v>21132</v>
      </c>
      <c r="J112" s="84" t="s">
        <v>403</v>
      </c>
      <c r="K112" s="16">
        <f>T20</f>
        <v>290</v>
      </c>
    </row>
    <row r="113" spans="1:21" x14ac:dyDescent="0.25">
      <c r="I113" s="51"/>
      <c r="J113" s="51"/>
      <c r="K113" s="51"/>
    </row>
    <row r="114" spans="1:21" ht="18.75" x14ac:dyDescent="0.35">
      <c r="G114" s="29" t="s">
        <v>383</v>
      </c>
      <c r="H114" s="16">
        <f>SUM(P21:P24)</f>
        <v>45</v>
      </c>
      <c r="J114" s="88"/>
      <c r="K114" s="51"/>
    </row>
    <row r="115" spans="1:21" ht="18.75" x14ac:dyDescent="0.35">
      <c r="G115" s="84" t="s">
        <v>384</v>
      </c>
      <c r="H115" s="16">
        <f>SUM(Q21:Q24)</f>
        <v>47</v>
      </c>
      <c r="J115" s="88"/>
      <c r="K115" s="51"/>
      <c r="L115" s="51"/>
    </row>
    <row r="116" spans="1:21" ht="18.75" x14ac:dyDescent="0.35">
      <c r="G116" s="84" t="s">
        <v>385</v>
      </c>
      <c r="H116" s="16">
        <f>SUM(R21:R24)</f>
        <v>55</v>
      </c>
      <c r="J116" s="51"/>
      <c r="K116" s="51"/>
      <c r="L116" s="51"/>
    </row>
    <row r="117" spans="1:21" ht="18.75" x14ac:dyDescent="0.35">
      <c r="G117" s="84" t="s">
        <v>386</v>
      </c>
      <c r="H117" s="16">
        <f>SUM(S21:S24)</f>
        <v>55</v>
      </c>
      <c r="L117" s="51"/>
    </row>
    <row r="118" spans="1:21" ht="18.75" x14ac:dyDescent="0.35">
      <c r="G118" s="84" t="s">
        <v>402</v>
      </c>
      <c r="H118" s="16">
        <f>SUM(T21:T24)</f>
        <v>48</v>
      </c>
      <c r="L118" s="51"/>
    </row>
    <row r="119" spans="1:21" x14ac:dyDescent="0.25">
      <c r="J119" s="51"/>
      <c r="K119" s="51"/>
      <c r="L119" s="51"/>
    </row>
    <row r="120" spans="1:21" x14ac:dyDescent="0.25">
      <c r="G120" s="88"/>
      <c r="H120" s="51"/>
      <c r="J120" s="88"/>
      <c r="K120" s="51"/>
      <c r="L120" s="51"/>
    </row>
    <row r="121" spans="1:21" x14ac:dyDescent="0.25">
      <c r="G121" s="88"/>
      <c r="H121" s="51"/>
      <c r="J121" s="51"/>
      <c r="K121" s="51"/>
      <c r="L121" s="51"/>
    </row>
    <row r="122" spans="1:21" x14ac:dyDescent="0.25">
      <c r="G122" s="51"/>
      <c r="H122" s="51"/>
    </row>
    <row r="124" spans="1:21" x14ac:dyDescent="0.25">
      <c r="A124" s="83" t="s">
        <v>315</v>
      </c>
    </row>
    <row r="125" spans="1:21" x14ac:dyDescent="0.25">
      <c r="A125" t="s">
        <v>397</v>
      </c>
      <c r="F125" t="s">
        <v>419</v>
      </c>
      <c r="J125" s="90" t="s">
        <v>421</v>
      </c>
      <c r="N125" t="s">
        <v>423</v>
      </c>
      <c r="S125" t="s">
        <v>425</v>
      </c>
    </row>
    <row r="126" spans="1:21" x14ac:dyDescent="0.25">
      <c r="A126" s="51"/>
      <c r="B126" s="51"/>
      <c r="C126" s="51"/>
      <c r="D126" s="51"/>
    </row>
    <row r="127" spans="1:21" ht="18.75" x14ac:dyDescent="0.35">
      <c r="A127" s="84" t="s">
        <v>387</v>
      </c>
      <c r="B127" s="84" t="s">
        <v>388</v>
      </c>
      <c r="C127" s="16">
        <f>K107/H107</f>
        <v>1.8376194698985122E-2</v>
      </c>
      <c r="D127" s="51"/>
      <c r="E127" s="51"/>
      <c r="F127" s="84" t="s">
        <v>320</v>
      </c>
      <c r="G127" s="84" t="s">
        <v>328</v>
      </c>
      <c r="H127" s="16">
        <f>K111/H111</f>
        <v>1.4867134248740492E-2</v>
      </c>
      <c r="J127" s="84" t="s">
        <v>394</v>
      </c>
      <c r="K127" s="16">
        <f>(SUM(K108:K111)/SUM(H108:H111))</f>
        <v>1.7286476407520589E-2</v>
      </c>
      <c r="N127" s="91" t="s">
        <v>398</v>
      </c>
      <c r="O127" s="91"/>
      <c r="P127" s="91"/>
      <c r="Q127" s="16">
        <f>C130+K108+K109+K110+H130</f>
        <v>1397</v>
      </c>
      <c r="S127" s="206" t="s">
        <v>400</v>
      </c>
      <c r="T127" s="208"/>
      <c r="U127" s="17">
        <f>SUM(H107:H110)-Q129</f>
        <v>75762</v>
      </c>
    </row>
    <row r="128" spans="1:21" ht="18.75" x14ac:dyDescent="0.35">
      <c r="A128" s="84" t="s">
        <v>389</v>
      </c>
      <c r="B128" s="21" t="s">
        <v>390</v>
      </c>
      <c r="C128" s="16">
        <f>0.0425 + (2.875*C127)</f>
        <v>9.5331559759582227E-2</v>
      </c>
      <c r="D128" s="51"/>
      <c r="F128" s="84" t="s">
        <v>321</v>
      </c>
      <c r="G128" s="21" t="s">
        <v>329</v>
      </c>
      <c r="H128" s="16">
        <f>0.0425 + (2.875*H127)</f>
        <v>8.5243010965128915E-2</v>
      </c>
      <c r="J128" s="84" t="s">
        <v>395</v>
      </c>
      <c r="K128" s="16">
        <f>(1.653 - (3.013*K127))/4</f>
        <v>0.40022896164603511</v>
      </c>
      <c r="N128" s="91" t="s">
        <v>399</v>
      </c>
      <c r="O128" s="91"/>
      <c r="P128" s="91"/>
      <c r="Q128" s="16">
        <f>K130</f>
        <v>121</v>
      </c>
    </row>
    <row r="129" spans="1:21" x14ac:dyDescent="0.25">
      <c r="A129" s="83"/>
      <c r="D129" s="51"/>
      <c r="F129" s="83"/>
      <c r="P129" s="21" t="s">
        <v>107</v>
      </c>
      <c r="Q129" s="16">
        <f>SUM(Q127:Q128)</f>
        <v>1518</v>
      </c>
    </row>
    <row r="130" spans="1:21" ht="18.75" x14ac:dyDescent="0.35">
      <c r="A130" s="84" t="s">
        <v>391</v>
      </c>
      <c r="B130" s="21" t="s">
        <v>392</v>
      </c>
      <c r="C130" s="34">
        <f>ROUND(K107*(1-C128),0)</f>
        <v>337</v>
      </c>
      <c r="E130" s="80"/>
      <c r="F130" s="84" t="s">
        <v>393</v>
      </c>
      <c r="G130" s="21" t="s">
        <v>412</v>
      </c>
      <c r="H130" s="34">
        <f>ROUND(K111*(H128),0)</f>
        <v>26</v>
      </c>
      <c r="J130" s="84" t="s">
        <v>396</v>
      </c>
      <c r="K130" s="16">
        <f>ROUND(SUM(H114:H117)*(1-K128),0)</f>
        <v>121</v>
      </c>
    </row>
    <row r="132" spans="1:21" x14ac:dyDescent="0.25">
      <c r="F132" s="51"/>
      <c r="G132" s="51"/>
      <c r="H132" s="51"/>
      <c r="I132" s="51"/>
    </row>
    <row r="133" spans="1:21" x14ac:dyDescent="0.25">
      <c r="A133" s="83" t="s">
        <v>315</v>
      </c>
      <c r="F133" s="51"/>
      <c r="G133" s="51"/>
      <c r="H133" s="51"/>
      <c r="I133" s="51"/>
    </row>
    <row r="134" spans="1:21" x14ac:dyDescent="0.25">
      <c r="A134" t="s">
        <v>418</v>
      </c>
      <c r="F134" t="s">
        <v>420</v>
      </c>
      <c r="J134" s="90" t="s">
        <v>422</v>
      </c>
      <c r="N134" t="s">
        <v>424</v>
      </c>
      <c r="S134" t="s">
        <v>426</v>
      </c>
    </row>
    <row r="135" spans="1:21" x14ac:dyDescent="0.25">
      <c r="A135" s="51"/>
      <c r="B135" s="51"/>
      <c r="C135" s="51"/>
      <c r="D135" s="51"/>
    </row>
    <row r="136" spans="1:21" ht="18.75" x14ac:dyDescent="0.35">
      <c r="A136" s="84" t="s">
        <v>404</v>
      </c>
      <c r="B136" s="84" t="s">
        <v>407</v>
      </c>
      <c r="C136" s="16">
        <f>K108/H108</f>
        <v>1.8273471959672338E-2</v>
      </c>
      <c r="D136" s="51"/>
      <c r="E136" s="51"/>
      <c r="F136" s="84" t="s">
        <v>322</v>
      </c>
      <c r="G136" s="84" t="s">
        <v>411</v>
      </c>
      <c r="H136" s="16">
        <f>K112/H112</f>
        <v>1.3723263297368919E-2</v>
      </c>
      <c r="J136" s="84" t="s">
        <v>414</v>
      </c>
      <c r="K136" s="16">
        <f>(SUM(K109:K112)/SUM(H109:H112))</f>
        <v>1.6100156336678603E-2</v>
      </c>
      <c r="N136" s="91" t="s">
        <v>398</v>
      </c>
      <c r="O136" s="91"/>
      <c r="P136" s="91"/>
      <c r="Q136" s="16">
        <f>C139+K109+K110+K111+H139</f>
        <v>1326</v>
      </c>
      <c r="S136" s="206" t="s">
        <v>417</v>
      </c>
      <c r="T136" s="208"/>
      <c r="U136" s="17">
        <f>SUM(H108:H111)-Q138</f>
        <v>75779</v>
      </c>
    </row>
    <row r="137" spans="1:21" ht="18.75" x14ac:dyDescent="0.35">
      <c r="A137" s="84" t="s">
        <v>405</v>
      </c>
      <c r="B137" s="21" t="s">
        <v>406</v>
      </c>
      <c r="C137" s="16">
        <f>0.0425 + (2.875*C136)</f>
        <v>9.5036231884057965E-2</v>
      </c>
      <c r="D137" s="51"/>
      <c r="F137" s="84" t="s">
        <v>323</v>
      </c>
      <c r="G137" s="21" t="s">
        <v>362</v>
      </c>
      <c r="H137" s="16">
        <f>0.0425 + (2.875*H136)</f>
        <v>8.1954381979935653E-2</v>
      </c>
      <c r="J137" s="84" t="s">
        <v>415</v>
      </c>
      <c r="K137" s="16">
        <f>(1.653 -(3.013*K136))/4</f>
        <v>0.40112255723939683</v>
      </c>
      <c r="N137" s="91" t="s">
        <v>399</v>
      </c>
      <c r="O137" s="91"/>
      <c r="P137" s="91"/>
      <c r="Q137" s="16">
        <f>K139</f>
        <v>123</v>
      </c>
    </row>
    <row r="138" spans="1:21" x14ac:dyDescent="0.25">
      <c r="A138" s="83"/>
      <c r="D138" s="51"/>
      <c r="F138" s="83"/>
      <c r="P138" s="21" t="s">
        <v>107</v>
      </c>
      <c r="Q138" s="16">
        <f>SUM(Q136:Q137)</f>
        <v>1449</v>
      </c>
    </row>
    <row r="139" spans="1:21" ht="18.75" x14ac:dyDescent="0.35">
      <c r="A139" s="84" t="s">
        <v>408</v>
      </c>
      <c r="B139" s="21" t="s">
        <v>409</v>
      </c>
      <c r="C139" s="34">
        <f>ROUND(K108*(1-C137),0)</f>
        <v>315</v>
      </c>
      <c r="E139" s="80"/>
      <c r="F139" s="84" t="s">
        <v>410</v>
      </c>
      <c r="G139" s="21" t="s">
        <v>413</v>
      </c>
      <c r="H139" s="34">
        <f>ROUND(K112*(H137),0)</f>
        <v>24</v>
      </c>
      <c r="J139" s="84" t="s">
        <v>416</v>
      </c>
      <c r="K139" s="16">
        <f>ROUND(SUM(H115:H118)*(1-K137),0)</f>
        <v>123</v>
      </c>
    </row>
    <row r="141" spans="1:21" x14ac:dyDescent="0.25">
      <c r="A141" t="s">
        <v>427</v>
      </c>
      <c r="B141" s="51"/>
      <c r="F141" s="51"/>
      <c r="G141" s="51"/>
      <c r="H141" s="51"/>
      <c r="I141" s="51"/>
    </row>
    <row r="142" spans="1:21" x14ac:dyDescent="0.25">
      <c r="F142" s="51"/>
      <c r="G142" s="51"/>
      <c r="H142" s="51"/>
      <c r="I142" s="51"/>
    </row>
    <row r="143" spans="1:21" x14ac:dyDescent="0.25">
      <c r="A143" t="s">
        <v>331</v>
      </c>
      <c r="F143" s="51"/>
      <c r="G143" s="51"/>
      <c r="H143" s="51"/>
      <c r="I143" s="51"/>
    </row>
    <row r="145" spans="1:15" x14ac:dyDescent="0.25">
      <c r="A145" s="209" t="s">
        <v>480</v>
      </c>
      <c r="B145" s="209"/>
      <c r="C145" s="209"/>
      <c r="D145" s="16">
        <f>ROUND((U127+U136)/2,0)</f>
        <v>75771</v>
      </c>
    </row>
    <row r="147" spans="1:15" x14ac:dyDescent="0.25">
      <c r="A147" t="s">
        <v>317</v>
      </c>
    </row>
    <row r="148" spans="1:15" x14ac:dyDescent="0.25">
      <c r="B148" s="179"/>
      <c r="C148" s="179"/>
    </row>
    <row r="149" spans="1:15" x14ac:dyDescent="0.25">
      <c r="A149" s="80" t="s">
        <v>401</v>
      </c>
    </row>
    <row r="151" spans="1:15" ht="18.75" x14ac:dyDescent="0.35">
      <c r="A151" s="84" t="s">
        <v>428</v>
      </c>
      <c r="B151" s="17">
        <f>D5</f>
        <v>19827</v>
      </c>
      <c r="D151" s="84" t="s">
        <v>382</v>
      </c>
      <c r="E151" s="16">
        <f>AA20</f>
        <v>303</v>
      </c>
      <c r="F151" s="51"/>
      <c r="G151" s="51"/>
      <c r="H151" s="51"/>
      <c r="I151" s="51"/>
    </row>
    <row r="152" spans="1:15" ht="18.75" x14ac:dyDescent="0.35">
      <c r="A152" s="84" t="s">
        <v>429</v>
      </c>
      <c r="B152" s="17">
        <f t="shared" ref="B152:B156" si="4">D6</f>
        <v>18833</v>
      </c>
      <c r="D152" s="84" t="s">
        <v>378</v>
      </c>
      <c r="E152" s="16">
        <f>AB20</f>
        <v>296</v>
      </c>
    </row>
    <row r="153" spans="1:15" ht="18.75" x14ac:dyDescent="0.35">
      <c r="A153" s="84" t="s">
        <v>430</v>
      </c>
      <c r="B153" s="17">
        <f t="shared" si="4"/>
        <v>18128</v>
      </c>
      <c r="D153" s="84" t="s">
        <v>379</v>
      </c>
      <c r="E153" s="16">
        <f>AC20</f>
        <v>293</v>
      </c>
      <c r="K153" s="51"/>
      <c r="L153" s="51"/>
      <c r="M153" s="51"/>
      <c r="N153" s="51"/>
      <c r="O153" s="48"/>
    </row>
    <row r="154" spans="1:15" ht="18.75" x14ac:dyDescent="0.35">
      <c r="A154" s="84" t="s">
        <v>431</v>
      </c>
      <c r="B154" s="17">
        <f t="shared" si="4"/>
        <v>18967</v>
      </c>
      <c r="D154" s="84" t="s">
        <v>380</v>
      </c>
      <c r="E154" s="16">
        <f>AD20</f>
        <v>252</v>
      </c>
    </row>
    <row r="155" spans="1:15" ht="18.75" x14ac:dyDescent="0.35">
      <c r="A155" s="84" t="s">
        <v>366</v>
      </c>
      <c r="B155" s="17">
        <f t="shared" si="4"/>
        <v>19823</v>
      </c>
      <c r="D155" s="84" t="s">
        <v>363</v>
      </c>
      <c r="E155" s="16">
        <f>AE20</f>
        <v>230</v>
      </c>
    </row>
    <row r="156" spans="1:15" ht="18.75" x14ac:dyDescent="0.35">
      <c r="A156" s="84" t="s">
        <v>367</v>
      </c>
      <c r="B156" s="17">
        <f t="shared" si="4"/>
        <v>20755</v>
      </c>
      <c r="D156" s="84" t="s">
        <v>403</v>
      </c>
      <c r="E156" s="16">
        <f>AF20</f>
        <v>244</v>
      </c>
    </row>
    <row r="157" spans="1:15" x14ac:dyDescent="0.25">
      <c r="C157" s="51"/>
      <c r="D157" s="51"/>
      <c r="E157" s="51"/>
    </row>
    <row r="158" spans="1:15" ht="18.75" x14ac:dyDescent="0.35">
      <c r="A158" s="84" t="s">
        <v>383</v>
      </c>
      <c r="B158" s="16">
        <f>SUM(AA21:AA24)</f>
        <v>46</v>
      </c>
      <c r="C158" s="51"/>
    </row>
    <row r="159" spans="1:15" ht="18.75" x14ac:dyDescent="0.35">
      <c r="A159" s="84" t="s">
        <v>384</v>
      </c>
      <c r="B159" s="16">
        <f>SUM(AB21:AB24)</f>
        <v>45</v>
      </c>
      <c r="D159" s="88"/>
      <c r="E159" s="51"/>
      <c r="L159" s="51"/>
    </row>
    <row r="160" spans="1:15" ht="18.75" x14ac:dyDescent="0.35">
      <c r="A160" s="84" t="s">
        <v>385</v>
      </c>
      <c r="B160" s="16">
        <f>SUM(AC21:AC24)</f>
        <v>46</v>
      </c>
      <c r="D160" s="51"/>
      <c r="E160" s="51"/>
      <c r="L160" s="51"/>
    </row>
    <row r="161" spans="1:21" ht="18.75" x14ac:dyDescent="0.35">
      <c r="A161" s="84" t="s">
        <v>386</v>
      </c>
      <c r="B161" s="16">
        <f>SUM(AD21:AD24)</f>
        <v>49</v>
      </c>
      <c r="L161" s="51"/>
    </row>
    <row r="162" spans="1:21" ht="18.75" x14ac:dyDescent="0.35">
      <c r="A162" s="84" t="s">
        <v>402</v>
      </c>
      <c r="B162" s="16">
        <f>SUM(AE21:AE24)</f>
        <v>38</v>
      </c>
      <c r="L162" s="51"/>
    </row>
    <row r="163" spans="1:21" x14ac:dyDescent="0.25">
      <c r="J163" s="51"/>
      <c r="K163" s="51"/>
      <c r="L163" s="51"/>
    </row>
    <row r="164" spans="1:21" x14ac:dyDescent="0.25">
      <c r="A164" s="83" t="s">
        <v>317</v>
      </c>
    </row>
    <row r="165" spans="1:21" x14ac:dyDescent="0.25">
      <c r="A165" t="s">
        <v>397</v>
      </c>
      <c r="F165" t="s">
        <v>419</v>
      </c>
      <c r="J165" s="90" t="s">
        <v>421</v>
      </c>
      <c r="N165" t="s">
        <v>423</v>
      </c>
      <c r="S165" t="s">
        <v>425</v>
      </c>
    </row>
    <row r="166" spans="1:21" x14ac:dyDescent="0.25">
      <c r="A166" s="51"/>
      <c r="B166" s="51"/>
      <c r="C166" s="51"/>
      <c r="D166" s="51"/>
    </row>
    <row r="167" spans="1:21" ht="18.75" x14ac:dyDescent="0.35">
      <c r="A167" s="84" t="s">
        <v>387</v>
      </c>
      <c r="B167" s="84" t="s">
        <v>388</v>
      </c>
      <c r="C167" s="16">
        <f>E151/B151</f>
        <v>1.5282190951732486E-2</v>
      </c>
      <c r="D167" s="51"/>
      <c r="E167" s="51"/>
      <c r="F167" s="84" t="s">
        <v>320</v>
      </c>
      <c r="G167" s="84" t="s">
        <v>328</v>
      </c>
      <c r="H167" s="16">
        <f>E155/B155</f>
        <v>1.1602683751198103E-2</v>
      </c>
      <c r="J167" s="84" t="s">
        <v>394</v>
      </c>
      <c r="K167" s="16">
        <f>(SUM(E152:E155)/SUM(B152:B155))</f>
        <v>1.4138427215482304E-2</v>
      </c>
      <c r="N167" s="91" t="s">
        <v>398</v>
      </c>
      <c r="O167" s="91"/>
      <c r="P167" s="91"/>
      <c r="Q167" s="16">
        <f>C170+E152+E153+E154+H170</f>
        <v>1135</v>
      </c>
      <c r="S167" s="206" t="s">
        <v>400</v>
      </c>
      <c r="T167" s="208"/>
      <c r="U167" s="17">
        <f>SUM(B151:B154)-Q169</f>
        <v>74504</v>
      </c>
    </row>
    <row r="168" spans="1:21" ht="18.75" x14ac:dyDescent="0.35">
      <c r="A168" s="84" t="s">
        <v>389</v>
      </c>
      <c r="B168" s="21" t="s">
        <v>604</v>
      </c>
      <c r="C168" s="16">
        <f>0.05 + (3*C167)</f>
        <v>9.5846572855197459E-2</v>
      </c>
      <c r="D168" s="51"/>
      <c r="F168" s="84" t="s">
        <v>321</v>
      </c>
      <c r="G168" s="21" t="s">
        <v>604</v>
      </c>
      <c r="H168" s="16">
        <f>0.05 + (3*H167)</f>
        <v>8.4808051253594308E-2</v>
      </c>
      <c r="J168" s="84" t="s">
        <v>395</v>
      </c>
      <c r="K168" s="16">
        <f>(1.524 - (1.625*K167))/4</f>
        <v>0.37525626394371031</v>
      </c>
      <c r="N168" s="91" t="s">
        <v>399</v>
      </c>
      <c r="O168" s="91"/>
      <c r="P168" s="91"/>
      <c r="Q168" s="16">
        <f>K170</f>
        <v>116</v>
      </c>
    </row>
    <row r="169" spans="1:21" x14ac:dyDescent="0.25">
      <c r="A169" s="83"/>
      <c r="D169" s="51"/>
      <c r="F169" s="83"/>
      <c r="P169" s="21" t="s">
        <v>107</v>
      </c>
      <c r="Q169" s="16">
        <f>SUM(Q167:Q168)</f>
        <v>1251</v>
      </c>
    </row>
    <row r="170" spans="1:21" ht="18.75" x14ac:dyDescent="0.35">
      <c r="A170" s="84" t="s">
        <v>391</v>
      </c>
      <c r="B170" s="21" t="s">
        <v>392</v>
      </c>
      <c r="C170" s="34">
        <f>ROUND(E151*(1-C168),0)</f>
        <v>274</v>
      </c>
      <c r="E170" s="80"/>
      <c r="F170" s="84" t="s">
        <v>393</v>
      </c>
      <c r="G170" s="21" t="s">
        <v>412</v>
      </c>
      <c r="H170" s="34">
        <f>ROUND(E155*(H168),0)</f>
        <v>20</v>
      </c>
      <c r="J170" s="84" t="s">
        <v>396</v>
      </c>
      <c r="K170" s="16">
        <f>ROUND(SUM(B158:B161)*(1-K168),0)</f>
        <v>116</v>
      </c>
    </row>
    <row r="172" spans="1:21" x14ac:dyDescent="0.25">
      <c r="F172" s="51"/>
      <c r="G172" s="51"/>
      <c r="H172" s="51"/>
      <c r="I172" s="51"/>
    </row>
    <row r="173" spans="1:21" x14ac:dyDescent="0.25">
      <c r="A173" s="83" t="s">
        <v>317</v>
      </c>
      <c r="F173" s="51"/>
      <c r="G173" s="51"/>
      <c r="H173" s="51"/>
      <c r="I173" s="51"/>
    </row>
    <row r="174" spans="1:21" x14ac:dyDescent="0.25">
      <c r="A174" t="s">
        <v>418</v>
      </c>
      <c r="F174" t="s">
        <v>420</v>
      </c>
      <c r="J174" s="90" t="s">
        <v>422</v>
      </c>
      <c r="N174" t="s">
        <v>424</v>
      </c>
      <c r="S174" t="s">
        <v>426</v>
      </c>
    </row>
    <row r="175" spans="1:21" x14ac:dyDescent="0.25">
      <c r="A175" s="51"/>
      <c r="B175" s="51"/>
      <c r="C175" s="51"/>
      <c r="D175" s="51"/>
    </row>
    <row r="176" spans="1:21" ht="18.75" x14ac:dyDescent="0.35">
      <c r="A176" s="84" t="s">
        <v>404</v>
      </c>
      <c r="B176" s="84" t="s">
        <v>407</v>
      </c>
      <c r="C176" s="16">
        <f>E152/B152</f>
        <v>1.5717092337917484E-2</v>
      </c>
      <c r="D176" s="51"/>
      <c r="E176" s="51"/>
      <c r="F176" s="84" t="s">
        <v>322</v>
      </c>
      <c r="G176" s="84" t="s">
        <v>411</v>
      </c>
      <c r="H176" s="16">
        <f>E156/B156</f>
        <v>1.1756203324500121E-2</v>
      </c>
      <c r="J176" s="84" t="s">
        <v>414</v>
      </c>
      <c r="K176" s="16">
        <f>(SUM(E153:E156)/SUM(B153:B156))</f>
        <v>1.3119101875812701E-2</v>
      </c>
      <c r="N176" s="91" t="s">
        <v>398</v>
      </c>
      <c r="O176" s="91"/>
      <c r="P176" s="91"/>
      <c r="Q176" s="16">
        <f>C179+E153+E154+E155+H179</f>
        <v>1063</v>
      </c>
      <c r="S176" s="206" t="s">
        <v>417</v>
      </c>
      <c r="T176" s="208"/>
      <c r="U176" s="17">
        <f>SUM(B152:B155)-Q178</f>
        <v>74577</v>
      </c>
    </row>
    <row r="177" spans="1:17" ht="18.75" x14ac:dyDescent="0.35">
      <c r="A177" s="84" t="s">
        <v>405</v>
      </c>
      <c r="B177" s="21" t="s">
        <v>604</v>
      </c>
      <c r="C177" s="16">
        <f>0.05 + (3*C176)</f>
        <v>9.7151277013752452E-2</v>
      </c>
      <c r="D177" s="51"/>
      <c r="F177" s="84" t="s">
        <v>323</v>
      </c>
      <c r="G177" s="21" t="s">
        <v>604</v>
      </c>
      <c r="H177" s="16">
        <f>0.05 + (3*H176)</f>
        <v>8.5268609973500359E-2</v>
      </c>
      <c r="J177" s="84" t="s">
        <v>415</v>
      </c>
      <c r="K177" s="16">
        <f>(1.524 -(1.625*K176))/4</f>
        <v>0.37567036486295108</v>
      </c>
      <c r="N177" s="91" t="s">
        <v>399</v>
      </c>
      <c r="O177" s="91"/>
      <c r="P177" s="91"/>
      <c r="Q177" s="16">
        <f>K179</f>
        <v>111</v>
      </c>
    </row>
    <row r="178" spans="1:17" x14ac:dyDescent="0.25">
      <c r="A178" s="83"/>
      <c r="D178" s="51"/>
      <c r="F178" s="83"/>
      <c r="P178" s="21" t="s">
        <v>107</v>
      </c>
      <c r="Q178" s="16">
        <f>SUM(Q176:Q177)</f>
        <v>1174</v>
      </c>
    </row>
    <row r="179" spans="1:17" ht="18.75" x14ac:dyDescent="0.35">
      <c r="A179" s="84" t="s">
        <v>408</v>
      </c>
      <c r="B179" s="21" t="s">
        <v>409</v>
      </c>
      <c r="C179" s="34">
        <f>ROUND(E152*(1-C177),0)</f>
        <v>267</v>
      </c>
      <c r="E179" s="80"/>
      <c r="F179" s="84" t="s">
        <v>410</v>
      </c>
      <c r="G179" s="21" t="s">
        <v>413</v>
      </c>
      <c r="H179" s="34">
        <f>ROUND(E156*(H177),0)</f>
        <v>21</v>
      </c>
      <c r="J179" s="84" t="s">
        <v>416</v>
      </c>
      <c r="K179" s="16">
        <f>ROUND(SUM(B159:B162)*(1-K177),0)</f>
        <v>111</v>
      </c>
    </row>
    <row r="181" spans="1:17" x14ac:dyDescent="0.25">
      <c r="A181" t="s">
        <v>427</v>
      </c>
      <c r="B181" s="51"/>
      <c r="F181" s="51"/>
      <c r="G181" s="51"/>
      <c r="H181" s="51"/>
      <c r="I181" s="51"/>
    </row>
    <row r="182" spans="1:17" x14ac:dyDescent="0.25">
      <c r="F182" s="51"/>
      <c r="G182" s="51"/>
      <c r="H182" s="51"/>
      <c r="I182" s="51"/>
    </row>
    <row r="183" spans="1:17" x14ac:dyDescent="0.25">
      <c r="A183" t="s">
        <v>331</v>
      </c>
      <c r="F183" s="51"/>
      <c r="G183" s="51"/>
      <c r="H183" s="51"/>
      <c r="I183" s="51"/>
    </row>
    <row r="185" spans="1:17" x14ac:dyDescent="0.25">
      <c r="A185" s="209" t="s">
        <v>483</v>
      </c>
      <c r="B185" s="209"/>
      <c r="C185" s="209"/>
      <c r="D185" s="16">
        <f>ROUND((U167+U176)/2,0)</f>
        <v>74541</v>
      </c>
    </row>
    <row r="187" spans="1:17" x14ac:dyDescent="0.25">
      <c r="A187" t="s">
        <v>432</v>
      </c>
    </row>
    <row r="188" spans="1:17" x14ac:dyDescent="0.25">
      <c r="B188" s="179" t="s">
        <v>335</v>
      </c>
      <c r="C188" s="179"/>
    </row>
    <row r="189" spans="1:17" x14ac:dyDescent="0.25">
      <c r="G189" s="80" t="s">
        <v>401</v>
      </c>
    </row>
    <row r="191" spans="1:17" ht="18.75" x14ac:dyDescent="0.35">
      <c r="G191" s="84" t="s">
        <v>368</v>
      </c>
      <c r="H191" s="17">
        <f>C10</f>
        <v>21132</v>
      </c>
      <c r="J191" s="84" t="s">
        <v>364</v>
      </c>
      <c r="K191" s="16">
        <f>T20</f>
        <v>290</v>
      </c>
    </row>
    <row r="192" spans="1:17" ht="18.75" x14ac:dyDescent="0.35">
      <c r="G192" s="84" t="s">
        <v>433</v>
      </c>
      <c r="H192" s="17">
        <f t="shared" ref="H192:H196" si="5">C11</f>
        <v>19900</v>
      </c>
      <c r="J192" s="84" t="s">
        <v>436</v>
      </c>
      <c r="K192" s="16">
        <f>U20</f>
        <v>264</v>
      </c>
    </row>
    <row r="193" spans="1:15" ht="18.75" x14ac:dyDescent="0.35">
      <c r="G193" s="84" t="s">
        <v>434</v>
      </c>
      <c r="H193" s="17">
        <f t="shared" si="5"/>
        <v>21930</v>
      </c>
      <c r="J193" s="84" t="s">
        <v>437</v>
      </c>
      <c r="K193" s="16">
        <f>V20</f>
        <v>298</v>
      </c>
      <c r="L193" s="89"/>
      <c r="M193" s="51"/>
      <c r="N193" s="51"/>
      <c r="O193" s="51"/>
    </row>
    <row r="194" spans="1:15" ht="18.75" x14ac:dyDescent="0.35">
      <c r="G194" s="84" t="s">
        <v>435</v>
      </c>
      <c r="H194" s="17">
        <f t="shared" si="5"/>
        <v>21454</v>
      </c>
      <c r="J194" s="84" t="s">
        <v>438</v>
      </c>
      <c r="K194" s="16">
        <f>W20</f>
        <v>281</v>
      </c>
    </row>
    <row r="195" spans="1:15" ht="18.75" x14ac:dyDescent="0.35">
      <c r="G195" s="84" t="s">
        <v>369</v>
      </c>
      <c r="H195" s="17">
        <f t="shared" si="5"/>
        <v>20883</v>
      </c>
      <c r="J195" s="84" t="s">
        <v>439</v>
      </c>
      <c r="K195" s="16">
        <f>X20</f>
        <v>269</v>
      </c>
    </row>
    <row r="196" spans="1:15" ht="18.75" x14ac:dyDescent="0.35">
      <c r="G196" s="84" t="s">
        <v>370</v>
      </c>
      <c r="H196" s="17">
        <f t="shared" si="5"/>
        <v>20860</v>
      </c>
      <c r="J196" s="84" t="s">
        <v>440</v>
      </c>
      <c r="K196" s="16">
        <f>Y20</f>
        <v>267</v>
      </c>
    </row>
    <row r="197" spans="1:15" x14ac:dyDescent="0.25">
      <c r="I197" s="51"/>
      <c r="J197" s="51"/>
      <c r="K197" s="51"/>
    </row>
    <row r="198" spans="1:15" ht="18.75" x14ac:dyDescent="0.35">
      <c r="G198" s="84" t="s">
        <v>441</v>
      </c>
      <c r="H198" s="16">
        <f>SUM(U21:U24)</f>
        <v>48</v>
      </c>
    </row>
    <row r="199" spans="1:15" ht="18.75" x14ac:dyDescent="0.35">
      <c r="G199" s="84" t="s">
        <v>442</v>
      </c>
      <c r="H199" s="16">
        <f>SUM(V21:V24)</f>
        <v>56</v>
      </c>
      <c r="J199" s="88"/>
      <c r="K199" s="51"/>
      <c r="L199" s="51"/>
    </row>
    <row r="200" spans="1:15" ht="18.75" x14ac:dyDescent="0.35">
      <c r="G200" s="84" t="s">
        <v>443</v>
      </c>
      <c r="H200" s="16">
        <f>SUM(W21:W24)</f>
        <v>38</v>
      </c>
      <c r="J200" s="51"/>
      <c r="K200" s="51"/>
      <c r="L200" s="51"/>
    </row>
    <row r="201" spans="1:15" ht="18.75" x14ac:dyDescent="0.35">
      <c r="G201" s="84" t="s">
        <v>444</v>
      </c>
      <c r="H201" s="16">
        <f>SUM(X21:X24)</f>
        <v>64</v>
      </c>
      <c r="L201" s="51"/>
    </row>
    <row r="202" spans="1:15" ht="18.75" x14ac:dyDescent="0.35">
      <c r="G202" s="84" t="s">
        <v>445</v>
      </c>
      <c r="H202" s="16">
        <f>SUM(Y21:Y24)</f>
        <v>43</v>
      </c>
      <c r="L202" s="51"/>
    </row>
    <row r="203" spans="1:15" x14ac:dyDescent="0.25">
      <c r="J203" s="51"/>
      <c r="K203" s="51"/>
      <c r="L203" s="51"/>
    </row>
    <row r="204" spans="1:15" x14ac:dyDescent="0.25">
      <c r="G204" s="88"/>
      <c r="H204" s="51"/>
      <c r="J204" s="88"/>
      <c r="K204" s="51"/>
      <c r="L204" s="51"/>
    </row>
    <row r="205" spans="1:15" x14ac:dyDescent="0.25">
      <c r="G205" s="88"/>
      <c r="H205" s="51"/>
      <c r="J205" s="51"/>
      <c r="K205" s="51"/>
      <c r="L205" s="51"/>
    </row>
    <row r="206" spans="1:15" x14ac:dyDescent="0.25">
      <c r="G206" s="51"/>
      <c r="H206" s="51"/>
    </row>
    <row r="208" spans="1:15" x14ac:dyDescent="0.25">
      <c r="A208" s="83" t="s">
        <v>315</v>
      </c>
    </row>
    <row r="209" spans="1:21" x14ac:dyDescent="0.25">
      <c r="A209" t="s">
        <v>450</v>
      </c>
      <c r="F209" t="s">
        <v>451</v>
      </c>
      <c r="J209" s="90" t="s">
        <v>454</v>
      </c>
      <c r="N209" t="s">
        <v>456</v>
      </c>
      <c r="S209" t="s">
        <v>458</v>
      </c>
    </row>
    <row r="210" spans="1:21" x14ac:dyDescent="0.25">
      <c r="A210" s="51"/>
      <c r="B210" s="51"/>
      <c r="C210" s="51"/>
      <c r="D210" s="51"/>
    </row>
    <row r="211" spans="1:21" ht="18.75" x14ac:dyDescent="0.35">
      <c r="A211" s="84" t="s">
        <v>322</v>
      </c>
      <c r="B211" s="84" t="s">
        <v>411</v>
      </c>
      <c r="C211" s="16">
        <f>K191/H191</f>
        <v>1.3723263297368919E-2</v>
      </c>
      <c r="D211" s="51"/>
      <c r="E211" s="51"/>
      <c r="F211" s="84" t="s">
        <v>345</v>
      </c>
      <c r="G211" s="84" t="s">
        <v>352</v>
      </c>
      <c r="H211" s="16">
        <f>K195/H195</f>
        <v>1.2881291002250635E-2</v>
      </c>
      <c r="J211" s="84" t="s">
        <v>462</v>
      </c>
      <c r="K211" s="16">
        <f>(SUM(K192:K195)/SUM(H192:H195))</f>
        <v>1.3211828864044102E-2</v>
      </c>
      <c r="N211" s="91" t="s">
        <v>398</v>
      </c>
      <c r="O211" s="91"/>
      <c r="P211" s="91"/>
      <c r="Q211" s="16">
        <f>C214+K192+K193+K194+H214</f>
        <v>1130</v>
      </c>
      <c r="S211" s="206" t="s">
        <v>465</v>
      </c>
      <c r="T211" s="208"/>
      <c r="U211" s="17">
        <f>SUM(H191:H194)-Q213</f>
        <v>83163</v>
      </c>
    </row>
    <row r="212" spans="1:21" ht="18.75" x14ac:dyDescent="0.35">
      <c r="A212" s="84" t="s">
        <v>323</v>
      </c>
      <c r="B212" s="21" t="s">
        <v>362</v>
      </c>
      <c r="C212" s="16">
        <f>0.0425 + (2.875*C211)</f>
        <v>8.1954381979935653E-2</v>
      </c>
      <c r="D212" s="51"/>
      <c r="F212" s="84" t="s">
        <v>346</v>
      </c>
      <c r="G212" s="21" t="s">
        <v>347</v>
      </c>
      <c r="H212" s="16">
        <f>0.0425 + (2.875*H211)</f>
        <v>7.9533711631470577E-2</v>
      </c>
      <c r="J212" s="84" t="s">
        <v>463</v>
      </c>
      <c r="K212" s="16">
        <f>(1.653 - (3.013*K211))/4</f>
        <v>0.4032981899081588</v>
      </c>
      <c r="N212" s="91" t="s">
        <v>399</v>
      </c>
      <c r="O212" s="91"/>
      <c r="P212" s="91"/>
      <c r="Q212" s="16">
        <f>K214</f>
        <v>123</v>
      </c>
    </row>
    <row r="213" spans="1:21" x14ac:dyDescent="0.25">
      <c r="A213" s="83"/>
      <c r="D213" s="51"/>
      <c r="F213" s="83"/>
      <c r="P213" s="21" t="s">
        <v>107</v>
      </c>
      <c r="Q213" s="16">
        <f>SUM(Q211:Q212)</f>
        <v>1253</v>
      </c>
    </row>
    <row r="214" spans="1:21" ht="18.75" x14ac:dyDescent="0.35">
      <c r="A214" s="84" t="s">
        <v>391</v>
      </c>
      <c r="B214" s="21" t="s">
        <v>326</v>
      </c>
      <c r="C214" s="34">
        <f>ROUND(K191*(1-C212),0)</f>
        <v>266</v>
      </c>
      <c r="E214" s="80"/>
      <c r="F214" s="84" t="s">
        <v>460</v>
      </c>
      <c r="G214" s="21" t="s">
        <v>461</v>
      </c>
      <c r="H214" s="34">
        <f>ROUND(K195*(H212),0)</f>
        <v>21</v>
      </c>
      <c r="J214" s="84" t="s">
        <v>464</v>
      </c>
      <c r="K214" s="16">
        <f>ROUND(SUM(H198:H201)*(1-K212),0)</f>
        <v>123</v>
      </c>
    </row>
    <row r="216" spans="1:21" x14ac:dyDescent="0.25">
      <c r="F216" s="51"/>
      <c r="G216" s="51"/>
      <c r="H216" s="51"/>
      <c r="I216" s="51"/>
    </row>
    <row r="217" spans="1:21" x14ac:dyDescent="0.25">
      <c r="A217" s="83" t="s">
        <v>315</v>
      </c>
      <c r="F217" s="51"/>
      <c r="G217" s="51"/>
      <c r="H217" s="51"/>
      <c r="I217" s="51"/>
    </row>
    <row r="218" spans="1:21" x14ac:dyDescent="0.25">
      <c r="A218" t="s">
        <v>453</v>
      </c>
      <c r="F218" t="s">
        <v>452</v>
      </c>
      <c r="J218" s="90" t="s">
        <v>455</v>
      </c>
      <c r="N218" t="s">
        <v>457</v>
      </c>
      <c r="S218" t="s">
        <v>459</v>
      </c>
    </row>
    <row r="219" spans="1:21" x14ac:dyDescent="0.25">
      <c r="A219" s="51"/>
      <c r="B219" s="51"/>
      <c r="C219" s="51"/>
      <c r="D219" s="51"/>
    </row>
    <row r="220" spans="1:21" ht="18.75" x14ac:dyDescent="0.35">
      <c r="A220" s="84" t="s">
        <v>466</v>
      </c>
      <c r="B220" s="84" t="s">
        <v>469</v>
      </c>
      <c r="C220" s="16">
        <f>K192/H192</f>
        <v>1.3266331658291457E-2</v>
      </c>
      <c r="D220" s="51"/>
      <c r="E220" s="51"/>
      <c r="F220" s="84" t="s">
        <v>472</v>
      </c>
      <c r="G220" s="84" t="s">
        <v>474</v>
      </c>
      <c r="H220" s="16">
        <f>K196/H196</f>
        <v>1.2799616490891659E-2</v>
      </c>
      <c r="J220" s="84" t="s">
        <v>476</v>
      </c>
      <c r="K220" s="16">
        <f>(SUM(K193:K196)/SUM(H193:H196))</f>
        <v>1.3098076990848967E-2</v>
      </c>
      <c r="N220" s="91" t="s">
        <v>398</v>
      </c>
      <c r="O220" s="91"/>
      <c r="P220" s="91"/>
      <c r="Q220" s="16">
        <f>C223+K193+K194+K195+H223</f>
        <v>1112</v>
      </c>
      <c r="S220" s="206" t="s">
        <v>479</v>
      </c>
      <c r="T220" s="208"/>
      <c r="U220" s="17">
        <f>SUM(H192:H195)-Q222</f>
        <v>82935</v>
      </c>
    </row>
    <row r="221" spans="1:21" ht="18.75" x14ac:dyDescent="0.35">
      <c r="A221" s="84" t="s">
        <v>467</v>
      </c>
      <c r="B221" s="21" t="s">
        <v>470</v>
      </c>
      <c r="C221" s="16">
        <f>0.0425 + (2.875*C220)</f>
        <v>8.0640703517587939E-2</v>
      </c>
      <c r="D221" s="51"/>
      <c r="F221" s="84" t="s">
        <v>353</v>
      </c>
      <c r="G221" s="21" t="s">
        <v>357</v>
      </c>
      <c r="H221" s="16">
        <f>0.0425 + (2.875*H220)</f>
        <v>7.9298897411313518E-2</v>
      </c>
      <c r="J221" s="84" t="s">
        <v>477</v>
      </c>
      <c r="K221" s="16">
        <f>(1.653 - (3.013*K220))/4</f>
        <v>0.40338387350664301</v>
      </c>
      <c r="N221" s="91" t="s">
        <v>399</v>
      </c>
      <c r="O221" s="91"/>
      <c r="P221" s="91"/>
      <c r="Q221" s="16">
        <f>K223</f>
        <v>120</v>
      </c>
    </row>
    <row r="222" spans="1:21" x14ac:dyDescent="0.25">
      <c r="A222" s="83"/>
      <c r="D222" s="51"/>
      <c r="F222" s="83"/>
      <c r="P222" s="21" t="s">
        <v>107</v>
      </c>
      <c r="Q222" s="16">
        <f>SUM(Q220:Q221)</f>
        <v>1232</v>
      </c>
    </row>
    <row r="223" spans="1:21" ht="18.75" x14ac:dyDescent="0.35">
      <c r="A223" s="84" t="s">
        <v>468</v>
      </c>
      <c r="B223" s="21" t="s">
        <v>471</v>
      </c>
      <c r="C223" s="34">
        <f>ROUND(K192*(1-C221),0)</f>
        <v>243</v>
      </c>
      <c r="E223" s="80"/>
      <c r="F223" s="84" t="s">
        <v>473</v>
      </c>
      <c r="G223" s="21" t="s">
        <v>475</v>
      </c>
      <c r="H223" s="34">
        <f>ROUND(K196*(H221),0)</f>
        <v>21</v>
      </c>
      <c r="J223" s="84" t="s">
        <v>478</v>
      </c>
      <c r="K223" s="16">
        <f>ROUND(SUM(H199:H202)*(1-K221),0)</f>
        <v>120</v>
      </c>
    </row>
    <row r="225" spans="1:15" x14ac:dyDescent="0.25">
      <c r="A225" t="s">
        <v>427</v>
      </c>
      <c r="B225" s="51"/>
      <c r="F225" s="51"/>
      <c r="G225" s="51"/>
      <c r="H225" s="51"/>
      <c r="I225" s="51"/>
    </row>
    <row r="226" spans="1:15" x14ac:dyDescent="0.25">
      <c r="F226" s="51"/>
      <c r="G226" s="51"/>
      <c r="H226" s="51"/>
      <c r="I226" s="51"/>
    </row>
    <row r="227" spans="1:15" x14ac:dyDescent="0.25">
      <c r="A227" t="s">
        <v>331</v>
      </c>
      <c r="F227" s="51"/>
      <c r="G227" s="51"/>
      <c r="H227" s="51"/>
      <c r="I227" s="51"/>
    </row>
    <row r="229" spans="1:15" x14ac:dyDescent="0.25">
      <c r="A229" s="209" t="s">
        <v>481</v>
      </c>
      <c r="B229" s="209"/>
      <c r="C229" s="209"/>
      <c r="D229" s="16">
        <f>ROUND((U211+U220)/2,0)</f>
        <v>83049</v>
      </c>
    </row>
    <row r="231" spans="1:15" x14ac:dyDescent="0.25">
      <c r="A231" t="s">
        <v>317</v>
      </c>
    </row>
    <row r="232" spans="1:15" x14ac:dyDescent="0.25">
      <c r="B232" s="179"/>
      <c r="C232" s="179"/>
    </row>
    <row r="233" spans="1:15" x14ac:dyDescent="0.25">
      <c r="A233" s="80" t="s">
        <v>401</v>
      </c>
    </row>
    <row r="235" spans="1:15" ht="18.75" x14ac:dyDescent="0.35">
      <c r="A235" s="84" t="s">
        <v>367</v>
      </c>
      <c r="B235" s="17">
        <f>D10</f>
        <v>20755</v>
      </c>
      <c r="D235" s="84" t="s">
        <v>364</v>
      </c>
      <c r="E235" s="16">
        <f>AF20</f>
        <v>244</v>
      </c>
    </row>
    <row r="236" spans="1:15" ht="18.75" x14ac:dyDescent="0.35">
      <c r="A236" s="84" t="s">
        <v>446</v>
      </c>
      <c r="B236" s="17">
        <f>D11</f>
        <v>19598</v>
      </c>
      <c r="D236" s="84" t="s">
        <v>436</v>
      </c>
      <c r="E236" s="16">
        <f>AG20</f>
        <v>202</v>
      </c>
    </row>
    <row r="237" spans="1:15" ht="18.75" x14ac:dyDescent="0.35">
      <c r="A237" s="84" t="s">
        <v>447</v>
      </c>
      <c r="B237" s="17">
        <f t="shared" ref="B237:B240" si="6">D12</f>
        <v>21528</v>
      </c>
      <c r="D237" s="84" t="s">
        <v>437</v>
      </c>
      <c r="E237" s="16">
        <f>AH20</f>
        <v>245</v>
      </c>
      <c r="K237" s="51"/>
      <c r="L237" s="51"/>
      <c r="M237" s="51"/>
      <c r="N237" s="51"/>
      <c r="O237" s="51"/>
    </row>
    <row r="238" spans="1:15" ht="18.75" x14ac:dyDescent="0.35">
      <c r="A238" s="84" t="s">
        <v>448</v>
      </c>
      <c r="B238" s="17">
        <f t="shared" si="6"/>
        <v>21003</v>
      </c>
      <c r="D238" s="84" t="s">
        <v>438</v>
      </c>
      <c r="E238" s="16">
        <f>AI20</f>
        <v>210</v>
      </c>
    </row>
    <row r="239" spans="1:15" ht="18.75" x14ac:dyDescent="0.35">
      <c r="A239" s="84" t="s">
        <v>373</v>
      </c>
      <c r="B239" s="17">
        <f t="shared" si="6"/>
        <v>20375</v>
      </c>
      <c r="D239" s="84" t="s">
        <v>439</v>
      </c>
      <c r="E239" s="16">
        <f>AJ20</f>
        <v>205</v>
      </c>
    </row>
    <row r="240" spans="1:15" ht="18.75" x14ac:dyDescent="0.35">
      <c r="A240" s="84" t="s">
        <v>374</v>
      </c>
      <c r="B240" s="17">
        <f t="shared" si="6"/>
        <v>19996</v>
      </c>
      <c r="D240" s="84" t="s">
        <v>440</v>
      </c>
      <c r="E240" s="16">
        <f>AK20</f>
        <v>223</v>
      </c>
    </row>
    <row r="241" spans="1:21" x14ac:dyDescent="0.25">
      <c r="C241" s="51"/>
      <c r="D241" s="51"/>
      <c r="E241" s="51"/>
    </row>
    <row r="242" spans="1:21" ht="18.75" x14ac:dyDescent="0.35">
      <c r="A242" s="84" t="s">
        <v>441</v>
      </c>
      <c r="B242" s="16">
        <f>SUM(AG21:AG24)</f>
        <v>53</v>
      </c>
    </row>
    <row r="243" spans="1:21" ht="18.75" x14ac:dyDescent="0.35">
      <c r="A243" s="84" t="s">
        <v>442</v>
      </c>
      <c r="B243" s="16">
        <f>SUM(AH21:AH24)</f>
        <v>34</v>
      </c>
      <c r="D243" s="88"/>
      <c r="E243" s="51"/>
      <c r="L243" s="51"/>
    </row>
    <row r="244" spans="1:21" ht="18.75" x14ac:dyDescent="0.35">
      <c r="A244" s="84" t="s">
        <v>443</v>
      </c>
      <c r="B244" s="16">
        <f>SUM(AI21:AI24)</f>
        <v>31</v>
      </c>
      <c r="D244" s="51"/>
      <c r="E244" s="51"/>
      <c r="L244" s="51"/>
    </row>
    <row r="245" spans="1:21" ht="18.75" x14ac:dyDescent="0.35">
      <c r="A245" s="84" t="s">
        <v>444</v>
      </c>
      <c r="B245" s="16">
        <f>SUM(AJ21:AJ24)</f>
        <v>30</v>
      </c>
      <c r="L245" s="51"/>
    </row>
    <row r="246" spans="1:21" ht="18.75" x14ac:dyDescent="0.35">
      <c r="A246" s="84" t="s">
        <v>445</v>
      </c>
      <c r="B246" s="16">
        <f>SUM(AK21:AK24)</f>
        <v>42</v>
      </c>
      <c r="L246" s="51"/>
    </row>
    <row r="247" spans="1:21" x14ac:dyDescent="0.25">
      <c r="J247" s="51"/>
      <c r="K247" s="51"/>
      <c r="L247" s="51"/>
    </row>
    <row r="248" spans="1:21" x14ac:dyDescent="0.25">
      <c r="A248" s="83" t="s">
        <v>317</v>
      </c>
    </row>
    <row r="249" spans="1:21" x14ac:dyDescent="0.25">
      <c r="A249" t="s">
        <v>450</v>
      </c>
      <c r="F249" t="s">
        <v>451</v>
      </c>
      <c r="J249" s="90" t="s">
        <v>454</v>
      </c>
      <c r="N249" t="s">
        <v>456</v>
      </c>
      <c r="S249" t="s">
        <v>458</v>
      </c>
    </row>
    <row r="250" spans="1:21" x14ac:dyDescent="0.25">
      <c r="A250" s="51"/>
      <c r="B250" s="51"/>
      <c r="C250" s="51"/>
      <c r="D250" s="51"/>
    </row>
    <row r="251" spans="1:21" ht="18.75" x14ac:dyDescent="0.35">
      <c r="A251" s="84" t="s">
        <v>322</v>
      </c>
      <c r="B251" s="84" t="s">
        <v>411</v>
      </c>
      <c r="C251" s="16">
        <f>E235/B235</f>
        <v>1.1756203324500121E-2</v>
      </c>
      <c r="D251" s="51"/>
      <c r="E251" s="51"/>
      <c r="F251" s="84" t="s">
        <v>345</v>
      </c>
      <c r="G251" s="84" t="s">
        <v>352</v>
      </c>
      <c r="H251" s="16">
        <f>E239/B239</f>
        <v>1.0061349693251533E-2</v>
      </c>
      <c r="J251" s="84" t="s">
        <v>462</v>
      </c>
      <c r="K251" s="16">
        <f>(SUM(E236:E239)/SUM(B236:B239))</f>
        <v>1.0447978279840977E-2</v>
      </c>
      <c r="N251" s="91" t="s">
        <v>506</v>
      </c>
      <c r="O251" s="91"/>
      <c r="P251" s="91"/>
      <c r="Q251" s="16">
        <f>C254+E236+E237+E238+H254</f>
        <v>896.63218922781562</v>
      </c>
      <c r="S251" s="206" t="s">
        <v>465</v>
      </c>
      <c r="T251" s="208"/>
      <c r="U251" s="17">
        <f>SUM(B235:B238)-Q253</f>
        <v>81895.127626078116</v>
      </c>
    </row>
    <row r="252" spans="1:21" ht="18.75" x14ac:dyDescent="0.35">
      <c r="A252" s="84" t="s">
        <v>323</v>
      </c>
      <c r="B252" s="21" t="s">
        <v>604</v>
      </c>
      <c r="C252" s="16">
        <f>0.05 + (3*C251)</f>
        <v>8.5268609973500359E-2</v>
      </c>
      <c r="D252" s="51"/>
      <c r="F252" s="84" t="s">
        <v>346</v>
      </c>
      <c r="G252" s="21" t="s">
        <v>604</v>
      </c>
      <c r="H252" s="16">
        <f>0.05 + (3*H251)</f>
        <v>8.0184049079754599E-2</v>
      </c>
      <c r="J252" s="84" t="s">
        <v>463</v>
      </c>
      <c r="K252" s="16">
        <f>(1.524 - (1.625*K251))/4</f>
        <v>0.37675550882381459</v>
      </c>
      <c r="N252" s="91" t="s">
        <v>507</v>
      </c>
      <c r="O252" s="91"/>
      <c r="P252" s="91"/>
      <c r="Q252" s="16">
        <f>K254</f>
        <v>92.240184694075438</v>
      </c>
    </row>
    <row r="253" spans="1:21" x14ac:dyDescent="0.25">
      <c r="A253" s="83"/>
      <c r="D253" s="51"/>
      <c r="F253" s="83"/>
      <c r="P253" s="21" t="s">
        <v>107</v>
      </c>
      <c r="Q253" s="45">
        <f>SUM(Q251:Q252)</f>
        <v>988.87237392189104</v>
      </c>
    </row>
    <row r="254" spans="1:21" ht="18.75" x14ac:dyDescent="0.35">
      <c r="A254" s="84" t="s">
        <v>391</v>
      </c>
      <c r="B254" s="21" t="s">
        <v>326</v>
      </c>
      <c r="C254" s="101">
        <f>(E235*(1-C252))</f>
        <v>223.19445916646592</v>
      </c>
      <c r="E254" s="80"/>
      <c r="F254" s="84" t="s">
        <v>460</v>
      </c>
      <c r="G254" s="21" t="s">
        <v>461</v>
      </c>
      <c r="H254" s="101">
        <f>(E239*(H252))</f>
        <v>16.437730061349694</v>
      </c>
      <c r="J254" s="84" t="s">
        <v>464</v>
      </c>
      <c r="K254" s="45">
        <f>(SUM(B242:B245)*(1-K252))</f>
        <v>92.240184694075438</v>
      </c>
    </row>
    <row r="256" spans="1:21" x14ac:dyDescent="0.25">
      <c r="F256" s="51"/>
      <c r="G256" s="51"/>
      <c r="H256" s="51"/>
      <c r="I256" s="51"/>
    </row>
    <row r="257" spans="1:21" x14ac:dyDescent="0.25">
      <c r="A257" s="83" t="s">
        <v>317</v>
      </c>
      <c r="F257" s="51"/>
      <c r="G257" s="51"/>
      <c r="H257" s="51"/>
      <c r="I257" s="51"/>
    </row>
    <row r="258" spans="1:21" x14ac:dyDescent="0.25">
      <c r="A258" t="s">
        <v>453</v>
      </c>
      <c r="F258" t="s">
        <v>452</v>
      </c>
      <c r="J258" s="90" t="s">
        <v>455</v>
      </c>
      <c r="N258" t="s">
        <v>457</v>
      </c>
      <c r="S258" t="s">
        <v>459</v>
      </c>
    </row>
    <row r="259" spans="1:21" x14ac:dyDescent="0.25">
      <c r="A259" s="51"/>
      <c r="B259" s="51"/>
      <c r="C259" s="51"/>
      <c r="D259" s="51"/>
    </row>
    <row r="260" spans="1:21" ht="18.75" x14ac:dyDescent="0.35">
      <c r="A260" s="84" t="s">
        <v>466</v>
      </c>
      <c r="B260" s="84" t="s">
        <v>469</v>
      </c>
      <c r="C260" s="16">
        <f>E236/B236</f>
        <v>1.0307174201449127E-2</v>
      </c>
      <c r="D260" s="51"/>
      <c r="E260" s="51"/>
      <c r="F260" s="84" t="s">
        <v>472</v>
      </c>
      <c r="G260" s="84" t="s">
        <v>474</v>
      </c>
      <c r="H260" s="16">
        <f>E240/B240</f>
        <v>1.1152230446089218E-2</v>
      </c>
      <c r="J260" s="84" t="s">
        <v>476</v>
      </c>
      <c r="K260" s="16">
        <f>(SUM(E237:E240)/SUM(B237:B240))</f>
        <v>1.0651130250174905E-2</v>
      </c>
      <c r="N260" s="91" t="s">
        <v>506</v>
      </c>
      <c r="O260" s="91"/>
      <c r="P260" s="91"/>
      <c r="Q260" s="16">
        <f>C263+E237+E238+E239+H263</f>
        <v>864.26469460235558</v>
      </c>
      <c r="S260" s="206" t="s">
        <v>479</v>
      </c>
      <c r="T260" s="208"/>
      <c r="U260" s="17">
        <f>SUM(B236:B239)-Q262</f>
        <v>81554.339503429655</v>
      </c>
    </row>
    <row r="261" spans="1:21" ht="18.75" x14ac:dyDescent="0.35">
      <c r="A261" s="84" t="s">
        <v>467</v>
      </c>
      <c r="B261" s="21" t="s">
        <v>604</v>
      </c>
      <c r="C261" s="16">
        <f>0.05 + (3*C260)</f>
        <v>8.0921522604347387E-2</v>
      </c>
      <c r="D261" s="51"/>
      <c r="F261" s="84" t="s">
        <v>353</v>
      </c>
      <c r="G261" s="21" t="s">
        <v>604</v>
      </c>
      <c r="H261" s="16">
        <f>0.05 + (3*H260)</f>
        <v>8.3456691338267663E-2</v>
      </c>
      <c r="J261" s="84" t="s">
        <v>477</v>
      </c>
      <c r="K261" s="16">
        <f>(1.524 - (1.625*K260))/4</f>
        <v>0.37667297833586644</v>
      </c>
      <c r="N261" s="91" t="s">
        <v>507</v>
      </c>
      <c r="O261" s="91"/>
      <c r="P261" s="91"/>
      <c r="Q261" s="16">
        <f>K263</f>
        <v>85.395801967986301</v>
      </c>
    </row>
    <row r="262" spans="1:21" x14ac:dyDescent="0.25">
      <c r="A262" s="83"/>
      <c r="D262" s="51"/>
      <c r="F262" s="83"/>
      <c r="P262" s="21" t="s">
        <v>107</v>
      </c>
      <c r="Q262" s="45">
        <f>SUM(Q260:Q261)</f>
        <v>949.66049657034182</v>
      </c>
    </row>
    <row r="263" spans="1:21" ht="18.75" x14ac:dyDescent="0.35">
      <c r="A263" s="84" t="s">
        <v>468</v>
      </c>
      <c r="B263" s="21" t="s">
        <v>471</v>
      </c>
      <c r="C263" s="101">
        <f>(E236*(1-C261))</f>
        <v>185.65385243392183</v>
      </c>
      <c r="E263" s="80"/>
      <c r="F263" s="84" t="s">
        <v>473</v>
      </c>
      <c r="G263" s="21" t="s">
        <v>475</v>
      </c>
      <c r="H263" s="101">
        <f>(E240*(H261))</f>
        <v>18.610842168433688</v>
      </c>
      <c r="J263" s="84" t="s">
        <v>478</v>
      </c>
      <c r="K263" s="45">
        <f>(SUM(B243:B246)*(1-K261))</f>
        <v>85.395801967986301</v>
      </c>
    </row>
    <row r="264" spans="1:21" x14ac:dyDescent="0.25">
      <c r="H264" s="100"/>
    </row>
    <row r="265" spans="1:21" x14ac:dyDescent="0.25">
      <c r="A265" t="s">
        <v>449</v>
      </c>
      <c r="B265" s="51"/>
      <c r="F265" s="51"/>
      <c r="G265" s="51"/>
      <c r="H265" s="51"/>
      <c r="I265" s="51"/>
    </row>
    <row r="266" spans="1:21" x14ac:dyDescent="0.25">
      <c r="F266" s="51"/>
      <c r="G266" s="51"/>
      <c r="H266" s="51"/>
      <c r="I266" s="51"/>
    </row>
    <row r="267" spans="1:21" x14ac:dyDescent="0.25">
      <c r="A267" t="s">
        <v>331</v>
      </c>
      <c r="F267" s="51"/>
      <c r="G267" s="51"/>
      <c r="H267" s="51"/>
      <c r="I267" s="51"/>
    </row>
    <row r="269" spans="1:21" x14ac:dyDescent="0.25">
      <c r="A269" s="209" t="s">
        <v>482</v>
      </c>
      <c r="B269" s="209"/>
      <c r="C269" s="209"/>
      <c r="D269" s="45">
        <f>(U260+U251)/2</f>
        <v>81724.733564753886</v>
      </c>
    </row>
  </sheetData>
  <mergeCells count="22">
    <mergeCell ref="S260:T260"/>
    <mergeCell ref="A269:C269"/>
    <mergeCell ref="S211:T211"/>
    <mergeCell ref="S220:T220"/>
    <mergeCell ref="A229:C229"/>
    <mergeCell ref="B232:C232"/>
    <mergeCell ref="S251:T251"/>
    <mergeCell ref="A185:C185"/>
    <mergeCell ref="B148:C148"/>
    <mergeCell ref="S167:T167"/>
    <mergeCell ref="S176:T176"/>
    <mergeCell ref="B188:C188"/>
    <mergeCell ref="A145:C145"/>
    <mergeCell ref="S136:T136"/>
    <mergeCell ref="S127:T127"/>
    <mergeCell ref="F101:H101"/>
    <mergeCell ref="B104:C104"/>
    <mergeCell ref="L45:N45"/>
    <mergeCell ref="F63:H63"/>
    <mergeCell ref="B28:C28"/>
    <mergeCell ref="B66:C66"/>
    <mergeCell ref="L83:N83"/>
  </mergeCells>
  <phoneticPr fontId="4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Querétaro</vt:lpstr>
      <vt:lpstr>CENSO Pirámides</vt:lpstr>
      <vt:lpstr>CONTEO Pirámides</vt:lpstr>
      <vt:lpstr>Indice de Whipple</vt:lpstr>
      <vt:lpstr>Indice de Myers</vt:lpstr>
      <vt:lpstr>Indice de Naciones Unidas</vt:lpstr>
      <vt:lpstr>Correción de información</vt:lpstr>
      <vt:lpstr>Tasas de crecimiento</vt:lpstr>
      <vt:lpstr>Diagramas de Lexis</vt:lpstr>
      <vt:lpstr>Datos de Defunciones</vt:lpstr>
      <vt:lpstr>Tabla de mortalidad</vt:lpstr>
      <vt:lpstr>TBM y TTM</vt:lpstr>
      <vt:lpstr>Tasas de Fecundidad</vt:lpstr>
      <vt:lpstr>Tasas de fecundidad.</vt:lpstr>
      <vt:lpstr>Migración Hombres 2000-2005</vt:lpstr>
      <vt:lpstr>Migración Mujeres 2000-2005</vt:lpstr>
      <vt:lpstr>Migración Hombres 2005-2010</vt:lpstr>
      <vt:lpstr>Migración Mujeres 2005-2010</vt:lpstr>
      <vt:lpstr>Prospectivo y Retrospectivo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Sofa Zamudio</dc:creator>
  <cp:lastModifiedBy>Carlos Sanchez</cp:lastModifiedBy>
  <cp:lastPrinted>2020-02-29T00:13:55Z</cp:lastPrinted>
  <dcterms:created xsi:type="dcterms:W3CDTF">2020-02-14T05:02:24Z</dcterms:created>
  <dcterms:modified xsi:type="dcterms:W3CDTF">2020-06-06T02:34:34Z</dcterms:modified>
</cp:coreProperties>
</file>