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uanmanuelpereztejadabobadilla/Downloads/"/>
    </mc:Choice>
  </mc:AlternateContent>
  <xr:revisionPtr revIDLastSave="0" documentId="13_ncr:1_{4F2C3FCC-11F4-2D49-BC9A-BCCA27599AC3}" xr6:coauthVersionLast="45" xr6:coauthVersionMax="45" xr10:uidLastSave="{00000000-0000-0000-0000-000000000000}"/>
  <bookViews>
    <workbookView xWindow="0" yWindow="460" windowWidth="10420" windowHeight="11160" firstSheet="3" activeTab="6" xr2:uid="{00000000-000D-0000-FFFF-FFFF00000000}"/>
  </bookViews>
  <sheets>
    <sheet name="MATERIA PRIMA" sheetId="1" r:id="rId1"/>
    <sheet name="MANTENIMIENTO" sheetId="2" r:id="rId2"/>
    <sheet name="SUPESTOS EXTERNOS" sheetId="3" r:id="rId3"/>
    <sheet name="COSTO UNITARIO POR SERVICIO" sheetId="4" r:id="rId4"/>
    <sheet name="COSTO UNITARIO (PONDERADO)" sheetId="5" r:id="rId5"/>
    <sheet name="INGRESOS ADICIONALES" sheetId="6" r:id="rId6"/>
    <sheet name="INVERSION INICIAL" sheetId="8" r:id="rId7"/>
    <sheet name="DEPRECIACION" sheetId="9" r:id="rId8"/>
    <sheet name="%DEUDA" sheetId="10" r:id="rId9"/>
    <sheet name="AMORTIZACION" sheetId="11" r:id="rId10"/>
    <sheet name="PRESUPUESTO DE VENTAS" sheetId="12" r:id="rId11"/>
    <sheet name="ESTADO DE RESULTADOS" sheetId="13" r:id="rId12"/>
    <sheet name="FLUJOS DE EFECTIVO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20" roundtripDataSignature="AMtx7mgAA+vgZst/tpU9+4R/JsCQpFT9jw=="/>
    </ext>
  </extLst>
</workbook>
</file>

<file path=xl/calcChain.xml><?xml version="1.0" encoding="utf-8"?>
<calcChain xmlns="http://schemas.openxmlformats.org/spreadsheetml/2006/main">
  <c r="I26" i="6" l="1"/>
  <c r="I24" i="6"/>
  <c r="D24" i="6"/>
  <c r="E22" i="6"/>
  <c r="D22" i="6"/>
  <c r="C22" i="6"/>
  <c r="D70" i="8"/>
  <c r="E59" i="8"/>
  <c r="E58" i="8"/>
  <c r="D39" i="8"/>
  <c r="D56" i="14" l="1"/>
  <c r="E48" i="14"/>
  <c r="F47" i="14"/>
  <c r="F42" i="14"/>
  <c r="F21" i="13" s="1"/>
  <c r="I40" i="14"/>
  <c r="H40" i="14"/>
  <c r="G40" i="14"/>
  <c r="F40" i="14"/>
  <c r="E40" i="14"/>
  <c r="D40" i="14"/>
  <c r="J29" i="13"/>
  <c r="E27" i="13"/>
  <c r="E21" i="13"/>
  <c r="E34" i="12"/>
  <c r="G30" i="12"/>
  <c r="H30" i="12" s="1"/>
  <c r="I30" i="12" s="1"/>
  <c r="F30" i="12"/>
  <c r="E22" i="12"/>
  <c r="F20" i="12"/>
  <c r="G20" i="12" s="1"/>
  <c r="H20" i="12" s="1"/>
  <c r="I20" i="12" s="1"/>
  <c r="F19" i="12"/>
  <c r="F15" i="12"/>
  <c r="G15" i="12" s="1"/>
  <c r="H15" i="12" s="1"/>
  <c r="I15" i="12" s="1"/>
  <c r="I15" i="1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14" i="11"/>
  <c r="M10" i="11"/>
  <c r="O10" i="11" s="1"/>
  <c r="D11" i="10"/>
  <c r="D12" i="10" s="1"/>
  <c r="I28" i="9"/>
  <c r="H28" i="9"/>
  <c r="G28" i="9"/>
  <c r="F28" i="9"/>
  <c r="C27" i="9"/>
  <c r="E27" i="9" s="1"/>
  <c r="B22" i="9"/>
  <c r="B21" i="9"/>
  <c r="B20" i="9"/>
  <c r="B19" i="9"/>
  <c r="E66" i="8"/>
  <c r="E65" i="8"/>
  <c r="E64" i="8"/>
  <c r="E63" i="8"/>
  <c r="E62" i="8"/>
  <c r="E57" i="8"/>
  <c r="E56" i="8"/>
  <c r="E55" i="8"/>
  <c r="E54" i="8"/>
  <c r="E53" i="8"/>
  <c r="E52" i="8"/>
  <c r="E51" i="8"/>
  <c r="E50" i="8"/>
  <c r="E49" i="8"/>
  <c r="E45" i="8"/>
  <c r="E46" i="8" s="1"/>
  <c r="D35" i="14" s="1"/>
  <c r="D41" i="8"/>
  <c r="D40" i="8"/>
  <c r="D38" i="8"/>
  <c r="E34" i="8"/>
  <c r="E35" i="8" s="1"/>
  <c r="E33" i="8"/>
  <c r="E29" i="8"/>
  <c r="E28" i="8"/>
  <c r="E27" i="8"/>
  <c r="E26" i="8"/>
  <c r="K25" i="8"/>
  <c r="K26" i="8" s="1"/>
  <c r="D44" i="14" s="1"/>
  <c r="E25" i="8"/>
  <c r="K21" i="8"/>
  <c r="E21" i="8"/>
  <c r="K20" i="8"/>
  <c r="E20" i="8"/>
  <c r="E19" i="8"/>
  <c r="E18" i="8"/>
  <c r="E17" i="8"/>
  <c r="K16" i="8"/>
  <c r="K17" i="8" s="1"/>
  <c r="I28" i="6"/>
  <c r="E38" i="12"/>
  <c r="F38" i="12" s="1"/>
  <c r="G38" i="12" s="1"/>
  <c r="H38" i="12" s="1"/>
  <c r="I38" i="12" s="1"/>
  <c r="E23" i="12"/>
  <c r="D64" i="5"/>
  <c r="C64" i="5"/>
  <c r="C62" i="5"/>
  <c r="D63" i="5" s="1"/>
  <c r="C36" i="5"/>
  <c r="D36" i="5" s="1"/>
  <c r="C34" i="5"/>
  <c r="D34" i="5" s="1"/>
  <c r="C33" i="5"/>
  <c r="D33" i="5" s="1"/>
  <c r="H27" i="5"/>
  <c r="H25" i="5"/>
  <c r="D15" i="5"/>
  <c r="N83" i="4"/>
  <c r="O83" i="4" s="1"/>
  <c r="O90" i="4" s="1"/>
  <c r="C46" i="5" s="1"/>
  <c r="D46" i="5" s="1"/>
  <c r="AD76" i="4"/>
  <c r="O76" i="4"/>
  <c r="E76" i="4"/>
  <c r="C16" i="5" s="1"/>
  <c r="D16" i="5" s="1"/>
  <c r="E69" i="4"/>
  <c r="AD62" i="4"/>
  <c r="C63" i="5" s="1"/>
  <c r="O62" i="4"/>
  <c r="C35" i="5" s="1"/>
  <c r="D35" i="5" s="1"/>
  <c r="S55" i="4"/>
  <c r="T55" i="4" s="1"/>
  <c r="T62" i="4" s="1"/>
  <c r="C44" i="5" s="1"/>
  <c r="D44" i="5" s="1"/>
  <c r="E55" i="4"/>
  <c r="E62" i="4" s="1"/>
  <c r="C15" i="5" s="1"/>
  <c r="AD48" i="4"/>
  <c r="O48" i="4"/>
  <c r="E48" i="4"/>
  <c r="C14" i="5" s="1"/>
  <c r="D14" i="5" s="1"/>
  <c r="I42" i="4"/>
  <c r="J42" i="4" s="1"/>
  <c r="E41" i="4"/>
  <c r="AD34" i="4"/>
  <c r="C61" i="5" s="1"/>
  <c r="D61" i="5" s="1"/>
  <c r="O34" i="4"/>
  <c r="E34" i="4"/>
  <c r="C13" i="5" s="1"/>
  <c r="D13" i="5" s="1"/>
  <c r="T27" i="4"/>
  <c r="T34" i="4" s="1"/>
  <c r="C42" i="5" s="1"/>
  <c r="D42" i="5" s="1"/>
  <c r="E27" i="4"/>
  <c r="AD20" i="4"/>
  <c r="C60" i="5" s="1"/>
  <c r="O20" i="4"/>
  <c r="C32" i="5" s="1"/>
  <c r="D15" i="2"/>
  <c r="E43" i="14" s="1"/>
  <c r="C11" i="2"/>
  <c r="I29" i="1"/>
  <c r="I27" i="1"/>
  <c r="L26" i="1"/>
  <c r="C26" i="1"/>
  <c r="L25" i="1"/>
  <c r="L24" i="1"/>
  <c r="F24" i="1"/>
  <c r="L23" i="1"/>
  <c r="L22" i="1"/>
  <c r="I18" i="1"/>
  <c r="L17" i="1"/>
  <c r="L16" i="1"/>
  <c r="C16" i="1"/>
  <c r="F15" i="1"/>
  <c r="D83" i="4" s="1"/>
  <c r="E83" i="4" s="1"/>
  <c r="E90" i="4" s="1"/>
  <c r="C17" i="5" s="1"/>
  <c r="D17" i="5" s="1"/>
  <c r="F14" i="1"/>
  <c r="D13" i="4" s="1"/>
  <c r="E13" i="4" s="1"/>
  <c r="E20" i="4" s="1"/>
  <c r="C12" i="5" s="1"/>
  <c r="I12" i="1"/>
  <c r="F12" i="1"/>
  <c r="S27" i="4" s="1"/>
  <c r="L11" i="1"/>
  <c r="F11" i="1"/>
  <c r="L10" i="1"/>
  <c r="F10" i="1"/>
  <c r="L9" i="1"/>
  <c r="F9" i="1"/>
  <c r="L8" i="1"/>
  <c r="F8" i="1"/>
  <c r="I28" i="4" s="1"/>
  <c r="J28" i="4" s="1"/>
  <c r="F23" i="12" l="1"/>
  <c r="G23" i="12" s="1"/>
  <c r="H23" i="12" s="1"/>
  <c r="I23" i="12" s="1"/>
  <c r="E25" i="12"/>
  <c r="K22" i="8"/>
  <c r="E67" i="8"/>
  <c r="E22" i="8"/>
  <c r="C19" i="9" s="1"/>
  <c r="E30" i="8"/>
  <c r="D32" i="14" s="1"/>
  <c r="J28" i="8"/>
  <c r="E28" i="9"/>
  <c r="E29" i="9" s="1"/>
  <c r="F29" i="9" s="1"/>
  <c r="G29" i="9" s="1"/>
  <c r="H29" i="9" s="1"/>
  <c r="I29" i="9" s="1"/>
  <c r="J29" i="9" s="1"/>
  <c r="J27" i="9"/>
  <c r="G42" i="14"/>
  <c r="G21" i="13" s="1"/>
  <c r="I42" i="8"/>
  <c r="D32" i="5"/>
  <c r="D37" i="5" s="1"/>
  <c r="C37" i="5"/>
  <c r="C65" i="5"/>
  <c r="D60" i="5"/>
  <c r="D33" i="14"/>
  <c r="C21" i="9"/>
  <c r="C18" i="5"/>
  <c r="D12" i="5"/>
  <c r="D18" i="5" s="1"/>
  <c r="X55" i="4"/>
  <c r="Y55" i="4" s="1"/>
  <c r="Y62" i="4" s="1"/>
  <c r="C54" i="5" s="1"/>
  <c r="D54" i="5" s="1"/>
  <c r="I55" i="4"/>
  <c r="J55" i="4" s="1"/>
  <c r="I27" i="4"/>
  <c r="J27" i="4" s="1"/>
  <c r="J34" i="4" s="1"/>
  <c r="C23" i="5" s="1"/>
  <c r="D23" i="5" s="1"/>
  <c r="I69" i="4"/>
  <c r="J69" i="4" s="1"/>
  <c r="J76" i="4" s="1"/>
  <c r="C26" i="5" s="1"/>
  <c r="D26" i="5" s="1"/>
  <c r="I70" i="4"/>
  <c r="J70" i="4" s="1"/>
  <c r="I84" i="4"/>
  <c r="J84" i="4" s="1"/>
  <c r="F43" i="14"/>
  <c r="E22" i="13"/>
  <c r="X41" i="4"/>
  <c r="Y41" i="4" s="1"/>
  <c r="Y48" i="4" s="1"/>
  <c r="C53" i="5" s="1"/>
  <c r="D53" i="5" s="1"/>
  <c r="I13" i="4"/>
  <c r="J13" i="4" s="1"/>
  <c r="J20" i="4" s="1"/>
  <c r="C22" i="5" s="1"/>
  <c r="X13" i="4"/>
  <c r="Y13" i="4" s="1"/>
  <c r="Y20" i="4" s="1"/>
  <c r="C51" i="5" s="1"/>
  <c r="I41" i="4"/>
  <c r="J41" i="4" s="1"/>
  <c r="J48" i="4" s="1"/>
  <c r="C24" i="5" s="1"/>
  <c r="D24" i="5" s="1"/>
  <c r="I56" i="4"/>
  <c r="J56" i="4" s="1"/>
  <c r="S69" i="4"/>
  <c r="T69" i="4" s="1"/>
  <c r="T76" i="4" s="1"/>
  <c r="C45" i="5" s="1"/>
  <c r="D45" i="5" s="1"/>
  <c r="I83" i="4"/>
  <c r="J83" i="4" s="1"/>
  <c r="J90" i="4" s="1"/>
  <c r="C27" i="5" s="1"/>
  <c r="D27" i="5" s="1"/>
  <c r="H26" i="5"/>
  <c r="H28" i="5" s="1"/>
  <c r="D45" i="14"/>
  <c r="D23" i="13"/>
  <c r="E44" i="14"/>
  <c r="E45" i="14" s="1"/>
  <c r="S13" i="4"/>
  <c r="T13" i="4" s="1"/>
  <c r="T20" i="4" s="1"/>
  <c r="C41" i="5" s="1"/>
  <c r="I14" i="4"/>
  <c r="J14" i="4" s="1"/>
  <c r="X27" i="4"/>
  <c r="Y27" i="4" s="1"/>
  <c r="Y34" i="4" s="1"/>
  <c r="C52" i="5" s="1"/>
  <c r="D52" i="5" s="1"/>
  <c r="S41" i="4"/>
  <c r="T41" i="4" s="1"/>
  <c r="T48" i="4" s="1"/>
  <c r="C43" i="5" s="1"/>
  <c r="D43" i="5" s="1"/>
  <c r="X69" i="4"/>
  <c r="Y69" i="4" s="1"/>
  <c r="Y76" i="4" s="1"/>
  <c r="C55" i="5" s="1"/>
  <c r="D55" i="5" s="1"/>
  <c r="D62" i="5"/>
  <c r="D42" i="8"/>
  <c r="H42" i="14"/>
  <c r="F22" i="12"/>
  <c r="G19" i="12"/>
  <c r="F48" i="14"/>
  <c r="G47" i="14"/>
  <c r="F27" i="13"/>
  <c r="F34" i="12"/>
  <c r="F25" i="12" l="1"/>
  <c r="D31" i="14"/>
  <c r="C20" i="9"/>
  <c r="F20" i="9" s="1"/>
  <c r="J28" i="9"/>
  <c r="F19" i="14"/>
  <c r="F15" i="13"/>
  <c r="D24" i="13"/>
  <c r="D32" i="13" s="1"/>
  <c r="D36" i="13" s="1"/>
  <c r="D42" i="13" s="1"/>
  <c r="D22" i="5"/>
  <c r="D65" i="5"/>
  <c r="G48" i="14"/>
  <c r="H47" i="14"/>
  <c r="G27" i="13"/>
  <c r="I42" i="14"/>
  <c r="H21" i="13"/>
  <c r="D34" i="14"/>
  <c r="D36" i="14" s="1"/>
  <c r="D58" i="14" s="1"/>
  <c r="C22" i="9"/>
  <c r="J62" i="4"/>
  <c r="C25" i="5" s="1"/>
  <c r="D25" i="5" s="1"/>
  <c r="S21" i="9"/>
  <c r="E21" i="9"/>
  <c r="F21" i="9"/>
  <c r="G21" i="9" s="1"/>
  <c r="E19" i="14"/>
  <c r="E15" i="13"/>
  <c r="G22" i="12"/>
  <c r="G25" i="12" s="1"/>
  <c r="H19" i="12"/>
  <c r="G34" i="12"/>
  <c r="D41" i="5"/>
  <c r="D47" i="5" s="1"/>
  <c r="C47" i="5"/>
  <c r="S19" i="9"/>
  <c r="G19" i="9"/>
  <c r="H19" i="9"/>
  <c r="E19" i="9"/>
  <c r="I19" i="9"/>
  <c r="F19" i="9"/>
  <c r="E23" i="13"/>
  <c r="E24" i="13" s="1"/>
  <c r="F44" i="14"/>
  <c r="F45" i="14" s="1"/>
  <c r="D51" i="5"/>
  <c r="D56" i="5" s="1"/>
  <c r="C56" i="5"/>
  <c r="G43" i="14"/>
  <c r="F22" i="13"/>
  <c r="E20" i="9"/>
  <c r="S20" i="9" l="1"/>
  <c r="V20" i="9"/>
  <c r="G20" i="9"/>
  <c r="H48" i="14"/>
  <c r="I47" i="14"/>
  <c r="H27" i="13"/>
  <c r="U20" i="9"/>
  <c r="H22" i="12"/>
  <c r="H25" i="12" s="1"/>
  <c r="I19" i="12"/>
  <c r="H34" i="12"/>
  <c r="I21" i="13"/>
  <c r="C28" i="5"/>
  <c r="H43" i="14"/>
  <c r="G22" i="13"/>
  <c r="Y19" i="9"/>
  <c r="W19" i="9"/>
  <c r="S22" i="9"/>
  <c r="F22" i="9"/>
  <c r="E22" i="9"/>
  <c r="D28" i="5"/>
  <c r="E23" i="9"/>
  <c r="U19" i="9"/>
  <c r="V19" i="9"/>
  <c r="J19" i="9"/>
  <c r="Z19" i="9" s="1"/>
  <c r="X19" i="9"/>
  <c r="G19" i="14"/>
  <c r="G15" i="13"/>
  <c r="G44" i="14"/>
  <c r="F23" i="13"/>
  <c r="F24" i="13" s="1"/>
  <c r="U21" i="9"/>
  <c r="J21" i="9"/>
  <c r="Z21" i="9" s="1"/>
  <c r="E28" i="13" l="1"/>
  <c r="U23" i="9"/>
  <c r="E24" i="9"/>
  <c r="U24" i="9" s="1"/>
  <c r="E34" i="9"/>
  <c r="G22" i="9"/>
  <c r="V22" i="9"/>
  <c r="H15" i="13"/>
  <c r="H19" i="14"/>
  <c r="I48" i="14"/>
  <c r="I27" i="13"/>
  <c r="J27" i="13" s="1"/>
  <c r="I43" i="14"/>
  <c r="H22" i="13"/>
  <c r="H20" i="5"/>
  <c r="H15" i="5"/>
  <c r="H14" i="5"/>
  <c r="H16" i="5"/>
  <c r="J21" i="13"/>
  <c r="H20" i="9"/>
  <c r="W20" i="9"/>
  <c r="G23" i="13"/>
  <c r="G24" i="13" s="1"/>
  <c r="H44" i="14"/>
  <c r="U22" i="9"/>
  <c r="F23" i="9"/>
  <c r="G45" i="14"/>
  <c r="I34" i="12"/>
  <c r="I22" i="12"/>
  <c r="I25" i="12" s="1"/>
  <c r="H23" i="13" l="1"/>
  <c r="I44" i="14"/>
  <c r="I23" i="13" s="1"/>
  <c r="J23" i="13" s="1"/>
  <c r="I22" i="13"/>
  <c r="J22" i="13" s="1"/>
  <c r="F28" i="13"/>
  <c r="F30" i="13" s="1"/>
  <c r="F24" i="9"/>
  <c r="F34" i="9"/>
  <c r="V23" i="9"/>
  <c r="J15" i="13"/>
  <c r="H19" i="5"/>
  <c r="I19" i="5" s="1"/>
  <c r="I16" i="5"/>
  <c r="I19" i="14"/>
  <c r="I15" i="13"/>
  <c r="H22" i="9"/>
  <c r="H23" i="9" s="1"/>
  <c r="W22" i="9"/>
  <c r="G23" i="9"/>
  <c r="H22" i="5"/>
  <c r="H17" i="5"/>
  <c r="I17" i="5" s="1"/>
  <c r="I14" i="5"/>
  <c r="H18" i="5"/>
  <c r="I18" i="5" s="1"/>
  <c r="I15" i="5"/>
  <c r="H45" i="14"/>
  <c r="I20" i="9"/>
  <c r="J20" i="9" s="1"/>
  <c r="Z20" i="9" s="1"/>
  <c r="X20" i="9"/>
  <c r="H21" i="5"/>
  <c r="I21" i="5" s="1"/>
  <c r="I20" i="5"/>
  <c r="H24" i="13"/>
  <c r="E35" i="9"/>
  <c r="E30" i="13"/>
  <c r="I45" i="14" l="1"/>
  <c r="J24" i="13"/>
  <c r="F35" i="9"/>
  <c r="G24" i="9"/>
  <c r="V24" i="9"/>
  <c r="G28" i="13"/>
  <c r="G34" i="9"/>
  <c r="W23" i="9"/>
  <c r="Y20" i="9"/>
  <c r="I24" i="13"/>
  <c r="I22" i="5"/>
  <c r="H29" i="5" s="1"/>
  <c r="E35" i="12" s="1"/>
  <c r="X22" i="9"/>
  <c r="I22" i="9"/>
  <c r="Y22" i="9" s="1"/>
  <c r="H28" i="13"/>
  <c r="H30" i="13" s="1"/>
  <c r="H34" i="9"/>
  <c r="X23" i="9"/>
  <c r="G35" i="9" l="1"/>
  <c r="H35" i="9" s="1"/>
  <c r="J22" i="9"/>
  <c r="Z22" i="9" s="1"/>
  <c r="W24" i="9"/>
  <c r="H24" i="9"/>
  <c r="I23" i="9"/>
  <c r="E37" i="12"/>
  <c r="E40" i="12" s="1"/>
  <c r="F35" i="12"/>
  <c r="G30" i="13"/>
  <c r="I28" i="13" l="1"/>
  <c r="Y23" i="9"/>
  <c r="I34" i="9"/>
  <c r="J23" i="9"/>
  <c r="Z23" i="9" s="1"/>
  <c r="G35" i="12"/>
  <c r="F37" i="12"/>
  <c r="F40" i="12" s="1"/>
  <c r="X24" i="9"/>
  <c r="I24" i="9"/>
  <c r="E27" i="14"/>
  <c r="E16" i="13"/>
  <c r="E18" i="13" l="1"/>
  <c r="E32" i="13" s="1"/>
  <c r="F27" i="14"/>
  <c r="F16" i="13"/>
  <c r="F18" i="13" s="1"/>
  <c r="F32" i="13" s="1"/>
  <c r="H35" i="12"/>
  <c r="G37" i="12"/>
  <c r="G40" i="12" s="1"/>
  <c r="I30" i="13"/>
  <c r="J28" i="13"/>
  <c r="J30" i="13" s="1"/>
  <c r="Y24" i="9"/>
  <c r="J24" i="9"/>
  <c r="Z24" i="9" s="1"/>
  <c r="J34" i="9"/>
  <c r="I35" i="9"/>
  <c r="J35" i="9" s="1"/>
  <c r="G27" i="14" l="1"/>
  <c r="G16" i="13"/>
  <c r="G18" i="13" s="1"/>
  <c r="G32" i="13" s="1"/>
  <c r="I35" i="12"/>
  <c r="I37" i="12" s="1"/>
  <c r="I40" i="12" s="1"/>
  <c r="H37" i="12"/>
  <c r="H40" i="12" s="1"/>
  <c r="H27" i="14" l="1"/>
  <c r="H16" i="13"/>
  <c r="H18" i="13" s="1"/>
  <c r="H32" i="13" s="1"/>
  <c r="I27" i="14"/>
  <c r="I16" i="13"/>
  <c r="I18" i="13" s="1"/>
  <c r="I32" i="13" s="1"/>
  <c r="J16" i="13" l="1"/>
  <c r="J18" i="13" s="1"/>
  <c r="J32" i="13" s="1"/>
  <c r="I43" i="8"/>
  <c r="J42" i="8" s="1"/>
  <c r="I41" i="8" l="1"/>
  <c r="J41" i="8"/>
  <c r="J43" i="8" s="1"/>
  <c r="J36" i="8"/>
  <c r="C16" i="10" s="1"/>
  <c r="C10" i="10" l="1"/>
  <c r="C11" i="10" s="1"/>
  <c r="D20" i="14" l="1"/>
  <c r="M8" i="11"/>
  <c r="D21" i="14"/>
  <c r="C12" i="10"/>
  <c r="E68" i="14" s="1"/>
  <c r="O11" i="11" l="1"/>
  <c r="D13" i="11"/>
  <c r="F68" i="14"/>
  <c r="I72" i="14"/>
  <c r="D23" i="14"/>
  <c r="D61" i="14" s="1"/>
  <c r="G68" i="14" l="1"/>
  <c r="E15" i="14"/>
  <c r="E23" i="14" s="1"/>
  <c r="F13" i="11"/>
  <c r="E71" i="11"/>
  <c r="E67" i="11"/>
  <c r="E61" i="11"/>
  <c r="E58" i="11"/>
  <c r="E54" i="11"/>
  <c r="E50" i="11"/>
  <c r="E48" i="11"/>
  <c r="E44" i="11"/>
  <c r="E40" i="11"/>
  <c r="E36" i="11"/>
  <c r="E32" i="11"/>
  <c r="E28" i="11"/>
  <c r="E70" i="11"/>
  <c r="E66" i="11"/>
  <c r="E63" i="11"/>
  <c r="E57" i="11"/>
  <c r="E53" i="11"/>
  <c r="E47" i="11"/>
  <c r="E43" i="11"/>
  <c r="E39" i="11"/>
  <c r="E35" i="11"/>
  <c r="E31" i="11"/>
  <c r="E69" i="11"/>
  <c r="E65" i="11"/>
  <c r="E62" i="11"/>
  <c r="E60" i="11"/>
  <c r="E56" i="11"/>
  <c r="E52" i="11"/>
  <c r="E49" i="11"/>
  <c r="E46" i="11"/>
  <c r="E42" i="11"/>
  <c r="E38" i="11"/>
  <c r="E34" i="11"/>
  <c r="E30" i="11"/>
  <c r="E26" i="11"/>
  <c r="E72" i="11"/>
  <c r="E68" i="11"/>
  <c r="E64" i="11"/>
  <c r="E59" i="11"/>
  <c r="E55" i="11"/>
  <c r="E51" i="11"/>
  <c r="E45" i="11"/>
  <c r="E41" i="11"/>
  <c r="E33" i="11"/>
  <c r="E29" i="11"/>
  <c r="E27" i="11"/>
  <c r="E22" i="11"/>
  <c r="E18" i="11"/>
  <c r="E14" i="11"/>
  <c r="E13" i="11"/>
  <c r="E37" i="11"/>
  <c r="E21" i="11"/>
  <c r="E17" i="11"/>
  <c r="E24" i="11"/>
  <c r="E20" i="11"/>
  <c r="E16" i="11"/>
  <c r="E23" i="11"/>
  <c r="E19" i="11"/>
  <c r="E15" i="11"/>
  <c r="E25" i="11"/>
  <c r="N16" i="11" l="1"/>
  <c r="F50" i="14" s="1"/>
  <c r="N18" i="11"/>
  <c r="H50" i="14" s="1"/>
  <c r="N17" i="11"/>
  <c r="G50" i="14" s="1"/>
  <c r="N19" i="11"/>
  <c r="I50" i="14" s="1"/>
  <c r="N15" i="11"/>
  <c r="G13" i="11"/>
  <c r="H13" i="11" s="1"/>
  <c r="D14" i="11" s="1"/>
  <c r="F14" i="11" l="1"/>
  <c r="E50" i="14"/>
  <c r="N20" i="11"/>
  <c r="G14" i="11" l="1"/>
  <c r="H14" i="11" s="1"/>
  <c r="D15" i="11" s="1"/>
  <c r="F15" i="11" l="1"/>
  <c r="G15" i="11" l="1"/>
  <c r="H15" i="11" s="1"/>
  <c r="D16" i="11" s="1"/>
  <c r="F16" i="11" l="1"/>
  <c r="G16" i="11" l="1"/>
  <c r="H16" i="11" s="1"/>
  <c r="D17" i="11" s="1"/>
  <c r="F17" i="11" l="1"/>
  <c r="G17" i="11" s="1"/>
  <c r="H17" i="11"/>
  <c r="D18" i="11" s="1"/>
  <c r="F18" i="11" l="1"/>
  <c r="G18" i="11" s="1"/>
  <c r="H18" i="11" s="1"/>
  <c r="D19" i="11" s="1"/>
  <c r="F19" i="11" l="1"/>
  <c r="G19" i="11" s="1"/>
  <c r="H19" i="11"/>
  <c r="D20" i="11" s="1"/>
  <c r="F20" i="11" l="1"/>
  <c r="G20" i="11" s="1"/>
  <c r="H20" i="11"/>
  <c r="D21" i="11" s="1"/>
  <c r="F21" i="11" l="1"/>
  <c r="G21" i="11" s="1"/>
  <c r="H21" i="11"/>
  <c r="D22" i="11" s="1"/>
  <c r="F22" i="11" l="1"/>
  <c r="G22" i="11" s="1"/>
  <c r="H22" i="11" s="1"/>
  <c r="D23" i="11" s="1"/>
  <c r="F23" i="11" l="1"/>
  <c r="G23" i="11" s="1"/>
  <c r="H23" i="11"/>
  <c r="D24" i="11" s="1"/>
  <c r="F24" i="11" l="1"/>
  <c r="G24" i="11" l="1"/>
  <c r="H24" i="11" s="1"/>
  <c r="D25" i="11" s="1"/>
  <c r="O15" i="11"/>
  <c r="E51" i="14" l="1"/>
  <c r="F25" i="11"/>
  <c r="G25" i="11" l="1"/>
  <c r="H25" i="11" s="1"/>
  <c r="D26" i="11" s="1"/>
  <c r="E34" i="13"/>
  <c r="E52" i="14"/>
  <c r="F26" i="11" l="1"/>
  <c r="E36" i="13"/>
  <c r="E38" i="13" l="1"/>
  <c r="E39" i="13"/>
  <c r="E42" i="13" s="1"/>
  <c r="G26" i="11"/>
  <c r="H26" i="11" s="1"/>
  <c r="D27" i="11" s="1"/>
  <c r="F27" i="11" l="1"/>
  <c r="E40" i="13"/>
  <c r="E56" i="14" s="1"/>
  <c r="E58" i="14" s="1"/>
  <c r="E61" i="14" s="1"/>
  <c r="E69" i="14" l="1"/>
  <c r="F15" i="14"/>
  <c r="F23" i="14" s="1"/>
  <c r="G27" i="11"/>
  <c r="H27" i="11" s="1"/>
  <c r="D28" i="11" s="1"/>
  <c r="F28" i="11" l="1"/>
  <c r="F69" i="14"/>
  <c r="G69" i="14" l="1"/>
  <c r="G28" i="11"/>
  <c r="H28" i="11" s="1"/>
  <c r="D29" i="11" s="1"/>
  <c r="F29" i="11" l="1"/>
  <c r="G29" i="11" l="1"/>
  <c r="H29" i="11" s="1"/>
  <c r="D30" i="11" s="1"/>
  <c r="F30" i="11" l="1"/>
  <c r="G30" i="11" s="1"/>
  <c r="H30" i="11"/>
  <c r="D31" i="11" s="1"/>
  <c r="F31" i="11" l="1"/>
  <c r="G31" i="11" s="1"/>
  <c r="H31" i="11"/>
  <c r="D32" i="11" s="1"/>
  <c r="F32" i="11" l="1"/>
  <c r="G32" i="11" s="1"/>
  <c r="H32" i="11" s="1"/>
  <c r="D33" i="11" s="1"/>
  <c r="F33" i="11" l="1"/>
  <c r="G33" i="11" s="1"/>
  <c r="H33" i="11"/>
  <c r="D34" i="11" s="1"/>
  <c r="F34" i="11" l="1"/>
  <c r="G34" i="11" s="1"/>
  <c r="H34" i="11"/>
  <c r="D35" i="11" s="1"/>
  <c r="F35" i="11" l="1"/>
  <c r="G35" i="11" s="1"/>
  <c r="H35" i="11"/>
  <c r="D36" i="11" s="1"/>
  <c r="F36" i="11" l="1"/>
  <c r="G36" i="11" l="1"/>
  <c r="H36" i="11" s="1"/>
  <c r="D37" i="11" s="1"/>
  <c r="O16" i="11"/>
  <c r="F51" i="14" l="1"/>
  <c r="F37" i="11"/>
  <c r="G37" i="11" l="1"/>
  <c r="H37" i="11" s="1"/>
  <c r="D38" i="11" s="1"/>
  <c r="F34" i="13"/>
  <c r="F52" i="14"/>
  <c r="F36" i="13" l="1"/>
  <c r="F38" i="11"/>
  <c r="F38" i="13" l="1"/>
  <c r="F39" i="13"/>
  <c r="F42" i="13" s="1"/>
  <c r="G38" i="11"/>
  <c r="H38" i="11" s="1"/>
  <c r="D39" i="11" s="1"/>
  <c r="F39" i="11" l="1"/>
  <c r="F40" i="13"/>
  <c r="F56" i="14" s="1"/>
  <c r="F58" i="14" s="1"/>
  <c r="F61" i="14" s="1"/>
  <c r="G39" i="11" l="1"/>
  <c r="H39" i="11" s="1"/>
  <c r="D40" i="11" s="1"/>
  <c r="G15" i="14"/>
  <c r="G23" i="14" s="1"/>
  <c r="E70" i="14"/>
  <c r="F70" i="14" l="1"/>
  <c r="I73" i="14"/>
  <c r="I74" i="14" s="1"/>
  <c r="I75" i="14" s="1"/>
  <c r="F40" i="11"/>
  <c r="G40" i="11" l="1"/>
  <c r="H40" i="11" s="1"/>
  <c r="D41" i="11" s="1"/>
  <c r="G70" i="14"/>
  <c r="F41" i="11" l="1"/>
  <c r="G41" i="11" l="1"/>
  <c r="H41" i="11" s="1"/>
  <c r="D42" i="11" s="1"/>
  <c r="F42" i="11" l="1"/>
  <c r="G42" i="11" s="1"/>
  <c r="H42" i="11"/>
  <c r="D43" i="11" s="1"/>
  <c r="F43" i="11" l="1"/>
  <c r="G43" i="11" s="1"/>
  <c r="H43" i="11"/>
  <c r="D44" i="11" s="1"/>
  <c r="F44" i="11" l="1"/>
  <c r="G44" i="11" s="1"/>
  <c r="H44" i="11" s="1"/>
  <c r="D45" i="11" s="1"/>
  <c r="F45" i="11" l="1"/>
  <c r="G45" i="11" s="1"/>
  <c r="H45" i="11"/>
  <c r="D46" i="11" s="1"/>
  <c r="F46" i="11" l="1"/>
  <c r="G46" i="11" s="1"/>
  <c r="H46" i="11"/>
  <c r="D47" i="11" s="1"/>
  <c r="F47" i="11" l="1"/>
  <c r="G47" i="11" s="1"/>
  <c r="H47" i="11"/>
  <c r="D48" i="11" s="1"/>
  <c r="F48" i="11" l="1"/>
  <c r="G48" i="11" l="1"/>
  <c r="H48" i="11" s="1"/>
  <c r="D49" i="11" s="1"/>
  <c r="O17" i="11"/>
  <c r="G51" i="14" l="1"/>
  <c r="F49" i="11"/>
  <c r="G49" i="11" l="1"/>
  <c r="H49" i="11" s="1"/>
  <c r="D50" i="11" s="1"/>
  <c r="G34" i="13"/>
  <c r="G52" i="14"/>
  <c r="F50" i="11" l="1"/>
  <c r="G36" i="13"/>
  <c r="G38" i="13" l="1"/>
  <c r="G39" i="13"/>
  <c r="G50" i="11"/>
  <c r="H50" i="11" s="1"/>
  <c r="D51" i="11" s="1"/>
  <c r="F51" i="11" l="1"/>
  <c r="G40" i="13"/>
  <c r="G56" i="14" s="1"/>
  <c r="G58" i="14" s="1"/>
  <c r="G61" i="14" s="1"/>
  <c r="G42" i="13"/>
  <c r="E71" i="14" l="1"/>
  <c r="H15" i="14"/>
  <c r="H23" i="14" s="1"/>
  <c r="G51" i="11"/>
  <c r="H51" i="11" s="1"/>
  <c r="D52" i="11" s="1"/>
  <c r="F52" i="11" l="1"/>
  <c r="F71" i="14"/>
  <c r="G71" i="14" l="1"/>
  <c r="G52" i="11"/>
  <c r="H52" i="11" s="1"/>
  <c r="D53" i="11" s="1"/>
  <c r="F53" i="11" l="1"/>
  <c r="G53" i="11" l="1"/>
  <c r="H53" i="11" s="1"/>
  <c r="D54" i="11" s="1"/>
  <c r="F54" i="11" l="1"/>
  <c r="G54" i="11" s="1"/>
  <c r="H54" i="11" s="1"/>
  <c r="D55" i="11" s="1"/>
  <c r="F55" i="11" l="1"/>
  <c r="G55" i="11" s="1"/>
  <c r="H55" i="11"/>
  <c r="D56" i="11" s="1"/>
  <c r="F56" i="11" l="1"/>
  <c r="G56" i="11" s="1"/>
  <c r="H56" i="11"/>
  <c r="D57" i="11" s="1"/>
  <c r="F57" i="11" l="1"/>
  <c r="G57" i="11" s="1"/>
  <c r="H57" i="11"/>
  <c r="D58" i="11" s="1"/>
  <c r="F58" i="11" l="1"/>
  <c r="G58" i="11" s="1"/>
  <c r="H58" i="11" s="1"/>
  <c r="D59" i="11" s="1"/>
  <c r="F59" i="11" l="1"/>
  <c r="G59" i="11" s="1"/>
  <c r="H59" i="11"/>
  <c r="D60" i="11" s="1"/>
  <c r="F60" i="11" l="1"/>
  <c r="G60" i="11" l="1"/>
  <c r="H60" i="11" s="1"/>
  <c r="D61" i="11" s="1"/>
  <c r="O18" i="11"/>
  <c r="H51" i="14" l="1"/>
  <c r="F61" i="11"/>
  <c r="G61" i="11" l="1"/>
  <c r="H61" i="11" s="1"/>
  <c r="D62" i="11" s="1"/>
  <c r="H34" i="13"/>
  <c r="H52" i="14"/>
  <c r="H36" i="13" l="1"/>
  <c r="F62" i="11"/>
  <c r="H38" i="13" l="1"/>
  <c r="H39" i="13"/>
  <c r="H42" i="13" s="1"/>
  <c r="G62" i="11"/>
  <c r="H62" i="11" s="1"/>
  <c r="D63" i="11" s="1"/>
  <c r="F63" i="11" l="1"/>
  <c r="H40" i="13"/>
  <c r="H56" i="14" s="1"/>
  <c r="H58" i="14" s="1"/>
  <c r="H61" i="14" s="1"/>
  <c r="E72" i="14" l="1"/>
  <c r="I15" i="14"/>
  <c r="I23" i="14" s="1"/>
  <c r="I61" i="14"/>
  <c r="E73" i="14" s="1"/>
  <c r="F73" i="14" s="1"/>
  <c r="G63" i="11"/>
  <c r="H63" i="11" s="1"/>
  <c r="D64" i="11" s="1"/>
  <c r="F64" i="11" l="1"/>
  <c r="F72" i="14"/>
  <c r="I68" i="14"/>
  <c r="I69" i="14" l="1"/>
  <c r="G73" i="14"/>
  <c r="G72" i="14"/>
  <c r="G64" i="11"/>
  <c r="H64" i="11" s="1"/>
  <c r="D65" i="11" s="1"/>
  <c r="F65" i="11" l="1"/>
  <c r="G65" i="11" l="1"/>
  <c r="H65" i="11" s="1"/>
  <c r="D66" i="11" s="1"/>
  <c r="F66" i="11" l="1"/>
  <c r="G66" i="11" s="1"/>
  <c r="H66" i="11"/>
  <c r="D67" i="11" s="1"/>
  <c r="F67" i="11" l="1"/>
  <c r="G67" i="11" s="1"/>
  <c r="H67" i="11" s="1"/>
  <c r="D68" i="11" s="1"/>
  <c r="F68" i="11" l="1"/>
  <c r="G68" i="11" s="1"/>
  <c r="H68" i="11"/>
  <c r="D69" i="11" s="1"/>
  <c r="F69" i="11" l="1"/>
  <c r="G69" i="11" s="1"/>
  <c r="H69" i="11"/>
  <c r="D70" i="11" s="1"/>
  <c r="F70" i="11" l="1"/>
  <c r="G70" i="11" s="1"/>
  <c r="H70" i="11"/>
  <c r="D71" i="11" s="1"/>
  <c r="F71" i="11" l="1"/>
  <c r="G71" i="11" s="1"/>
  <c r="H71" i="11" s="1"/>
  <c r="D72" i="11" s="1"/>
  <c r="F72" i="11" l="1"/>
  <c r="G72" i="11" l="1"/>
  <c r="H72" i="11" s="1"/>
  <c r="O19" i="11"/>
  <c r="I51" i="14" l="1"/>
  <c r="O20" i="11"/>
  <c r="I34" i="13" l="1"/>
  <c r="I52" i="14"/>
  <c r="I36" i="13" l="1"/>
  <c r="J34" i="13"/>
  <c r="J36" i="13" s="1"/>
  <c r="J38" i="13" l="1"/>
  <c r="J39" i="13"/>
  <c r="I39" i="13"/>
  <c r="I38" i="13"/>
  <c r="J42" i="13" l="1"/>
  <c r="I40" i="13"/>
  <c r="I56" i="14" s="1"/>
  <c r="I58" i="14" s="1"/>
  <c r="I42" i="13"/>
  <c r="J40" i="13"/>
</calcChain>
</file>

<file path=xl/sharedStrings.xml><?xml version="1.0" encoding="utf-8"?>
<sst xmlns="http://schemas.openxmlformats.org/spreadsheetml/2006/main" count="788" uniqueCount="300">
  <si>
    <t xml:space="preserve">SUPUESTOS EXTERNOS </t>
  </si>
  <si>
    <t>COSTOS POR MANTENIMIENTO</t>
  </si>
  <si>
    <t>MATERIA PRIMA, COSTOS Y GASTOS</t>
  </si>
  <si>
    <t>Costos de mantenimiento mensuales</t>
  </si>
  <si>
    <t>VARIABLES MACROECONOMICAS</t>
  </si>
  <si>
    <t xml:space="preserve">Producto </t>
  </si>
  <si>
    <t>Tasa de descuento</t>
  </si>
  <si>
    <t>Costo</t>
  </si>
  <si>
    <t xml:space="preserve">Precio mensual </t>
  </si>
  <si>
    <t xml:space="preserve">Tina de hidromasaje </t>
  </si>
  <si>
    <t>MATERIA PRIMA</t>
  </si>
  <si>
    <t>Inflación</t>
  </si>
  <si>
    <t>Incremento Salarial</t>
  </si>
  <si>
    <t>Incremento Salario Mínimo</t>
  </si>
  <si>
    <t>SUPUESTOS EXTERNOS</t>
  </si>
  <si>
    <t xml:space="preserve">Secadora </t>
  </si>
  <si>
    <t xml:space="preserve">Cisterna </t>
  </si>
  <si>
    <t xml:space="preserve">Baño </t>
  </si>
  <si>
    <t>Total:</t>
  </si>
  <si>
    <t xml:space="preserve">Maquinaria </t>
  </si>
  <si>
    <t>Producto</t>
  </si>
  <si>
    <t>Cantidad</t>
  </si>
  <si>
    <t xml:space="preserve">Costo por unidad </t>
  </si>
  <si>
    <t xml:space="preserve"> Shampoo y Acondicionador</t>
  </si>
  <si>
    <t>Secadora</t>
  </si>
  <si>
    <t>piezas</t>
  </si>
  <si>
    <t>Toallas</t>
  </si>
  <si>
    <t xml:space="preserve"> piezas </t>
  </si>
  <si>
    <t>Tina de Hidromasaje</t>
  </si>
  <si>
    <t>AÑO</t>
  </si>
  <si>
    <t>ISR</t>
  </si>
  <si>
    <t>PTU</t>
  </si>
  <si>
    <t xml:space="preserve"> Perfume </t>
  </si>
  <si>
    <t>Calentador de gas</t>
  </si>
  <si>
    <t xml:space="preserve"> Kit Pasta dental</t>
  </si>
  <si>
    <t xml:space="preserve"> cepillo  </t>
  </si>
  <si>
    <t>Calentador solar</t>
  </si>
  <si>
    <t>Cera protectora de hidratacion</t>
  </si>
  <si>
    <t>Costos Unitarios (Materia Prima y mano de obra) Por Servicio</t>
  </si>
  <si>
    <t>gr</t>
  </si>
  <si>
    <t>TOTAL MAQUINARIA</t>
  </si>
  <si>
    <t>ALIMENTACION DE MASCOTAS</t>
  </si>
  <si>
    <t>Alimento para perro</t>
  </si>
  <si>
    <t>MOBILIARIO</t>
  </si>
  <si>
    <t>Alimento para gato</t>
  </si>
  <si>
    <t>Paquete 1 (Baño + Corte de Pelo)</t>
  </si>
  <si>
    <t>TOTAL MATERIA PRIMA</t>
  </si>
  <si>
    <t>Perro Miniatura</t>
  </si>
  <si>
    <t xml:space="preserve">DETERMINACION DEL COSTO UNITARIO PONDERADO </t>
  </si>
  <si>
    <t>Paquete 2 (Baño + Corte de Pelo + Protección almohadillas)</t>
  </si>
  <si>
    <t>Paquete 3 (Baño + Corte de Pelo + Protección Almohadillas + Hidromasaje + Adorno temporada)</t>
  </si>
  <si>
    <t>Hospedaje + Paquete 1</t>
  </si>
  <si>
    <t>Hospedaje + Paquete 2</t>
  </si>
  <si>
    <t>Hospedaje + Paquete 3</t>
  </si>
  <si>
    <t>Paquete 1 Gatos (Baño + Protección almohadillas)</t>
  </si>
  <si>
    <t>Hospedaje + Paquete 1 Gatos</t>
  </si>
  <si>
    <t>Promedio Costo Unitario Hospedaje</t>
  </si>
  <si>
    <t>Vehículo</t>
  </si>
  <si>
    <t>Costo Unitario</t>
  </si>
  <si>
    <t>Costo Unitario Ponderado</t>
  </si>
  <si>
    <t>Perro miniatura</t>
  </si>
  <si>
    <t>COSTO UNITARIO DE PRODUCCION</t>
  </si>
  <si>
    <t>Perro pequeño</t>
  </si>
  <si>
    <t>GASTOS DIRECTOS</t>
  </si>
  <si>
    <t>Hospedaje</t>
  </si>
  <si>
    <t>Ponderación</t>
  </si>
  <si>
    <t>Baño</t>
  </si>
  <si>
    <t>Corte de pelo</t>
  </si>
  <si>
    <t>Protección de almohadillas de las patas</t>
  </si>
  <si>
    <t>Hidromasaje</t>
  </si>
  <si>
    <t>Perro mediano</t>
  </si>
  <si>
    <t>Adorno de temporada</t>
  </si>
  <si>
    <t>Insumo</t>
  </si>
  <si>
    <t xml:space="preserve">Cantidad </t>
  </si>
  <si>
    <t>Precio MP y E</t>
  </si>
  <si>
    <t>(+)</t>
  </si>
  <si>
    <t>Comida</t>
  </si>
  <si>
    <t>TOTAL MOBILIARIO</t>
  </si>
  <si>
    <t>Perro grande</t>
  </si>
  <si>
    <t>Perro gigante</t>
  </si>
  <si>
    <t xml:space="preserve">Equipo </t>
  </si>
  <si>
    <t xml:space="preserve">Servicios </t>
  </si>
  <si>
    <t>Agua</t>
  </si>
  <si>
    <t>Costo por unidad</t>
  </si>
  <si>
    <t>Gatos</t>
  </si>
  <si>
    <t>Cepillo de dientes</t>
  </si>
  <si>
    <t>Servicio de luz</t>
  </si>
  <si>
    <t>Promedio</t>
  </si>
  <si>
    <t>Mano de Obra</t>
  </si>
  <si>
    <t>Maquina para pelo</t>
  </si>
  <si>
    <t>Servicio de pipa de agua potable</t>
  </si>
  <si>
    <t>Cera protectora</t>
  </si>
  <si>
    <t>litros</t>
  </si>
  <si>
    <t xml:space="preserve">Corta uñas </t>
  </si>
  <si>
    <t>Servicio de gas</t>
  </si>
  <si>
    <t>Promedio Costo Unitario Baño</t>
  </si>
  <si>
    <t>Estancia</t>
  </si>
  <si>
    <t>Peine</t>
  </si>
  <si>
    <t>Tamaño</t>
  </si>
  <si>
    <t>TOTAL SERVICIOS</t>
  </si>
  <si>
    <t>Shampoo</t>
  </si>
  <si>
    <t xml:space="preserve">Guantes de aseo </t>
  </si>
  <si>
    <t xml:space="preserve">piezas </t>
  </si>
  <si>
    <t>Mano de obra</t>
  </si>
  <si>
    <t>(=)</t>
  </si>
  <si>
    <t>TOTAL EQUIPO</t>
  </si>
  <si>
    <t>TOTAL</t>
  </si>
  <si>
    <t>Consulta</t>
  </si>
  <si>
    <t xml:space="preserve">TOTAL </t>
  </si>
  <si>
    <t>GASTOS INDIRECTOS</t>
  </si>
  <si>
    <t>MANTENIMIENTO</t>
  </si>
  <si>
    <t>LUZ</t>
  </si>
  <si>
    <t>COSTO UNITARIO  ESTIMADO TOTAL</t>
  </si>
  <si>
    <t>Promedio Costo Unitario Corte de pelo</t>
  </si>
  <si>
    <t>Perro Pequeño</t>
  </si>
  <si>
    <t>Promedio Costo Unitario Protección de almohadillas</t>
  </si>
  <si>
    <t>Promedio Costo Unitario Hidromasaje</t>
  </si>
  <si>
    <t>Promedio Costo Unitario Adorno de Temporada</t>
  </si>
  <si>
    <t>Ingresos Adicionales por venta de tienda.</t>
  </si>
  <si>
    <t>Ingresos Mensuales (Extras)</t>
  </si>
  <si>
    <t>Costos Mensuales (Extras)</t>
  </si>
  <si>
    <t>Concepto</t>
  </si>
  <si>
    <t>Precio de Compra</t>
  </si>
  <si>
    <t>Precio de Venta</t>
  </si>
  <si>
    <t>Total</t>
  </si>
  <si>
    <t>Costos</t>
  </si>
  <si>
    <t>Juguetes para perro</t>
  </si>
  <si>
    <t>Perro Mediano</t>
  </si>
  <si>
    <t>Juguetes para gato</t>
  </si>
  <si>
    <t>Snacks para perro</t>
  </si>
  <si>
    <t>Snacks para gato</t>
  </si>
  <si>
    <t>Disfraces para perro</t>
  </si>
  <si>
    <t>Disfraces para gato</t>
  </si>
  <si>
    <t>Casas para perro</t>
  </si>
  <si>
    <t>Casas para gato</t>
  </si>
  <si>
    <t>Camas para perro</t>
  </si>
  <si>
    <t>Camas para gato</t>
  </si>
  <si>
    <t>Papel higiénico</t>
  </si>
  <si>
    <t>Jabón para manos</t>
  </si>
  <si>
    <t>Papelería</t>
  </si>
  <si>
    <t>Ingresos Totales</t>
  </si>
  <si>
    <t>Costos Totales</t>
  </si>
  <si>
    <t>INVERSION INICIAL</t>
  </si>
  <si>
    <t>Inversión Inicial</t>
  </si>
  <si>
    <t>DEPRECIACION</t>
  </si>
  <si>
    <t>Huellitas en Casa, S.A. de C.V.</t>
  </si>
  <si>
    <t>Activo Fijo</t>
  </si>
  <si>
    <t>Activo Diferido</t>
  </si>
  <si>
    <t>Maquinaria</t>
  </si>
  <si>
    <t>Seguros</t>
  </si>
  <si>
    <t>Precio</t>
  </si>
  <si>
    <t>Depreciación</t>
  </si>
  <si>
    <t>Seguro de Daños para Negocios (AXA)</t>
  </si>
  <si>
    <t>Tina hidromasaje</t>
  </si>
  <si>
    <t>Amortización</t>
  </si>
  <si>
    <t>CONCEPTO</t>
  </si>
  <si>
    <t>PERIODO</t>
  </si>
  <si>
    <t>Gastos Legales de Constitución</t>
  </si>
  <si>
    <t>Monto</t>
  </si>
  <si>
    <t>Bañera</t>
  </si>
  <si>
    <t>% de Depreciación</t>
  </si>
  <si>
    <t>Período</t>
  </si>
  <si>
    <t>Acta Constitutiva</t>
  </si>
  <si>
    <t>% de Amortización</t>
  </si>
  <si>
    <t>Permisos / Varios</t>
  </si>
  <si>
    <t>MONTO INICIAL</t>
  </si>
  <si>
    <t>% DEP/AMORT</t>
  </si>
  <si>
    <t xml:space="preserve">Mobiliario </t>
  </si>
  <si>
    <t>Publicidad</t>
  </si>
  <si>
    <t>Perro Grande</t>
  </si>
  <si>
    <t>Sala de espera</t>
  </si>
  <si>
    <t>Volanteo/ Redes Sociales/Varios</t>
  </si>
  <si>
    <t>Mesas</t>
  </si>
  <si>
    <t>Teléfono</t>
  </si>
  <si>
    <t>Activo Fijo:</t>
  </si>
  <si>
    <t xml:space="preserve">Camaras de vigilancia </t>
  </si>
  <si>
    <t>Televisón tipo Led</t>
  </si>
  <si>
    <t>Equipo de cómputo</t>
  </si>
  <si>
    <t>Activo Diferido:</t>
  </si>
  <si>
    <t>Computadora</t>
  </si>
  <si>
    <t>Otros</t>
  </si>
  <si>
    <t>Obras Civiles</t>
  </si>
  <si>
    <t>Inversión Inicial Total</t>
  </si>
  <si>
    <t>Pintura y decoraciones</t>
  </si>
  <si>
    <t>Instalación de dispositivos de seguridad</t>
  </si>
  <si>
    <t>Porcentaje</t>
  </si>
  <si>
    <t>Instalación de Internet/Teléfono</t>
  </si>
  <si>
    <t>Activo fijo</t>
  </si>
  <si>
    <t>Instalación de Baño</t>
  </si>
  <si>
    <t>Activo diferido</t>
  </si>
  <si>
    <r>
      <t xml:space="preserve">Las depreciaciones de </t>
    </r>
    <r>
      <rPr>
        <b/>
        <u/>
        <sz val="11"/>
        <color theme="1"/>
        <rFont val="Calibri"/>
      </rPr>
      <t>Activo Fijo</t>
    </r>
    <r>
      <rPr>
        <sz val="11"/>
        <color theme="1"/>
        <rFont val="Calibri"/>
      </rPr>
      <t>, se encuentran determinadas en</t>
    </r>
  </si>
  <si>
    <t>Terreno</t>
  </si>
  <si>
    <t>Renta mensual de Terreno de 150 m2</t>
  </si>
  <si>
    <t>SUMA</t>
  </si>
  <si>
    <t>Total del periodo</t>
  </si>
  <si>
    <t>Insumos mensuales</t>
  </si>
  <si>
    <t>Cepillos de dientes desechables</t>
  </si>
  <si>
    <t>Escoba</t>
  </si>
  <si>
    <t>los artículos 34° y 35° de la Ley del Impuesto sobre la Renta</t>
  </si>
  <si>
    <t>Guantes</t>
  </si>
  <si>
    <t>Pasta de dientes para perro</t>
  </si>
  <si>
    <t>Perro Gigante</t>
  </si>
  <si>
    <t>Amortización Acumulada</t>
  </si>
  <si>
    <t>Shampoo y acondicionador</t>
  </si>
  <si>
    <t>Perfume</t>
  </si>
  <si>
    <t>Accesorios</t>
  </si>
  <si>
    <t>Alimento para mascotas</t>
  </si>
  <si>
    <t>Insumos anuales</t>
  </si>
  <si>
    <t>Botas</t>
  </si>
  <si>
    <t>Cubeta</t>
  </si>
  <si>
    <t>Cepillos</t>
  </si>
  <si>
    <t>Tijeras para el pelo</t>
  </si>
  <si>
    <t>Maquinas para corte de pelo</t>
  </si>
  <si>
    <t>Depreciación Acumulada</t>
  </si>
  <si>
    <t>PORCENTAJE DE DEUDA</t>
  </si>
  <si>
    <t>Financiamiento</t>
  </si>
  <si>
    <t>%</t>
  </si>
  <si>
    <t>Capital</t>
  </si>
  <si>
    <t>Deuda</t>
  </si>
  <si>
    <t>Tabla 1</t>
  </si>
  <si>
    <t>Total de Depreciación y Amortización:</t>
  </si>
  <si>
    <t>AMORTIZACION</t>
  </si>
  <si>
    <t>Préstamo</t>
  </si>
  <si>
    <t>Depreciación del Ejercicio</t>
  </si>
  <si>
    <t xml:space="preserve">Tasa efect anual </t>
  </si>
  <si>
    <t>Tasa de Interés</t>
  </si>
  <si>
    <t>Anualidad</t>
  </si>
  <si>
    <t>Préstamo de Capital</t>
  </si>
  <si>
    <t>Periodos</t>
  </si>
  <si>
    <t>Pagos</t>
  </si>
  <si>
    <t>Año</t>
  </si>
  <si>
    <t>Saldo insoluto</t>
  </si>
  <si>
    <t>Pago Capital</t>
  </si>
  <si>
    <t>Pago de Intereses</t>
  </si>
  <si>
    <t>Monto de Pago</t>
  </si>
  <si>
    <t>Saldo de Capital</t>
  </si>
  <si>
    <t>Pago Realizados</t>
  </si>
  <si>
    <t>PRESUPUESTO DE VENTAS</t>
  </si>
  <si>
    <t>Presupuesto de Venta</t>
  </si>
  <si>
    <t>ESTADO DE RESULTADOS</t>
  </si>
  <si>
    <t>Huellitas en casa, S.A. de C.V.</t>
  </si>
  <si>
    <t>Ingresos</t>
  </si>
  <si>
    <t>Ventas</t>
  </si>
  <si>
    <t>Unidades</t>
  </si>
  <si>
    <t>Costo de Ventas</t>
  </si>
  <si>
    <t>Subtotal</t>
  </si>
  <si>
    <t>Ingresos adicionales</t>
  </si>
  <si>
    <t>Utilidad Bruta</t>
  </si>
  <si>
    <t>Gastos de Venta:</t>
  </si>
  <si>
    <t>Sueldos</t>
  </si>
  <si>
    <t>Mantenimiento</t>
  </si>
  <si>
    <t>Presupuesto de Egresos</t>
  </si>
  <si>
    <t>Egresos</t>
  </si>
  <si>
    <t>Costo de Producción</t>
  </si>
  <si>
    <t>Gastos de Administracion:</t>
  </si>
  <si>
    <t>Depreciacion</t>
  </si>
  <si>
    <t>Amortizacion</t>
  </si>
  <si>
    <t>Costos adicionales</t>
  </si>
  <si>
    <t>W</t>
  </si>
  <si>
    <t>PRESUPUESTO DE FLUJO DE EFECTIVO</t>
  </si>
  <si>
    <t>SALDO INICIAL DE EFECTIVO:</t>
  </si>
  <si>
    <t>Utilidad de Operación</t>
  </si>
  <si>
    <t>ENTRADAS DE EFECTIVO:</t>
  </si>
  <si>
    <t>Ingresos por ventas</t>
  </si>
  <si>
    <t>Costo Financiero (Préstamo)</t>
  </si>
  <si>
    <t>Utilidad / (Pérdida) antes de impuestos</t>
  </si>
  <si>
    <t>Socios</t>
  </si>
  <si>
    <t>TOTAL ENTRADAS DE EFECTIVO:</t>
  </si>
  <si>
    <t>SALIDAS DE EFECTIVO:</t>
  </si>
  <si>
    <t>Utilidad (Perdida) Neta</t>
  </si>
  <si>
    <t>Costo de ventas:</t>
  </si>
  <si>
    <t>Mobiliario y Equipo de Oficina</t>
  </si>
  <si>
    <t>Sueldos Socios</t>
  </si>
  <si>
    <t>Costo Financiero:</t>
  </si>
  <si>
    <t>Capital de préstamo</t>
  </si>
  <si>
    <t>Intereses del prestamo</t>
  </si>
  <si>
    <t>Dividendos:</t>
  </si>
  <si>
    <t>Pago de ISR y PTU:</t>
  </si>
  <si>
    <t>TOTAL SALIDAS DE EFECTIVO:</t>
  </si>
  <si>
    <t>SALDO FINAL DE EFECTIVO:</t>
  </si>
  <si>
    <t>Índices Financieros</t>
  </si>
  <si>
    <t>Años</t>
  </si>
  <si>
    <t>Flujos</t>
  </si>
  <si>
    <t>VP</t>
  </si>
  <si>
    <t>TIR</t>
  </si>
  <si>
    <t>VPN</t>
  </si>
  <si>
    <t>INVERSION</t>
  </si>
  <si>
    <t>pr años</t>
  </si>
  <si>
    <t>¿El Valor Presente es mayor igual que cero?</t>
  </si>
  <si>
    <t>SI</t>
  </si>
  <si>
    <t>¿La Tasa Interna de Retorno es mayor que la tasa de préstamo de capital?</t>
  </si>
  <si>
    <t>¿En cuántos años se recupera la inversión?</t>
  </si>
  <si>
    <t>Flujo acumulado</t>
  </si>
  <si>
    <t>2.75 AÑOS</t>
  </si>
  <si>
    <t>PRI = 2 años, 9 meses, 4 días</t>
  </si>
  <si>
    <t>Depreciación de acuerdo al contrato establecido con AXA: 5 años</t>
  </si>
  <si>
    <t>FLUJOS DE EFECTIVO</t>
  </si>
  <si>
    <t>Ganancia</t>
  </si>
  <si>
    <t xml:space="preserve">Mesitas </t>
  </si>
  <si>
    <t>Anaqueles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</si>
</sst>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.00_-;\-&quot;$&quot;* #,##0.00_-;_-&quot;$&quot;* &quot;-&quot;??_-;_-@"/>
    <numFmt numFmtId="165" formatCode="#,##0\ &quot;ml&quot;"/>
    <numFmt numFmtId="166" formatCode="#,##0.00\ [$€-1]"/>
    <numFmt numFmtId="167" formatCode="#,##0\ &quot;gr&quot;"/>
    <numFmt numFmtId="168" formatCode="#,##0\ &quot;Lt&quot;"/>
    <numFmt numFmtId="169" formatCode="#,##0\ &quot;hrs&quot;"/>
    <numFmt numFmtId="170" formatCode="0.0"/>
    <numFmt numFmtId="171" formatCode="#,##0_ ;[Red]\-#,##0\ "/>
    <numFmt numFmtId="172" formatCode="_-&quot;$&quot;* #,##0.0_-;\-&quot;$&quot;* #,##0.0_-;_-&quot;$&quot;* &quot;-&quot;??_-;_-@"/>
    <numFmt numFmtId="173" formatCode="0.000%"/>
    <numFmt numFmtId="174" formatCode="0.000000%"/>
    <numFmt numFmtId="175" formatCode="#,##0.00_ ;[Red]\-#,##0.00\ "/>
    <numFmt numFmtId="176" formatCode="[$$-409]#,##0.00_ ;[Red]\-[$$-409]#,##0.00\ "/>
    <numFmt numFmtId="177" formatCode="[$$-409]#,##0.00"/>
    <numFmt numFmtId="178" formatCode="&quot;$&quot;#,##0.00"/>
  </numFmts>
  <fonts count="89">
    <font>
      <sz val="11"/>
      <color theme="1"/>
      <name val="Arial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b/>
      <sz val="11"/>
      <color rgb="FFBF9000"/>
      <name val="Arial"/>
    </font>
    <font>
      <b/>
      <sz val="11"/>
      <color theme="1"/>
      <name val="Calibri"/>
    </font>
    <font>
      <b/>
      <sz val="21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color rgb="FF000000"/>
      <name val="Arial"/>
    </font>
    <font>
      <b/>
      <sz val="14"/>
      <color theme="1"/>
      <name val="Calibri"/>
    </font>
    <font>
      <b/>
      <sz val="11"/>
      <color rgb="FF000000"/>
      <name val="Calibri"/>
    </font>
    <font>
      <b/>
      <sz val="16"/>
      <color rgb="FFBF9000"/>
      <name val="Calibri"/>
    </font>
    <font>
      <sz val="11"/>
      <color rgb="FFBF9000"/>
      <name val="Calibri"/>
    </font>
    <font>
      <i/>
      <sz val="11"/>
      <color theme="1"/>
      <name val="Calibri"/>
    </font>
    <font>
      <sz val="11"/>
      <color theme="1"/>
      <name val="Noto Sans Symbols"/>
    </font>
    <font>
      <b/>
      <sz val="14"/>
      <color rgb="FFBF9000"/>
      <name val="Arial"/>
    </font>
    <font>
      <b/>
      <sz val="20"/>
      <color theme="1"/>
      <name val="Calibri"/>
    </font>
    <font>
      <sz val="14"/>
      <color rgb="FFBF9000"/>
      <name val="Arial"/>
    </font>
    <font>
      <b/>
      <sz val="18"/>
      <color theme="1"/>
      <name val="Calibri"/>
    </font>
    <font>
      <b/>
      <sz val="12"/>
      <color theme="1"/>
      <name val="Calibri"/>
    </font>
    <font>
      <b/>
      <sz val="16"/>
      <color theme="1"/>
      <name val="Calibri"/>
    </font>
    <font>
      <sz val="16"/>
      <color theme="1"/>
      <name val="Calibri"/>
    </font>
    <font>
      <b/>
      <i/>
      <sz val="11"/>
      <color theme="1"/>
      <name val="Calibri"/>
    </font>
    <font>
      <b/>
      <sz val="11"/>
      <color rgb="FFBF9000"/>
      <name val="Calibri"/>
    </font>
    <font>
      <sz val="11"/>
      <color rgb="FF000000"/>
      <name val="Arial"/>
    </font>
    <font>
      <sz val="8"/>
      <color rgb="FF808080"/>
      <name val="Times New Roman"/>
    </font>
    <font>
      <b/>
      <sz val="12"/>
      <color rgb="FFBF9000"/>
      <name val="Arial"/>
    </font>
    <font>
      <sz val="9"/>
      <color rgb="FF666666"/>
      <name val="Calibri"/>
    </font>
    <font>
      <b/>
      <sz val="8"/>
      <color rgb="FF000000"/>
      <name val="Calibri"/>
    </font>
    <font>
      <b/>
      <sz val="8"/>
      <color theme="1"/>
      <name val="Calibri"/>
    </font>
    <font>
      <b/>
      <i/>
      <sz val="11"/>
      <color rgb="FF000000"/>
      <name val="Calibri"/>
    </font>
    <font>
      <b/>
      <sz val="18"/>
      <color theme="1"/>
      <name val="Arial"/>
    </font>
    <font>
      <sz val="10"/>
      <color theme="1"/>
      <name val="Calibri"/>
    </font>
    <font>
      <b/>
      <sz val="16"/>
      <color rgb="FF000000"/>
      <name val="Arial"/>
    </font>
    <font>
      <b/>
      <sz val="11"/>
      <color theme="1"/>
      <name val="Arial"/>
    </font>
    <font>
      <b/>
      <i/>
      <u/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Arial"/>
    </font>
    <font>
      <sz val="9"/>
      <color theme="1"/>
      <name val="Calibri"/>
    </font>
    <font>
      <u/>
      <sz val="11"/>
      <color theme="1"/>
      <name val="Arial"/>
    </font>
    <font>
      <sz val="11"/>
      <name val="Calibri"/>
    </font>
    <font>
      <u/>
      <sz val="11"/>
      <color theme="1"/>
      <name val="Arial"/>
    </font>
    <font>
      <u/>
      <sz val="11"/>
      <color theme="1"/>
      <name val="Arial"/>
    </font>
    <font>
      <i/>
      <sz val="11"/>
      <color theme="1"/>
      <name val="Arial"/>
    </font>
    <font>
      <u/>
      <sz val="11"/>
      <color theme="1"/>
      <name val="Arial"/>
    </font>
    <font>
      <u/>
      <sz val="11"/>
      <color theme="1"/>
      <name val="Calibri"/>
    </font>
    <font>
      <u/>
      <sz val="11"/>
      <color theme="1"/>
      <name val="Arial"/>
    </font>
    <font>
      <u/>
      <sz val="11"/>
      <color theme="1"/>
      <name val="Calibri"/>
    </font>
    <font>
      <b/>
      <i/>
      <u/>
      <sz val="11"/>
      <color theme="1"/>
      <name val="Calibri"/>
    </font>
    <font>
      <b/>
      <i/>
      <u/>
      <sz val="11"/>
      <color theme="1"/>
      <name val="Calibri"/>
    </font>
    <font>
      <b/>
      <i/>
      <sz val="12"/>
      <color theme="1"/>
      <name val="Calibri"/>
    </font>
    <font>
      <b/>
      <u/>
      <sz val="11"/>
      <color theme="1"/>
      <name val="Arial"/>
    </font>
    <font>
      <b/>
      <u/>
      <sz val="11"/>
      <color theme="1"/>
      <name val="Arial"/>
    </font>
    <font>
      <sz val="11"/>
      <color rgb="FFFF0000"/>
      <name val="Arial"/>
    </font>
    <font>
      <u/>
      <sz val="11"/>
      <color theme="1"/>
      <name val="Calibri"/>
    </font>
    <font>
      <u/>
      <sz val="11"/>
      <name val="Calibri"/>
    </font>
    <font>
      <u/>
      <sz val="11"/>
      <name val="Calibri"/>
    </font>
    <font>
      <u/>
      <sz val="11"/>
      <color rgb="FFFF0000"/>
      <name val="Arial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rgb="FFFF0000"/>
      <name val="Arial"/>
    </font>
    <font>
      <b/>
      <sz val="11"/>
      <name val="Calibri"/>
    </font>
    <font>
      <u/>
      <sz val="11"/>
      <color rgb="FF000000"/>
      <name val="Arial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sz val="14"/>
      <color theme="1"/>
      <name val="Arial"/>
    </font>
    <font>
      <sz val="9"/>
      <color rgb="FFFF0000"/>
      <name val="Arial"/>
    </font>
    <font>
      <b/>
      <sz val="14"/>
      <color rgb="FF000000"/>
      <name val="Calibri"/>
    </font>
    <font>
      <i/>
      <sz val="11"/>
      <color rgb="FF000000"/>
      <name val="Calibri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rgb="FFBF9000"/>
      <name val="Arial"/>
      <family val="2"/>
    </font>
    <font>
      <b/>
      <sz val="14"/>
      <color rgb="FFBF9000"/>
      <name val="Calibri"/>
      <family val="2"/>
    </font>
    <font>
      <b/>
      <sz val="12"/>
      <color rgb="FFBF900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BF9000"/>
      <name val="Calibri"/>
      <family val="2"/>
    </font>
    <font>
      <b/>
      <sz val="12"/>
      <color theme="1"/>
      <name val="Calibri"/>
      <family val="2"/>
    </font>
    <font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EAF1DD"/>
        <bgColor rgb="FFEAF1DD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CC99"/>
        <bgColor rgb="FF00CC99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rgb="FF92D050"/>
      </patternFill>
    </fill>
    <fill>
      <patternFill patternType="solid">
        <fgColor rgb="FFFFCCFF"/>
        <bgColor rgb="FFFFCCFF"/>
      </patternFill>
    </fill>
    <fill>
      <patternFill patternType="solid">
        <fgColor rgb="FFE5DFEC"/>
        <bgColor rgb="FFE5DFEC"/>
      </patternFill>
    </fill>
    <fill>
      <patternFill patternType="solid">
        <fgColor rgb="FF00FFFF"/>
        <bgColor rgb="FF00FFFF"/>
      </patternFill>
    </fill>
    <fill>
      <patternFill patternType="solid">
        <fgColor rgb="FFE3E3E3"/>
        <bgColor rgb="FFE3E3E3"/>
      </patternFill>
    </fill>
    <fill>
      <patternFill patternType="solid">
        <fgColor rgb="FFE4DFEC"/>
        <bgColor rgb="FFE4DFEC"/>
      </patternFill>
    </fill>
    <fill>
      <patternFill patternType="solid">
        <fgColor rgb="FFCCFFCC"/>
        <bgColor rgb="FFCCFFCC"/>
      </patternFill>
    </fill>
    <fill>
      <patternFill patternType="solid">
        <fgColor rgb="FFF1C23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F1DD"/>
        <bgColor rgb="FFFFFFFF"/>
      </patternFill>
    </fill>
  </fills>
  <borders count="9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BF9000"/>
      </left>
      <right/>
      <top style="thin">
        <color rgb="FFBF9000"/>
      </top>
      <bottom style="thin">
        <color rgb="FFBF9000"/>
      </bottom>
      <diagonal/>
    </border>
    <border>
      <left/>
      <right/>
      <top style="thin">
        <color rgb="FFBF9000"/>
      </top>
      <bottom style="thin">
        <color rgb="FFBF9000"/>
      </bottom>
      <diagonal/>
    </border>
    <border>
      <left/>
      <right style="thin">
        <color rgb="FFBF9000"/>
      </right>
      <top style="thin">
        <color rgb="FFBF9000"/>
      </top>
      <bottom style="thin">
        <color rgb="FFBF9000"/>
      </bottom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dotted">
        <color rgb="FF92D050"/>
      </left>
      <right style="dotted">
        <color rgb="FF92D050"/>
      </right>
      <top/>
      <bottom style="dotted">
        <color rgb="FF92D050"/>
      </bottom>
      <diagonal/>
    </border>
    <border>
      <left style="dotted">
        <color rgb="FF92D050"/>
      </left>
      <right style="dotted">
        <color rgb="FF92D050"/>
      </right>
      <top style="dotted">
        <color rgb="FF92D050"/>
      </top>
      <bottom style="dotted">
        <color rgb="FF92D050"/>
      </bottom>
      <diagonal/>
    </border>
    <border>
      <left style="dotted">
        <color rgb="FF92D050"/>
      </left>
      <right style="dotted">
        <color rgb="FF92D050"/>
      </right>
      <top style="dotted">
        <color rgb="FF92D050"/>
      </top>
      <bottom/>
      <diagonal/>
    </border>
    <border>
      <left style="dotted">
        <color rgb="FF92D050"/>
      </left>
      <right/>
      <top style="dotted">
        <color rgb="FF92D050"/>
      </top>
      <bottom style="dotted">
        <color rgb="FF92D05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92D05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2D050"/>
      </left>
      <right/>
      <top style="thin">
        <color rgb="FF92D05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92D05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92D05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92D050"/>
      </left>
      <right style="thin">
        <color rgb="FF000000"/>
      </right>
      <top/>
      <bottom/>
      <diagonal/>
    </border>
    <border>
      <left/>
      <right style="medium">
        <color rgb="FF92D05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92D050"/>
      </left>
      <right style="thin">
        <color rgb="FF000000"/>
      </right>
      <top/>
      <bottom style="medium">
        <color rgb="FF92D050"/>
      </bottom>
      <diagonal/>
    </border>
    <border>
      <left style="thin">
        <color rgb="FF000000"/>
      </left>
      <right style="thin">
        <color rgb="FF000000"/>
      </right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medium">
        <color rgb="FF92D050"/>
      </right>
      <top style="medium">
        <color rgb="FF92D05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92D050"/>
      </top>
      <bottom/>
      <diagonal/>
    </border>
    <border>
      <left/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/>
      <top/>
      <bottom style="thin">
        <color rgb="FF92D050"/>
      </bottom>
      <diagonal/>
    </border>
    <border>
      <left/>
      <right/>
      <top/>
      <bottom style="thin">
        <color rgb="FF92D050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rgb="FF000000"/>
      </left>
      <right/>
      <top/>
      <bottom style="thin">
        <color rgb="FF92D05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/>
      <right/>
      <top style="thin">
        <color rgb="FF92D050"/>
      </top>
      <bottom style="thin">
        <color rgb="FF92D050"/>
      </bottom>
      <diagonal/>
    </border>
    <border>
      <left/>
      <right style="thin">
        <color rgb="FF000000"/>
      </right>
      <top style="thin">
        <color rgb="FF92D050"/>
      </top>
      <bottom style="thin">
        <color rgb="FF92D05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92D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0" fillId="3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3" xfId="0" applyFont="1" applyBorder="1"/>
    <xf numFmtId="9" fontId="3" fillId="0" borderId="0" xfId="0" applyNumberFormat="1" applyFont="1"/>
    <xf numFmtId="0" fontId="10" fillId="5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2" fillId="4" borderId="3" xfId="0" applyFont="1" applyFill="1" applyBorder="1" applyAlignment="1"/>
    <xf numFmtId="0" fontId="6" fillId="0" borderId="0" xfId="0" applyFont="1"/>
    <xf numFmtId="0" fontId="2" fillId="0" borderId="0" xfId="0" applyFont="1"/>
    <xf numFmtId="0" fontId="4" fillId="5" borderId="3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8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3" fillId="0" borderId="12" xfId="0" applyFont="1" applyBorder="1"/>
    <xf numFmtId="0" fontId="0" fillId="0" borderId="13" xfId="0" applyFont="1" applyBorder="1" applyAlignment="1">
      <alignment horizontal="center"/>
    </xf>
    <xf numFmtId="0" fontId="4" fillId="5" borderId="3" xfId="0" applyFont="1" applyFill="1" applyBorder="1" applyAlignment="1">
      <alignment horizontal="center" wrapText="1"/>
    </xf>
    <xf numFmtId="0" fontId="13" fillId="3" borderId="0" xfId="0" applyFont="1" applyFill="1"/>
    <xf numFmtId="0" fontId="4" fillId="0" borderId="18" xfId="0" applyFont="1" applyBorder="1" applyAlignment="1">
      <alignment horizontal="center" wrapText="1"/>
    </xf>
    <xf numFmtId="0" fontId="13" fillId="0" borderId="0" xfId="0" applyFont="1"/>
    <xf numFmtId="0" fontId="6" fillId="4" borderId="3" xfId="0" applyFont="1" applyFill="1" applyBorder="1"/>
    <xf numFmtId="0" fontId="2" fillId="6" borderId="3" xfId="0" applyFont="1" applyFill="1" applyBorder="1" applyAlignment="1"/>
    <xf numFmtId="2" fontId="3" fillId="6" borderId="3" xfId="0" applyNumberFormat="1" applyFont="1" applyFill="1" applyBorder="1"/>
    <xf numFmtId="0" fontId="14" fillId="3" borderId="0" xfId="0" applyFont="1" applyFill="1"/>
    <xf numFmtId="0" fontId="4" fillId="0" borderId="19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6" fillId="4" borderId="22" xfId="0" applyFont="1" applyFill="1" applyBorder="1"/>
    <xf numFmtId="0" fontId="4" fillId="0" borderId="23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166" fontId="6" fillId="4" borderId="3" xfId="0" applyNumberFormat="1" applyFont="1" applyFill="1" applyBorder="1"/>
    <xf numFmtId="0" fontId="3" fillId="5" borderId="17" xfId="0" applyFont="1" applyFill="1" applyBorder="1"/>
    <xf numFmtId="0" fontId="2" fillId="5" borderId="17" xfId="0" applyFont="1" applyFill="1" applyBorder="1" applyAlignment="1"/>
    <xf numFmtId="0" fontId="4" fillId="3" borderId="19" xfId="0" applyFont="1" applyFill="1" applyBorder="1" applyAlignment="1">
      <alignment horizontal="center" wrapText="1"/>
    </xf>
    <xf numFmtId="164" fontId="3" fillId="5" borderId="17" xfId="0" applyNumberFormat="1" applyFont="1" applyFill="1" applyBorder="1"/>
    <xf numFmtId="0" fontId="4" fillId="7" borderId="3" xfId="0" applyFont="1" applyFill="1" applyBorder="1" applyAlignment="1">
      <alignment horizontal="center"/>
    </xf>
    <xf numFmtId="0" fontId="3" fillId="6" borderId="3" xfId="0" applyFont="1" applyFill="1" applyBorder="1"/>
    <xf numFmtId="167" fontId="3" fillId="6" borderId="3" xfId="0" applyNumberFormat="1" applyFont="1" applyFill="1" applyBorder="1"/>
    <xf numFmtId="0" fontId="4" fillId="0" borderId="0" xfId="0" applyFont="1"/>
    <xf numFmtId="164" fontId="3" fillId="6" borderId="3" xfId="0" applyNumberFormat="1" applyFont="1" applyFill="1" applyBorder="1"/>
    <xf numFmtId="0" fontId="3" fillId="6" borderId="3" xfId="0" quotePrefix="1" applyFont="1" applyFill="1" applyBorder="1"/>
    <xf numFmtId="168" fontId="3" fillId="6" borderId="3" xfId="0" applyNumberFormat="1" applyFont="1" applyFill="1" applyBorder="1"/>
    <xf numFmtId="164" fontId="3" fillId="6" borderId="3" xfId="0" applyNumberFormat="1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165" fontId="3" fillId="6" borderId="3" xfId="0" applyNumberFormat="1" applyFont="1" applyFill="1" applyBorder="1"/>
    <xf numFmtId="164" fontId="6" fillId="5" borderId="3" xfId="0" applyNumberFormat="1" applyFont="1" applyFill="1" applyBorder="1"/>
    <xf numFmtId="0" fontId="3" fillId="3" borderId="0" xfId="0" applyFont="1" applyFill="1" applyAlignment="1">
      <alignment horizontal="center"/>
    </xf>
    <xf numFmtId="8" fontId="3" fillId="6" borderId="3" xfId="0" applyNumberFormat="1" applyFont="1" applyFill="1" applyBorder="1"/>
    <xf numFmtId="169" fontId="3" fillId="6" borderId="3" xfId="0" applyNumberFormat="1" applyFont="1" applyFill="1" applyBorder="1"/>
    <xf numFmtId="0" fontId="3" fillId="4" borderId="17" xfId="0" applyFont="1" applyFill="1" applyBorder="1"/>
    <xf numFmtId="0" fontId="4" fillId="5" borderId="3" xfId="0" applyFont="1" applyFill="1" applyBorder="1" applyAlignment="1">
      <alignment horizontal="center"/>
    </xf>
    <xf numFmtId="2" fontId="3" fillId="4" borderId="17" xfId="0" applyNumberFormat="1" applyFont="1" applyFill="1" applyBorder="1"/>
    <xf numFmtId="8" fontId="0" fillId="0" borderId="0" xfId="0" applyNumberFormat="1" applyFont="1" applyAlignment="1">
      <alignment horizontal="left" vertical="center" wrapText="1"/>
    </xf>
    <xf numFmtId="2" fontId="15" fillId="4" borderId="17" xfId="0" applyNumberFormat="1" applyFont="1" applyFill="1" applyBorder="1"/>
    <xf numFmtId="0" fontId="12" fillId="8" borderId="3" xfId="0" applyFont="1" applyFill="1" applyBorder="1" applyAlignment="1"/>
    <xf numFmtId="8" fontId="6" fillId="8" borderId="3" xfId="0" applyNumberFormat="1" applyFont="1" applyFill="1" applyBorder="1"/>
    <xf numFmtId="0" fontId="0" fillId="0" borderId="0" xfId="0" applyFont="1" applyAlignment="1">
      <alignment horizontal="left" vertical="center" wrapText="1"/>
    </xf>
    <xf numFmtId="0" fontId="2" fillId="6" borderId="0" xfId="0" applyFont="1" applyFill="1" applyAlignment="1"/>
    <xf numFmtId="0" fontId="2" fillId="6" borderId="28" xfId="0" applyFont="1" applyFill="1" applyBorder="1" applyAlignment="1"/>
    <xf numFmtId="170" fontId="3" fillId="6" borderId="28" xfId="0" applyNumberFormat="1" applyFont="1" applyFill="1" applyBorder="1"/>
    <xf numFmtId="0" fontId="0" fillId="0" borderId="0" xfId="0" applyFont="1" applyAlignment="1">
      <alignment vertical="center"/>
    </xf>
    <xf numFmtId="0" fontId="3" fillId="6" borderId="29" xfId="0" applyFont="1" applyFill="1" applyBorder="1"/>
    <xf numFmtId="0" fontId="16" fillId="0" borderId="0" xfId="0" applyFont="1" applyAlignment="1">
      <alignment horizontal="left" vertical="center"/>
    </xf>
    <xf numFmtId="8" fontId="0" fillId="0" borderId="0" xfId="0" applyNumberFormat="1" applyFont="1" applyAlignment="1">
      <alignment horizontal="left" vertical="center"/>
    </xf>
    <xf numFmtId="170" fontId="3" fillId="6" borderId="29" xfId="0" applyNumberFormat="1" applyFont="1" applyFill="1" applyBorder="1"/>
    <xf numFmtId="0" fontId="4" fillId="0" borderId="0" xfId="0" applyFont="1"/>
    <xf numFmtId="0" fontId="3" fillId="6" borderId="30" xfId="0" applyFont="1" applyFill="1" applyBorder="1"/>
    <xf numFmtId="170" fontId="15" fillId="9" borderId="30" xfId="0" applyNumberFormat="1" applyFont="1" applyFill="1" applyBorder="1"/>
    <xf numFmtId="0" fontId="3" fillId="6" borderId="31" xfId="0" applyFont="1" applyFill="1" applyBorder="1"/>
    <xf numFmtId="0" fontId="3" fillId="8" borderId="32" xfId="0" applyFont="1" applyFill="1" applyBorder="1" applyAlignment="1">
      <alignment horizontal="right"/>
    </xf>
    <xf numFmtId="1" fontId="6" fillId="8" borderId="32" xfId="0" applyNumberFormat="1" applyFont="1" applyFill="1" applyBorder="1"/>
    <xf numFmtId="164" fontId="3" fillId="6" borderId="3" xfId="0" applyNumberFormat="1" applyFont="1" applyFill="1" applyBorder="1" applyAlignment="1"/>
    <xf numFmtId="0" fontId="2" fillId="0" borderId="0" xfId="0" applyFont="1" applyAlignment="1"/>
    <xf numFmtId="0" fontId="12" fillId="4" borderId="3" xfId="0" applyFont="1" applyFill="1" applyBorder="1" applyAlignment="1">
      <alignment horizontal="center"/>
    </xf>
    <xf numFmtId="0" fontId="12" fillId="4" borderId="35" xfId="0" applyFont="1" applyFill="1" applyBorder="1" applyAlignment="1">
      <alignment horizontal="center"/>
    </xf>
    <xf numFmtId="0" fontId="2" fillId="5" borderId="3" xfId="0" applyFont="1" applyFill="1" applyBorder="1" applyAlignment="1"/>
    <xf numFmtId="0" fontId="2" fillId="5" borderId="3" xfId="0" applyFont="1" applyFill="1" applyBorder="1" applyAlignment="1">
      <alignment horizontal="center"/>
    </xf>
    <xf numFmtId="0" fontId="14" fillId="0" borderId="0" xfId="0" applyFont="1"/>
    <xf numFmtId="164" fontId="2" fillId="6" borderId="3" xfId="0" applyNumberFormat="1" applyFont="1" applyFill="1" applyBorder="1" applyAlignment="1"/>
    <xf numFmtId="0" fontId="12" fillId="4" borderId="3" xfId="0" applyFont="1" applyFill="1" applyBorder="1" applyAlignment="1"/>
    <xf numFmtId="0" fontId="2" fillId="0" borderId="0" xfId="0" applyFont="1" applyAlignme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/>
    <xf numFmtId="0" fontId="3" fillId="0" borderId="0" xfId="0" applyFont="1" applyAlignment="1">
      <alignment horizontal="center" vertical="center"/>
    </xf>
    <xf numFmtId="0" fontId="19" fillId="0" borderId="0" xfId="0" applyFont="1"/>
    <xf numFmtId="171" fontId="3" fillId="0" borderId="0" xfId="0" applyNumberFormat="1" applyFont="1"/>
    <xf numFmtId="10" fontId="3" fillId="0" borderId="0" xfId="0" applyNumberFormat="1" applyFont="1"/>
    <xf numFmtId="0" fontId="12" fillId="4" borderId="3" xfId="0" applyFont="1" applyFill="1" applyBorder="1"/>
    <xf numFmtId="0" fontId="3" fillId="6" borderId="3" xfId="0" applyFont="1" applyFill="1" applyBorder="1" applyAlignment="1">
      <alignment horizontal="center"/>
    </xf>
    <xf numFmtId="171" fontId="6" fillId="0" borderId="5" xfId="0" applyNumberFormat="1" applyFont="1" applyBorder="1"/>
    <xf numFmtId="10" fontId="6" fillId="0" borderId="11" xfId="0" applyNumberFormat="1" applyFont="1" applyBorder="1"/>
    <xf numFmtId="164" fontId="6" fillId="6" borderId="3" xfId="0" applyNumberFormat="1" applyFont="1" applyFill="1" applyBorder="1"/>
    <xf numFmtId="171" fontId="6" fillId="0" borderId="12" xfId="0" applyNumberFormat="1" applyFont="1" applyBorder="1" applyAlignment="1">
      <alignment horizontal="center"/>
    </xf>
    <xf numFmtId="172" fontId="6" fillId="6" borderId="3" xfId="0" applyNumberFormat="1" applyFont="1" applyFill="1" applyBorder="1" applyAlignment="1">
      <alignment horizontal="right"/>
    </xf>
    <xf numFmtId="10" fontId="6" fillId="0" borderId="51" xfId="0" applyNumberFormat="1" applyFont="1" applyBorder="1" applyAlignment="1">
      <alignment horizontal="center"/>
    </xf>
    <xf numFmtId="0" fontId="3" fillId="12" borderId="3" xfId="0" applyFont="1" applyFill="1" applyBorder="1"/>
    <xf numFmtId="0" fontId="3" fillId="12" borderId="3" xfId="0" applyFont="1" applyFill="1" applyBorder="1" applyAlignment="1">
      <alignment horizontal="center"/>
    </xf>
    <xf numFmtId="164" fontId="3" fillId="12" borderId="3" xfId="0" applyNumberFormat="1" applyFont="1" applyFill="1" applyBorder="1"/>
    <xf numFmtId="0" fontId="6" fillId="0" borderId="7" xfId="0" applyFont="1" applyBorder="1" applyAlignment="1">
      <alignment horizontal="center"/>
    </xf>
    <xf numFmtId="171" fontId="6" fillId="0" borderId="7" xfId="0" applyNumberFormat="1" applyFont="1" applyBorder="1"/>
    <xf numFmtId="10" fontId="6" fillId="0" borderId="24" xfId="0" applyNumberFormat="1" applyFont="1" applyBorder="1"/>
    <xf numFmtId="0" fontId="6" fillId="13" borderId="54" xfId="0" applyFont="1" applyFill="1" applyBorder="1"/>
    <xf numFmtId="171" fontId="3" fillId="13" borderId="54" xfId="0" applyNumberFormat="1" applyFont="1" applyFill="1" applyBorder="1"/>
    <xf numFmtId="10" fontId="3" fillId="13" borderId="54" xfId="0" applyNumberFormat="1" applyFont="1" applyFill="1" applyBorder="1"/>
    <xf numFmtId="0" fontId="11" fillId="14" borderId="0" xfId="0" applyFont="1" applyFill="1" applyAlignment="1">
      <alignment horizontal="center"/>
    </xf>
    <xf numFmtId="171" fontId="3" fillId="13" borderId="55" xfId="0" applyNumberFormat="1" applyFont="1" applyFill="1" applyBorder="1"/>
    <xf numFmtId="0" fontId="3" fillId="14" borderId="0" xfId="0" applyFont="1" applyFill="1" applyAlignment="1">
      <alignment horizontal="center" vertical="center"/>
    </xf>
    <xf numFmtId="171" fontId="3" fillId="13" borderId="56" xfId="0" applyNumberFormat="1" applyFont="1" applyFill="1" applyBorder="1"/>
    <xf numFmtId="164" fontId="3" fillId="14" borderId="0" xfId="0" applyNumberFormat="1" applyFont="1" applyFill="1" applyAlignment="1">
      <alignment horizontal="center" vertical="center"/>
    </xf>
    <xf numFmtId="0" fontId="6" fillId="13" borderId="57" xfId="0" applyFont="1" applyFill="1" applyBorder="1"/>
    <xf numFmtId="171" fontId="3" fillId="13" borderId="58" xfId="0" applyNumberFormat="1" applyFont="1" applyFill="1" applyBorder="1"/>
    <xf numFmtId="10" fontId="3" fillId="13" borderId="58" xfId="0" applyNumberFormat="1" applyFont="1" applyFill="1" applyBorder="1"/>
    <xf numFmtId="171" fontId="3" fillId="13" borderId="59" xfId="0" applyNumberFormat="1" applyFont="1" applyFill="1" applyBorder="1"/>
    <xf numFmtId="171" fontId="3" fillId="13" borderId="60" xfId="0" applyNumberFormat="1" applyFont="1" applyFill="1" applyBorder="1"/>
    <xf numFmtId="0" fontId="6" fillId="0" borderId="51" xfId="0" applyFont="1" applyBorder="1"/>
    <xf numFmtId="171" fontId="3" fillId="0" borderId="51" xfId="0" applyNumberFormat="1" applyFont="1" applyBorder="1"/>
    <xf numFmtId="10" fontId="3" fillId="0" borderId="51" xfId="0" applyNumberFormat="1" applyFont="1" applyBorder="1"/>
    <xf numFmtId="171" fontId="3" fillId="0" borderId="61" xfId="0" applyNumberFormat="1" applyFont="1" applyBorder="1"/>
    <xf numFmtId="0" fontId="6" fillId="0" borderId="62" xfId="0" applyFont="1" applyBorder="1"/>
    <xf numFmtId="0" fontId="22" fillId="0" borderId="0" xfId="0" applyFont="1" applyAlignment="1">
      <alignment horizontal="center"/>
    </xf>
    <xf numFmtId="171" fontId="3" fillId="0" borderId="63" xfId="0" applyNumberFormat="1" applyFont="1" applyBorder="1"/>
    <xf numFmtId="0" fontId="23" fillId="0" borderId="0" xfId="0" applyFont="1"/>
    <xf numFmtId="0" fontId="3" fillId="0" borderId="62" xfId="0" applyFont="1" applyBorder="1" applyAlignment="1">
      <alignment horizontal="left"/>
    </xf>
    <xf numFmtId="164" fontId="23" fillId="8" borderId="0" xfId="0" applyNumberFormat="1" applyFont="1" applyFill="1"/>
    <xf numFmtId="164" fontId="3" fillId="0" borderId="51" xfId="0" applyNumberFormat="1" applyFont="1" applyBorder="1"/>
    <xf numFmtId="10" fontId="3" fillId="0" borderId="51" xfId="0" applyNumberFormat="1" applyFont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171" fontId="3" fillId="0" borderId="0" xfId="0" applyNumberFormat="1" applyFont="1" applyAlignment="1">
      <alignment horizontal="center"/>
    </xf>
    <xf numFmtId="171" fontId="3" fillId="0" borderId="63" xfId="0" applyNumberFormat="1" applyFont="1" applyBorder="1" applyAlignment="1">
      <alignment horizontal="center"/>
    </xf>
    <xf numFmtId="0" fontId="3" fillId="13" borderId="58" xfId="0" applyFont="1" applyFill="1" applyBorder="1" applyAlignment="1">
      <alignment horizontal="left"/>
    </xf>
    <xf numFmtId="164" fontId="3" fillId="13" borderId="58" xfId="0" applyNumberFormat="1" applyFont="1" applyFill="1" applyBorder="1"/>
    <xf numFmtId="164" fontId="3" fillId="0" borderId="0" xfId="0" applyNumberFormat="1" applyFont="1"/>
    <xf numFmtId="10" fontId="3" fillId="13" borderId="58" xfId="0" applyNumberFormat="1" applyFont="1" applyFill="1" applyBorder="1" applyAlignment="1">
      <alignment horizontal="center"/>
    </xf>
    <xf numFmtId="171" fontId="3" fillId="13" borderId="59" xfId="0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171" fontId="3" fillId="13" borderId="64" xfId="0" applyNumberFormat="1" applyFont="1" applyFill="1" applyBorder="1" applyAlignment="1">
      <alignment horizontal="center"/>
    </xf>
    <xf numFmtId="0" fontId="3" fillId="13" borderId="57" xfId="0" applyFont="1" applyFill="1" applyBorder="1" applyAlignment="1">
      <alignment horizontal="left"/>
    </xf>
    <xf numFmtId="164" fontId="6" fillId="6" borderId="3" xfId="0" applyNumberFormat="1" applyFont="1" applyFill="1" applyBorder="1" applyAlignment="1">
      <alignment horizontal="center"/>
    </xf>
    <xf numFmtId="0" fontId="3" fillId="13" borderId="57" xfId="0" applyFont="1" applyFill="1" applyBorder="1" applyAlignment="1">
      <alignment horizontal="right"/>
    </xf>
    <xf numFmtId="164" fontId="3" fillId="13" borderId="58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71" fontId="3" fillId="13" borderId="60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left"/>
    </xf>
    <xf numFmtId="171" fontId="3" fillId="0" borderId="61" xfId="0" applyNumberFormat="1" applyFont="1" applyBorder="1" applyAlignment="1">
      <alignment horizontal="center"/>
    </xf>
    <xf numFmtId="0" fontId="3" fillId="0" borderId="65" xfId="0" applyFont="1" applyBorder="1" applyAlignment="1">
      <alignment horizontal="left"/>
    </xf>
    <xf numFmtId="0" fontId="11" fillId="14" borderId="0" xfId="0" applyFont="1" applyFill="1" applyAlignment="1">
      <alignment horizontal="center" vertical="center"/>
    </xf>
    <xf numFmtId="10" fontId="3" fillId="0" borderId="66" xfId="0" applyNumberFormat="1" applyFont="1" applyBorder="1"/>
    <xf numFmtId="0" fontId="3" fillId="3" borderId="0" xfId="0" applyFont="1" applyFill="1"/>
    <xf numFmtId="171" fontId="6" fillId="0" borderId="67" xfId="0" applyNumberFormat="1" applyFont="1" applyBorder="1" applyAlignment="1">
      <alignment horizontal="center"/>
    </xf>
    <xf numFmtId="171" fontId="24" fillId="0" borderId="68" xfId="0" applyNumberFormat="1" applyFont="1" applyBorder="1" applyAlignment="1">
      <alignment horizontal="center"/>
    </xf>
    <xf numFmtId="0" fontId="6" fillId="10" borderId="3" xfId="0" applyFont="1" applyFill="1" applyBorder="1"/>
    <xf numFmtId="0" fontId="6" fillId="4" borderId="3" xfId="0" applyFont="1" applyFill="1" applyBorder="1" applyAlignment="1">
      <alignment horizontal="center"/>
    </xf>
    <xf numFmtId="0" fontId="3" fillId="13" borderId="58" xfId="0" applyFont="1" applyFill="1" applyBorder="1" applyAlignment="1">
      <alignment horizontal="right"/>
    </xf>
    <xf numFmtId="171" fontId="3" fillId="13" borderId="58" xfId="0" applyNumberFormat="1" applyFont="1" applyFill="1" applyBorder="1" applyAlignment="1">
      <alignment horizontal="center"/>
    </xf>
    <xf numFmtId="171" fontId="3" fillId="0" borderId="51" xfId="0" applyNumberFormat="1" applyFont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171" fontId="24" fillId="0" borderId="61" xfId="0" applyNumberFormat="1" applyFont="1" applyBorder="1" applyAlignment="1">
      <alignment horizontal="center"/>
    </xf>
    <xf numFmtId="10" fontId="3" fillId="0" borderId="66" xfId="0" applyNumberFormat="1" applyFont="1" applyBorder="1" applyAlignment="1">
      <alignment horizontal="center"/>
    </xf>
    <xf numFmtId="0" fontId="17" fillId="3" borderId="0" xfId="0" applyFont="1" applyFill="1" applyAlignment="1"/>
    <xf numFmtId="0" fontId="25" fillId="3" borderId="0" xfId="0" applyFont="1" applyFill="1"/>
    <xf numFmtId="0" fontId="6" fillId="13" borderId="58" xfId="0" applyFont="1" applyFill="1" applyBorder="1" applyAlignment="1">
      <alignment horizontal="left"/>
    </xf>
    <xf numFmtId="9" fontId="26" fillId="6" borderId="3" xfId="0" applyNumberFormat="1" applyFont="1" applyFill="1" applyBorder="1" applyAlignment="1"/>
    <xf numFmtId="8" fontId="3" fillId="0" borderId="0" xfId="0" applyNumberFormat="1" applyFont="1"/>
    <xf numFmtId="0" fontId="3" fillId="0" borderId="51" xfId="0" applyFont="1" applyBorder="1" applyAlignment="1">
      <alignment horizontal="left"/>
    </xf>
    <xf numFmtId="9" fontId="3" fillId="6" borderId="3" xfId="0" applyNumberFormat="1" applyFont="1" applyFill="1" applyBorder="1"/>
    <xf numFmtId="171" fontId="2" fillId="0" borderId="0" xfId="0" applyNumberFormat="1" applyFont="1" applyAlignment="1">
      <alignment horizontal="center"/>
    </xf>
    <xf numFmtId="9" fontId="27" fillId="0" borderId="0" xfId="0" applyNumberFormat="1" applyFont="1" applyAlignment="1">
      <alignment horizontal="right"/>
    </xf>
    <xf numFmtId="0" fontId="6" fillId="3" borderId="69" xfId="0" applyFont="1" applyFill="1" applyBorder="1" applyAlignment="1"/>
    <xf numFmtId="164" fontId="3" fillId="8" borderId="3" xfId="0" applyNumberFormat="1" applyFont="1" applyFill="1" applyBorder="1" applyAlignment="1">
      <alignment horizontal="center"/>
    </xf>
    <xf numFmtId="164" fontId="3" fillId="3" borderId="21" xfId="0" applyNumberFormat="1" applyFont="1" applyFill="1" applyBorder="1" applyAlignment="1">
      <alignment horizontal="center"/>
    </xf>
    <xf numFmtId="0" fontId="28" fillId="0" borderId="0" xfId="0" applyFont="1" applyAlignment="1"/>
    <xf numFmtId="164" fontId="3" fillId="8" borderId="70" xfId="0" applyNumberFormat="1" applyFont="1" applyFill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171" fontId="3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wrapText="1"/>
    </xf>
    <xf numFmtId="173" fontId="3" fillId="0" borderId="0" xfId="0" applyNumberFormat="1" applyFont="1"/>
    <xf numFmtId="174" fontId="3" fillId="0" borderId="0" xfId="0" applyNumberFormat="1" applyFont="1"/>
    <xf numFmtId="10" fontId="3" fillId="0" borderId="3" xfId="0" applyNumberFormat="1" applyFont="1" applyBorder="1" applyAlignment="1">
      <alignment horizontal="center"/>
    </xf>
    <xf numFmtId="0" fontId="6" fillId="13" borderId="71" xfId="0" applyFont="1" applyFill="1" applyBorder="1" applyAlignment="1">
      <alignment horizontal="left"/>
    </xf>
    <xf numFmtId="164" fontId="3" fillId="13" borderId="71" xfId="0" applyNumberFormat="1" applyFont="1" applyFill="1" applyBorder="1"/>
    <xf numFmtId="10" fontId="3" fillId="13" borderId="71" xfId="0" applyNumberFormat="1" applyFont="1" applyFill="1" applyBorder="1" applyAlignment="1">
      <alignment horizontal="center"/>
    </xf>
    <xf numFmtId="171" fontId="3" fillId="13" borderId="7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8" borderId="3" xfId="0" applyNumberFormat="1" applyFont="1" applyFill="1" applyBorder="1"/>
    <xf numFmtId="171" fontId="3" fillId="13" borderId="73" xfId="0" applyNumberFormat="1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8" fontId="3" fillId="0" borderId="0" xfId="0" applyNumberFormat="1" applyFont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4" fontId="3" fillId="0" borderId="0" xfId="0" applyNumberFormat="1" applyFont="1"/>
    <xf numFmtId="0" fontId="3" fillId="15" borderId="74" xfId="0" applyFont="1" applyFill="1" applyBorder="1" applyAlignment="1">
      <alignment horizontal="center" wrapText="1"/>
    </xf>
    <xf numFmtId="164" fontId="3" fillId="15" borderId="59" xfId="0" applyNumberFormat="1" applyFont="1" applyFill="1" applyBorder="1" applyAlignment="1">
      <alignment horizontal="center" wrapText="1"/>
    </xf>
    <xf numFmtId="0" fontId="28" fillId="3" borderId="0" xfId="0" applyFont="1" applyFill="1" applyAlignment="1"/>
    <xf numFmtId="0" fontId="9" fillId="3" borderId="0" xfId="0" applyFont="1" applyFill="1"/>
    <xf numFmtId="0" fontId="3" fillId="15" borderId="64" xfId="0" applyFont="1" applyFill="1" applyBorder="1" applyAlignment="1">
      <alignment horizontal="center" wrapText="1"/>
    </xf>
    <xf numFmtId="0" fontId="31" fillId="0" borderId="3" xfId="0" applyFont="1" applyBorder="1" applyAlignment="1">
      <alignment horizontal="center" vertical="center" wrapText="1"/>
    </xf>
    <xf numFmtId="0" fontId="6" fillId="0" borderId="12" xfId="0" applyFont="1" applyBorder="1"/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8" fontId="3" fillId="0" borderId="3" xfId="0" applyNumberFormat="1" applyFont="1" applyBorder="1" applyAlignment="1">
      <alignment horizontal="center" wrapText="1"/>
    </xf>
    <xf numFmtId="0" fontId="6" fillId="15" borderId="74" xfId="0" applyFont="1" applyFill="1" applyBorder="1" applyAlignment="1">
      <alignment horizontal="center"/>
    </xf>
    <xf numFmtId="0" fontId="3" fillId="15" borderId="59" xfId="0" applyFont="1" applyFill="1" applyBorder="1" applyAlignment="1">
      <alignment horizontal="center" wrapText="1"/>
    </xf>
    <xf numFmtId="0" fontId="32" fillId="15" borderId="59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 wrapText="1"/>
    </xf>
    <xf numFmtId="0" fontId="24" fillId="15" borderId="59" xfId="0" applyFont="1" applyFill="1" applyBorder="1" applyAlignment="1">
      <alignment horizontal="center"/>
    </xf>
    <xf numFmtId="8" fontId="3" fillId="15" borderId="3" xfId="0" applyNumberFormat="1" applyFont="1" applyFill="1" applyBorder="1" applyAlignment="1">
      <alignment horizontal="center" wrapText="1"/>
    </xf>
    <xf numFmtId="0" fontId="24" fillId="15" borderId="64" xfId="0" applyFont="1" applyFill="1" applyBorder="1" applyAlignment="1">
      <alignment horizontal="center"/>
    </xf>
    <xf numFmtId="0" fontId="4" fillId="0" borderId="0" xfId="0" applyFont="1" applyAlignment="1"/>
    <xf numFmtId="0" fontId="34" fillId="0" borderId="12" xfId="0" applyFont="1" applyBorder="1"/>
    <xf numFmtId="0" fontId="34" fillId="0" borderId="0" xfId="0" applyFont="1"/>
    <xf numFmtId="171" fontId="34" fillId="0" borderId="0" xfId="0" applyNumberFormat="1" applyFont="1"/>
    <xf numFmtId="171" fontId="34" fillId="0" borderId="61" xfId="0" applyNumberFormat="1" applyFont="1" applyBorder="1"/>
    <xf numFmtId="0" fontId="37" fillId="15" borderId="74" xfId="0" applyFont="1" applyFill="1" applyBorder="1"/>
    <xf numFmtId="0" fontId="34" fillId="15" borderId="59" xfId="0" applyFont="1" applyFill="1" applyBorder="1"/>
    <xf numFmtId="171" fontId="34" fillId="15" borderId="59" xfId="0" applyNumberFormat="1" applyFont="1" applyFill="1" applyBorder="1"/>
    <xf numFmtId="0" fontId="36" fillId="0" borderId="3" xfId="0" applyFont="1" applyBorder="1" applyAlignment="1">
      <alignment horizontal="center"/>
    </xf>
    <xf numFmtId="171" fontId="34" fillId="15" borderId="64" xfId="0" applyNumberFormat="1" applyFont="1" applyFill="1" applyBorder="1"/>
    <xf numFmtId="0" fontId="38" fillId="0" borderId="12" xfId="0" applyFont="1" applyBorder="1"/>
    <xf numFmtId="0" fontId="4" fillId="0" borderId="51" xfId="0" applyFont="1" applyBorder="1" applyAlignment="1"/>
    <xf numFmtId="10" fontId="34" fillId="0" borderId="0" xfId="0" applyNumberFormat="1" applyFont="1"/>
    <xf numFmtId="0" fontId="34" fillId="15" borderId="74" xfId="0" applyFont="1" applyFill="1" applyBorder="1"/>
    <xf numFmtId="0" fontId="15" fillId="15" borderId="59" xfId="0" applyFont="1" applyFill="1" applyBorder="1"/>
    <xf numFmtId="0" fontId="39" fillId="0" borderId="51" xfId="0" applyFont="1" applyBorder="1" applyAlignment="1">
      <alignment horizontal="left"/>
    </xf>
    <xf numFmtId="171" fontId="3" fillId="15" borderId="59" xfId="0" applyNumberFormat="1" applyFont="1" applyFill="1" applyBorder="1" applyAlignment="1">
      <alignment horizontal="center"/>
    </xf>
    <xf numFmtId="0" fontId="40" fillId="0" borderId="0" xfId="0" applyFont="1" applyAlignment="1">
      <alignment horizontal="right" wrapText="1"/>
    </xf>
    <xf numFmtId="171" fontId="3" fillId="15" borderId="64" xfId="0" applyNumberFormat="1" applyFont="1" applyFill="1" applyBorder="1" applyAlignment="1">
      <alignment horizontal="center"/>
    </xf>
    <xf numFmtId="8" fontId="6" fillId="0" borderId="0" xfId="0" applyNumberFormat="1" applyFont="1" applyAlignment="1">
      <alignment horizontal="center" wrapText="1"/>
    </xf>
    <xf numFmtId="0" fontId="39" fillId="0" borderId="81" xfId="0" applyFont="1" applyBorder="1" applyAlignment="1">
      <alignment horizontal="left"/>
    </xf>
    <xf numFmtId="0" fontId="15" fillId="0" borderId="0" xfId="0" applyFont="1"/>
    <xf numFmtId="171" fontId="42" fillId="0" borderId="34" xfId="0" applyNumberFormat="1" applyFont="1" applyBorder="1" applyAlignment="1">
      <alignment horizontal="center"/>
    </xf>
    <xf numFmtId="171" fontId="3" fillId="0" borderId="34" xfId="0" applyNumberFormat="1" applyFont="1" applyBorder="1" applyAlignment="1">
      <alignment horizontal="center"/>
    </xf>
    <xf numFmtId="171" fontId="3" fillId="0" borderId="8" xfId="0" applyNumberFormat="1" applyFont="1" applyBorder="1" applyAlignment="1">
      <alignment horizontal="center"/>
    </xf>
    <xf numFmtId="171" fontId="3" fillId="15" borderId="59" xfId="0" applyNumberFormat="1" applyFont="1" applyFill="1" applyBorder="1"/>
    <xf numFmtId="171" fontId="3" fillId="15" borderId="64" xfId="0" applyNumberFormat="1" applyFont="1" applyFill="1" applyBorder="1"/>
    <xf numFmtId="0" fontId="0" fillId="0" borderId="51" xfId="0" applyFont="1" applyBorder="1" applyAlignment="1">
      <alignment horizontal="left"/>
    </xf>
    <xf numFmtId="0" fontId="0" fillId="0" borderId="51" xfId="0" applyFont="1" applyBorder="1" applyAlignment="1">
      <alignment horizontal="left"/>
    </xf>
    <xf numFmtId="0" fontId="45" fillId="0" borderId="51" xfId="0" applyFont="1" applyBorder="1" applyAlignment="1">
      <alignment horizontal="left"/>
    </xf>
    <xf numFmtId="0" fontId="3" fillId="15" borderId="83" xfId="0" applyFont="1" applyFill="1" applyBorder="1"/>
    <xf numFmtId="0" fontId="15" fillId="15" borderId="72" xfId="0" applyFont="1" applyFill="1" applyBorder="1"/>
    <xf numFmtId="0" fontId="6" fillId="0" borderId="1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61" xfId="0" applyFont="1" applyBorder="1" applyAlignment="1">
      <alignment horizontal="center"/>
    </xf>
    <xf numFmtId="0" fontId="3" fillId="15" borderId="74" xfId="0" applyFont="1" applyFill="1" applyBorder="1"/>
    <xf numFmtId="0" fontId="0" fillId="0" borderId="51" xfId="0" applyFont="1" applyBorder="1" applyAlignment="1">
      <alignment horizontal="left"/>
    </xf>
    <xf numFmtId="171" fontId="3" fillId="15" borderId="59" xfId="0" applyNumberFormat="1" applyFont="1" applyFill="1" applyBorder="1" applyAlignment="1">
      <alignment horizontal="center"/>
    </xf>
    <xf numFmtId="171" fontId="3" fillId="15" borderId="64" xfId="0" applyNumberFormat="1" applyFont="1" applyFill="1" applyBorder="1" applyAlignment="1">
      <alignment horizontal="center"/>
    </xf>
    <xf numFmtId="175" fontId="3" fillId="0" borderId="34" xfId="0" applyNumberFormat="1" applyFont="1" applyBorder="1" applyAlignment="1">
      <alignment horizontal="center"/>
    </xf>
    <xf numFmtId="175" fontId="3" fillId="0" borderId="8" xfId="0" applyNumberFormat="1" applyFont="1" applyBorder="1" applyAlignment="1">
      <alignment horizontal="center"/>
    </xf>
    <xf numFmtId="171" fontId="47" fillId="0" borderId="0" xfId="0" applyNumberFormat="1" applyFont="1" applyAlignment="1">
      <alignment horizontal="center"/>
    </xf>
    <xf numFmtId="171" fontId="49" fillId="0" borderId="61" xfId="0" applyNumberFormat="1" applyFont="1" applyBorder="1" applyAlignment="1">
      <alignment horizontal="center"/>
    </xf>
    <xf numFmtId="0" fontId="24" fillId="15" borderId="74" xfId="0" applyFont="1" applyFill="1" applyBorder="1"/>
    <xf numFmtId="171" fontId="50" fillId="15" borderId="59" xfId="0" applyNumberFormat="1" applyFont="1" applyFill="1" applyBorder="1" applyAlignment="1">
      <alignment horizontal="center"/>
    </xf>
    <xf numFmtId="171" fontId="51" fillId="15" borderId="64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34" xfId="0" applyFont="1" applyBorder="1"/>
    <xf numFmtId="171" fontId="3" fillId="0" borderId="34" xfId="0" applyNumberFormat="1" applyFont="1" applyBorder="1"/>
    <xf numFmtId="171" fontId="3" fillId="0" borderId="8" xfId="0" applyNumberFormat="1" applyFont="1" applyBorder="1"/>
    <xf numFmtId="0" fontId="2" fillId="0" borderId="12" xfId="0" applyFont="1" applyBorder="1" applyAlignment="1">
      <alignment horizontal="center" wrapText="1"/>
    </xf>
    <xf numFmtId="0" fontId="2" fillId="0" borderId="0" xfId="0" applyFont="1" applyAlignment="1"/>
    <xf numFmtId="0" fontId="2" fillId="15" borderId="74" xfId="0" applyFont="1" applyFill="1" applyBorder="1" applyAlignment="1">
      <alignment horizontal="center" wrapText="1"/>
    </xf>
    <xf numFmtId="0" fontId="3" fillId="0" borderId="11" xfId="0" applyFont="1" applyBorder="1" applyAlignment="1"/>
    <xf numFmtId="0" fontId="6" fillId="0" borderId="51" xfId="0" applyFont="1" applyBorder="1" applyAlignment="1">
      <alignment horizontal="center"/>
    </xf>
    <xf numFmtId="0" fontId="2" fillId="0" borderId="24" xfId="0" applyFont="1" applyBorder="1" applyAlignment="1"/>
    <xf numFmtId="0" fontId="6" fillId="0" borderId="5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2" fillId="12" borderId="51" xfId="0" applyFont="1" applyFill="1" applyBorder="1" applyAlignment="1">
      <alignment horizontal="left"/>
    </xf>
    <xf numFmtId="3" fontId="42" fillId="12" borderId="0" xfId="0" applyNumberFormat="1" applyFont="1" applyFill="1" applyAlignment="1">
      <alignment horizontal="center"/>
    </xf>
    <xf numFmtId="4" fontId="3" fillId="12" borderId="0" xfId="0" applyNumberFormat="1" applyFont="1" applyFill="1" applyAlignment="1">
      <alignment horizontal="center"/>
    </xf>
    <xf numFmtId="0" fontId="3" fillId="0" borderId="5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4" fillId="16" borderId="51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51" xfId="0" applyFont="1" applyBorder="1" applyAlignment="1">
      <alignment horizontal="left"/>
    </xf>
    <xf numFmtId="4" fontId="42" fillId="0" borderId="0" xfId="0" applyNumberFormat="1" applyFont="1" applyAlignment="1">
      <alignment horizontal="center"/>
    </xf>
    <xf numFmtId="0" fontId="4" fillId="0" borderId="51" xfId="0" applyFont="1" applyBorder="1" applyAlignment="1"/>
    <xf numFmtId="4" fontId="3" fillId="0" borderId="0" xfId="0" applyNumberFormat="1" applyFont="1" applyAlignment="1">
      <alignment horizontal="center"/>
    </xf>
    <xf numFmtId="4" fontId="56" fillId="0" borderId="0" xfId="0" applyNumberFormat="1" applyFont="1" applyAlignment="1">
      <alignment horizontal="center"/>
    </xf>
    <xf numFmtId="4" fontId="57" fillId="0" borderId="0" xfId="0" applyNumberFormat="1" applyFont="1" applyAlignment="1">
      <alignment horizontal="center"/>
    </xf>
    <xf numFmtId="0" fontId="3" fillId="0" borderId="51" xfId="0" applyFont="1" applyBorder="1" applyAlignment="1">
      <alignment horizontal="left"/>
    </xf>
    <xf numFmtId="4" fontId="42" fillId="0" borderId="0" xfId="0" applyNumberFormat="1" applyFont="1" applyAlignment="1">
      <alignment horizontal="center"/>
    </xf>
    <xf numFmtId="4" fontId="42" fillId="0" borderId="0" xfId="0" applyNumberFormat="1" applyFont="1" applyAlignment="1">
      <alignment horizontal="right"/>
    </xf>
    <xf numFmtId="0" fontId="24" fillId="17" borderId="51" xfId="0" applyFont="1" applyFill="1" applyBorder="1" applyAlignment="1">
      <alignment horizontal="left"/>
    </xf>
    <xf numFmtId="4" fontId="60" fillId="17" borderId="0" xfId="0" applyNumberFormat="1" applyFont="1" applyFill="1" applyAlignment="1">
      <alignment horizontal="center"/>
    </xf>
    <xf numFmtId="0" fontId="24" fillId="0" borderId="51" xfId="0" applyFont="1" applyBorder="1" applyAlignment="1">
      <alignment horizontal="left"/>
    </xf>
    <xf numFmtId="0" fontId="4" fillId="17" borderId="51" xfId="0" applyFont="1" applyFill="1" applyBorder="1" applyAlignment="1"/>
    <xf numFmtId="0" fontId="61" fillId="0" borderId="51" xfId="0" applyFont="1" applyBorder="1" applyAlignment="1">
      <alignment horizontal="left"/>
    </xf>
    <xf numFmtId="4" fontId="63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0" fillId="0" borderId="24" xfId="0" applyFont="1" applyBorder="1" applyAlignment="1">
      <alignment horizontal="left"/>
    </xf>
    <xf numFmtId="0" fontId="4" fillId="0" borderId="34" xfId="0" applyFont="1" applyBorder="1" applyAlignment="1"/>
    <xf numFmtId="0" fontId="65" fillId="0" borderId="51" xfId="0" applyFont="1" applyBorder="1" applyAlignment="1">
      <alignment horizontal="left"/>
    </xf>
    <xf numFmtId="0" fontId="24" fillId="0" borderId="51" xfId="0" applyFont="1" applyBorder="1" applyAlignment="1">
      <alignment horizontal="left"/>
    </xf>
    <xf numFmtId="4" fontId="42" fillId="12" borderId="0" xfId="0" applyNumberFormat="1" applyFont="1" applyFill="1" applyAlignment="1">
      <alignment horizontal="center"/>
    </xf>
    <xf numFmtId="0" fontId="67" fillId="0" borderId="51" xfId="0" applyFont="1" applyBorder="1" applyAlignment="1">
      <alignment horizontal="left"/>
    </xf>
    <xf numFmtId="4" fontId="68" fillId="17" borderId="0" xfId="0" applyNumberFormat="1" applyFont="1" applyFill="1" applyAlignment="1">
      <alignment horizontal="right"/>
    </xf>
    <xf numFmtId="0" fontId="24" fillId="12" borderId="51" xfId="0" applyFont="1" applyFill="1" applyBorder="1" applyAlignment="1">
      <alignment horizontal="left"/>
    </xf>
    <xf numFmtId="0" fontId="2" fillId="15" borderId="83" xfId="0" applyFont="1" applyFill="1" applyBorder="1" applyAlignment="1">
      <alignment horizontal="center" wrapText="1"/>
    </xf>
    <xf numFmtId="4" fontId="69" fillId="12" borderId="0" xfId="0" applyNumberFormat="1" applyFont="1" applyFill="1" applyAlignment="1">
      <alignment horizontal="center"/>
    </xf>
    <xf numFmtId="164" fontId="3" fillId="15" borderId="72" xfId="0" applyNumberFormat="1" applyFont="1" applyFill="1" applyBorder="1" applyAlignment="1">
      <alignment horizontal="center" wrapText="1"/>
    </xf>
    <xf numFmtId="164" fontId="3" fillId="0" borderId="34" xfId="0" applyNumberFormat="1" applyFont="1" applyBorder="1" applyAlignment="1">
      <alignment horizontal="center" wrapText="1"/>
    </xf>
    <xf numFmtId="8" fontId="3" fillId="0" borderId="34" xfId="0" applyNumberFormat="1" applyFont="1" applyBorder="1" applyAlignment="1">
      <alignment horizontal="center" wrapText="1"/>
    </xf>
    <xf numFmtId="0" fontId="2" fillId="0" borderId="0" xfId="0" applyFont="1" applyAlignment="1">
      <alignment horizontal="left" vertical="top"/>
    </xf>
    <xf numFmtId="0" fontId="2" fillId="0" borderId="84" xfId="0" applyFont="1" applyBorder="1" applyAlignment="1"/>
    <xf numFmtId="0" fontId="3" fillId="15" borderId="73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2" fillId="0" borderId="78" xfId="0" applyFont="1" applyBorder="1" applyAlignment="1"/>
    <xf numFmtId="0" fontId="2" fillId="0" borderId="12" xfId="0" applyFont="1" applyBorder="1" applyAlignment="1"/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right"/>
    </xf>
    <xf numFmtId="0" fontId="73" fillId="0" borderId="3" xfId="0" applyFont="1" applyBorder="1" applyAlignment="1">
      <alignment horizontal="right"/>
    </xf>
    <xf numFmtId="0" fontId="2" fillId="0" borderId="7" xfId="0" applyFont="1" applyBorder="1" applyAlignment="1"/>
    <xf numFmtId="0" fontId="2" fillId="0" borderId="34" xfId="0" applyFont="1" applyBorder="1" applyAlignment="1"/>
    <xf numFmtId="0" fontId="2" fillId="0" borderId="34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4" fillId="4" borderId="1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4" fillId="4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0" fillId="2" borderId="1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7" fillId="2" borderId="1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8" fillId="0" borderId="20" xfId="0" applyFont="1" applyBorder="1"/>
    <xf numFmtId="0" fontId="3" fillId="4" borderId="25" xfId="0" applyFont="1" applyFill="1" applyBorder="1" applyAlignment="1">
      <alignment horizontal="center"/>
    </xf>
    <xf numFmtId="0" fontId="8" fillId="0" borderId="26" xfId="0" applyFont="1" applyBorder="1"/>
    <xf numFmtId="0" fontId="8" fillId="0" borderId="27" xfId="0" applyFont="1" applyBorder="1"/>
    <xf numFmtId="0" fontId="13" fillId="0" borderId="0" xfId="0" applyFont="1" applyAlignment="1"/>
    <xf numFmtId="0" fontId="12" fillId="2" borderId="33" xfId="0" applyFont="1" applyFill="1" applyBorder="1" applyAlignment="1">
      <alignment horizontal="center"/>
    </xf>
    <xf numFmtId="0" fontId="8" fillId="0" borderId="34" xfId="0" applyFont="1" applyBorder="1"/>
    <xf numFmtId="0" fontId="18" fillId="2" borderId="36" xfId="0" applyFont="1" applyFill="1" applyBorder="1" applyAlignment="1">
      <alignment horizontal="center" vertical="center"/>
    </xf>
    <xf numFmtId="0" fontId="8" fillId="0" borderId="37" xfId="0" applyFont="1" applyBorder="1"/>
    <xf numFmtId="0" fontId="8" fillId="0" borderId="38" xfId="0" applyFont="1" applyBorder="1"/>
    <xf numFmtId="0" fontId="8" fillId="0" borderId="39" xfId="0" applyFont="1" applyBorder="1"/>
    <xf numFmtId="0" fontId="8" fillId="0" borderId="40" xfId="0" applyFont="1" applyBorder="1"/>
    <xf numFmtId="0" fontId="8" fillId="0" borderId="42" xfId="0" applyFont="1" applyBorder="1"/>
    <xf numFmtId="0" fontId="6" fillId="0" borderId="44" xfId="0" applyFont="1" applyBorder="1" applyAlignment="1">
      <alignment horizontal="center" vertical="center"/>
    </xf>
    <xf numFmtId="0" fontId="8" fillId="0" borderId="45" xfId="0" applyFont="1" applyBorder="1"/>
    <xf numFmtId="0" fontId="8" fillId="0" borderId="48" xfId="0" applyFont="1" applyBorder="1"/>
    <xf numFmtId="171" fontId="6" fillId="0" borderId="11" xfId="0" applyNumberFormat="1" applyFont="1" applyBorder="1" applyAlignment="1">
      <alignment horizontal="center" vertical="center"/>
    </xf>
    <xf numFmtId="0" fontId="8" fillId="0" borderId="24" xfId="0" applyFont="1" applyBorder="1"/>
    <xf numFmtId="171" fontId="6" fillId="0" borderId="50" xfId="0" applyNumberFormat="1" applyFont="1" applyBorder="1" applyAlignment="1">
      <alignment horizontal="center" vertical="center"/>
    </xf>
    <xf numFmtId="0" fontId="8" fillId="0" borderId="52" xfId="0" applyFont="1" applyBorder="1"/>
    <xf numFmtId="0" fontId="8" fillId="0" borderId="53" xfId="0" applyFont="1" applyBorder="1"/>
    <xf numFmtId="10" fontId="6" fillId="0" borderId="50" xfId="0" applyNumberFormat="1" applyFont="1" applyBorder="1" applyAlignment="1">
      <alignment horizontal="center" vertical="center" wrapText="1"/>
    </xf>
    <xf numFmtId="171" fontId="6" fillId="0" borderId="25" xfId="0" applyNumberFormat="1" applyFont="1" applyBorder="1" applyAlignment="1">
      <alignment horizontal="center"/>
    </xf>
    <xf numFmtId="0" fontId="6" fillId="0" borderId="5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12" xfId="0" applyFont="1" applyBorder="1"/>
    <xf numFmtId="0" fontId="20" fillId="2" borderId="41" xfId="0" applyFont="1" applyFill="1" applyBorder="1" applyAlignment="1">
      <alignment horizontal="center" vertical="center"/>
    </xf>
    <xf numFmtId="0" fontId="8" fillId="0" borderId="43" xfId="0" applyFont="1" applyBorder="1"/>
    <xf numFmtId="0" fontId="8" fillId="0" borderId="22" xfId="0" applyFont="1" applyBorder="1"/>
    <xf numFmtId="0" fontId="8" fillId="0" borderId="46" xfId="0" applyFont="1" applyBorder="1"/>
    <xf numFmtId="0" fontId="8" fillId="0" borderId="47" xfId="0" applyFont="1" applyBorder="1"/>
    <xf numFmtId="0" fontId="8" fillId="0" borderId="49" xfId="0" applyFont="1" applyBorder="1"/>
    <xf numFmtId="0" fontId="21" fillId="4" borderId="5" xfId="0" applyFont="1" applyFill="1" applyBorder="1" applyAlignment="1">
      <alignment horizontal="center"/>
    </xf>
    <xf numFmtId="0" fontId="21" fillId="11" borderId="25" xfId="0" applyFont="1" applyFill="1" applyBorder="1" applyAlignment="1">
      <alignment horizontal="center"/>
    </xf>
    <xf numFmtId="171" fontId="6" fillId="0" borderId="5" xfId="0" applyNumberFormat="1" applyFont="1" applyBorder="1" applyAlignment="1">
      <alignment horizontal="center"/>
    </xf>
    <xf numFmtId="0" fontId="20" fillId="10" borderId="41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wrapText="1"/>
    </xf>
    <xf numFmtId="0" fontId="20" fillId="4" borderId="4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171" fontId="6" fillId="0" borderId="0" xfId="0" applyNumberFormat="1" applyFont="1" applyAlignment="1">
      <alignment horizontal="center"/>
    </xf>
    <xf numFmtId="0" fontId="8" fillId="0" borderId="61" xfId="0" applyFont="1" applyBorder="1"/>
    <xf numFmtId="0" fontId="33" fillId="2" borderId="35" xfId="0" applyFont="1" applyFill="1" applyBorder="1" applyAlignment="1">
      <alignment horizontal="center"/>
    </xf>
    <xf numFmtId="0" fontId="8" fillId="0" borderId="75" xfId="0" applyFont="1" applyBorder="1"/>
    <xf numFmtId="0" fontId="8" fillId="0" borderId="76" xfId="0" applyFont="1" applyBorder="1"/>
    <xf numFmtId="0" fontId="8" fillId="0" borderId="77" xfId="0" applyFont="1" applyBorder="1"/>
    <xf numFmtId="0" fontId="8" fillId="0" borderId="78" xfId="0" applyFont="1" applyBorder="1"/>
    <xf numFmtId="0" fontId="8" fillId="0" borderId="79" xfId="0" applyFont="1" applyBorder="1"/>
    <xf numFmtId="0" fontId="35" fillId="0" borderId="1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0" fontId="8" fillId="0" borderId="80" xfId="0" applyFont="1" applyBorder="1"/>
    <xf numFmtId="0" fontId="36" fillId="4" borderId="1" xfId="0" applyFont="1" applyFill="1" applyBorder="1" applyAlignment="1">
      <alignment horizontal="center"/>
    </xf>
    <xf numFmtId="0" fontId="2" fillId="0" borderId="0" xfId="0" applyFont="1" applyAlignment="1"/>
    <xf numFmtId="0" fontId="33" fillId="2" borderId="0" xfId="0" applyFont="1" applyFill="1" applyAlignment="1">
      <alignment horizontal="center"/>
    </xf>
    <xf numFmtId="0" fontId="22" fillId="0" borderId="5" xfId="0" applyFont="1" applyBorder="1" applyAlignment="1">
      <alignment horizontal="center"/>
    </xf>
    <xf numFmtId="0" fontId="71" fillId="2" borderId="85" xfId="0" applyFont="1" applyFill="1" applyBorder="1" applyAlignment="1">
      <alignment horizontal="center"/>
    </xf>
    <xf numFmtId="0" fontId="8" fillId="0" borderId="86" xfId="0" applyFont="1" applyBorder="1"/>
    <xf numFmtId="0" fontId="8" fillId="0" borderId="87" xfId="0" applyFont="1" applyBorder="1"/>
    <xf numFmtId="0" fontId="74" fillId="0" borderId="0" xfId="0" applyFont="1" applyAlignment="1"/>
    <xf numFmtId="0" fontId="0" fillId="0" borderId="88" xfId="0" applyFont="1" applyBorder="1" applyAlignment="1"/>
    <xf numFmtId="0" fontId="2" fillId="0" borderId="88" xfId="0" applyFont="1" applyBorder="1" applyAlignment="1"/>
    <xf numFmtId="0" fontId="3" fillId="0" borderId="89" xfId="0" applyFont="1" applyBorder="1" applyAlignment="1"/>
    <xf numFmtId="0" fontId="6" fillId="0" borderId="90" xfId="0" applyFont="1" applyBorder="1" applyAlignment="1">
      <alignment horizontal="center"/>
    </xf>
    <xf numFmtId="0" fontId="2" fillId="0" borderId="91" xfId="0" applyFont="1" applyBorder="1" applyAlignment="1"/>
    <xf numFmtId="0" fontId="6" fillId="0" borderId="88" xfId="0" applyFont="1" applyBorder="1" applyAlignment="1">
      <alignment horizontal="center"/>
    </xf>
    <xf numFmtId="4" fontId="3" fillId="12" borderId="88" xfId="0" applyNumberFormat="1" applyFont="1" applyFill="1" applyBorder="1" applyAlignment="1">
      <alignment horizontal="center"/>
    </xf>
    <xf numFmtId="0" fontId="3" fillId="0" borderId="88" xfId="0" applyFont="1" applyBorder="1" applyAlignment="1">
      <alignment horizontal="right"/>
    </xf>
    <xf numFmtId="4" fontId="3" fillId="0" borderId="88" xfId="0" applyNumberFormat="1" applyFont="1" applyBorder="1" applyAlignment="1">
      <alignment horizontal="center"/>
    </xf>
    <xf numFmtId="4" fontId="42" fillId="0" borderId="88" xfId="0" applyNumberFormat="1" applyFont="1" applyBorder="1" applyAlignment="1">
      <alignment horizontal="center"/>
    </xf>
    <xf numFmtId="4" fontId="58" fillId="0" borderId="88" xfId="0" applyNumberFormat="1" applyFont="1" applyBorder="1" applyAlignment="1">
      <alignment horizontal="center"/>
    </xf>
    <xf numFmtId="4" fontId="42" fillId="0" borderId="88" xfId="0" applyNumberFormat="1" applyFont="1" applyBorder="1" applyAlignment="1">
      <alignment horizontal="right"/>
    </xf>
    <xf numFmtId="4" fontId="60" fillId="17" borderId="88" xfId="0" applyNumberFormat="1" applyFont="1" applyFill="1" applyBorder="1" applyAlignment="1">
      <alignment horizontal="center"/>
    </xf>
    <xf numFmtId="4" fontId="6" fillId="0" borderId="88" xfId="0" applyNumberFormat="1" applyFont="1" applyBorder="1" applyAlignment="1">
      <alignment horizontal="center"/>
    </xf>
    <xf numFmtId="4" fontId="63" fillId="0" borderId="88" xfId="0" applyNumberFormat="1" applyFont="1" applyBorder="1" applyAlignment="1">
      <alignment horizontal="center"/>
    </xf>
    <xf numFmtId="4" fontId="66" fillId="0" borderId="88" xfId="0" applyNumberFormat="1" applyFont="1" applyBorder="1" applyAlignment="1">
      <alignment horizontal="center"/>
    </xf>
    <xf numFmtId="4" fontId="56" fillId="0" borderId="88" xfId="0" applyNumberFormat="1" applyFont="1" applyBorder="1" applyAlignment="1">
      <alignment horizontal="center"/>
    </xf>
    <xf numFmtId="4" fontId="68" fillId="17" borderId="88" xfId="0" applyNumberFormat="1" applyFont="1" applyFill="1" applyBorder="1" applyAlignment="1">
      <alignment horizontal="right"/>
    </xf>
    <xf numFmtId="4" fontId="70" fillId="12" borderId="88" xfId="0" applyNumberFormat="1" applyFont="1" applyFill="1" applyBorder="1" applyAlignment="1">
      <alignment horizontal="right"/>
    </xf>
    <xf numFmtId="0" fontId="2" fillId="0" borderId="92" xfId="0" applyFont="1" applyBorder="1" applyAlignment="1"/>
    <xf numFmtId="0" fontId="0" fillId="0" borderId="59" xfId="0" applyFont="1" applyBorder="1" applyAlignment="1"/>
    <xf numFmtId="0" fontId="2" fillId="0" borderId="59" xfId="0" applyFont="1" applyBorder="1" applyAlignment="1"/>
    <xf numFmtId="0" fontId="2" fillId="0" borderId="93" xfId="0" applyFont="1" applyBorder="1" applyAlignment="1"/>
    <xf numFmtId="0" fontId="2" fillId="0" borderId="94" xfId="0" applyFont="1" applyBorder="1" applyAlignment="1"/>
    <xf numFmtId="176" fontId="2" fillId="0" borderId="88" xfId="0" applyNumberFormat="1" applyFont="1" applyBorder="1" applyAlignment="1"/>
    <xf numFmtId="177" fontId="72" fillId="0" borderId="0" xfId="0" applyNumberFormat="1" applyFont="1" applyAlignment="1">
      <alignment horizontal="center"/>
    </xf>
    <xf numFmtId="177" fontId="2" fillId="0" borderId="0" xfId="0" applyNumberFormat="1" applyFont="1" applyAlignment="1"/>
    <xf numFmtId="177" fontId="72" fillId="0" borderId="0" xfId="0" applyNumberFormat="1" applyFont="1" applyAlignment="1">
      <alignment horizontal="right"/>
    </xf>
    <xf numFmtId="177" fontId="77" fillId="0" borderId="0" xfId="0" applyNumberFormat="1" applyFont="1" applyAlignment="1">
      <alignment horizontal="right"/>
    </xf>
    <xf numFmtId="177" fontId="78" fillId="0" borderId="0" xfId="0" applyNumberFormat="1" applyFont="1" applyAlignment="1">
      <alignment horizontal="right"/>
    </xf>
    <xf numFmtId="0" fontId="73" fillId="0" borderId="1" xfId="0" applyFont="1" applyBorder="1" applyAlignment="1">
      <alignment horizontal="right"/>
    </xf>
    <xf numFmtId="9" fontId="2" fillId="0" borderId="89" xfId="0" applyNumberFormat="1" applyFont="1" applyBorder="1" applyAlignment="1">
      <alignment horizontal="center"/>
    </xf>
    <xf numFmtId="164" fontId="2" fillId="0" borderId="95" xfId="0" applyNumberFormat="1" applyFont="1" applyBorder="1" applyAlignment="1"/>
    <xf numFmtId="0" fontId="76" fillId="0" borderId="0" xfId="0" applyFont="1" applyAlignment="1"/>
    <xf numFmtId="177" fontId="2" fillId="0" borderId="59" xfId="0" applyNumberFormat="1" applyFont="1" applyBorder="1" applyAlignment="1">
      <alignment horizontal="right"/>
    </xf>
    <xf numFmtId="0" fontId="4" fillId="0" borderId="59" xfId="0" applyFont="1" applyBorder="1" applyAlignment="1"/>
    <xf numFmtId="0" fontId="4" fillId="0" borderId="72" xfId="0" applyFont="1" applyBorder="1" applyAlignment="1"/>
    <xf numFmtId="0" fontId="0" fillId="0" borderId="96" xfId="0" applyFont="1" applyBorder="1" applyAlignment="1"/>
    <xf numFmtId="40" fontId="4" fillId="0" borderId="0" xfId="0" applyNumberFormat="1" applyFont="1" applyAlignment="1">
      <alignment horizontal="center"/>
    </xf>
    <xf numFmtId="40" fontId="4" fillId="0" borderId="59" xfId="0" applyNumberFormat="1" applyFont="1" applyBorder="1" applyAlignment="1">
      <alignment horizontal="right"/>
    </xf>
    <xf numFmtId="40" fontId="41" fillId="0" borderId="82" xfId="0" applyNumberFormat="1" applyFont="1" applyBorder="1" applyAlignment="1">
      <alignment horizontal="center"/>
    </xf>
    <xf numFmtId="40" fontId="4" fillId="0" borderId="82" xfId="0" applyNumberFormat="1" applyFont="1" applyBorder="1" applyAlignment="1">
      <alignment horizontal="center"/>
    </xf>
    <xf numFmtId="40" fontId="43" fillId="0" borderId="82" xfId="0" applyNumberFormat="1" applyFont="1" applyBorder="1" applyAlignment="1">
      <alignment horizontal="center"/>
    </xf>
    <xf numFmtId="40" fontId="44" fillId="0" borderId="82" xfId="0" applyNumberFormat="1" applyFont="1" applyBorder="1" applyAlignment="1">
      <alignment horizontal="right"/>
    </xf>
    <xf numFmtId="40" fontId="4" fillId="0" borderId="0" xfId="0" applyNumberFormat="1" applyFont="1" applyAlignment="1"/>
    <xf numFmtId="40" fontId="4" fillId="0" borderId="59" xfId="0" applyNumberFormat="1" applyFont="1" applyBorder="1" applyAlignment="1"/>
    <xf numFmtId="40" fontId="10" fillId="0" borderId="0" xfId="0" applyNumberFormat="1" applyFont="1" applyAlignment="1">
      <alignment horizontal="center"/>
    </xf>
    <xf numFmtId="40" fontId="10" fillId="0" borderId="59" xfId="0" applyNumberFormat="1" applyFont="1" applyBorder="1" applyAlignment="1">
      <alignment horizontal="center"/>
    </xf>
    <xf numFmtId="40" fontId="4" fillId="0" borderId="59" xfId="0" applyNumberFormat="1" applyFont="1" applyBorder="1" applyAlignment="1">
      <alignment horizontal="center"/>
    </xf>
    <xf numFmtId="40" fontId="46" fillId="0" borderId="0" xfId="0" applyNumberFormat="1" applyFont="1" applyAlignment="1">
      <alignment horizontal="center"/>
    </xf>
    <xf numFmtId="40" fontId="48" fillId="0" borderId="0" xfId="0" applyNumberFormat="1" applyFont="1" applyAlignment="1">
      <alignment horizontal="center"/>
    </xf>
    <xf numFmtId="40" fontId="53" fillId="0" borderId="0" xfId="0" applyNumberFormat="1" applyFont="1" applyAlignment="1">
      <alignment horizontal="center"/>
    </xf>
    <xf numFmtId="40" fontId="54" fillId="0" borderId="0" xfId="0" applyNumberFormat="1" applyFont="1" applyAlignment="1">
      <alignment horizontal="center"/>
    </xf>
    <xf numFmtId="40" fontId="54" fillId="0" borderId="59" xfId="0" applyNumberFormat="1" applyFont="1" applyBorder="1" applyAlignment="1">
      <alignment horizontal="center"/>
    </xf>
    <xf numFmtId="40" fontId="55" fillId="0" borderId="0" xfId="0" applyNumberFormat="1" applyFont="1" applyAlignment="1">
      <alignment horizontal="center"/>
    </xf>
    <xf numFmtId="40" fontId="55" fillId="0" borderId="59" xfId="0" applyNumberFormat="1" applyFont="1" applyBorder="1" applyAlignment="1">
      <alignment horizontal="center"/>
    </xf>
    <xf numFmtId="40" fontId="59" fillId="0" borderId="0" xfId="0" applyNumberFormat="1" applyFont="1" applyAlignment="1">
      <alignment horizontal="center"/>
    </xf>
    <xf numFmtId="40" fontId="59" fillId="0" borderId="59" xfId="0" applyNumberFormat="1" applyFont="1" applyBorder="1" applyAlignment="1">
      <alignment horizontal="center"/>
    </xf>
    <xf numFmtId="40" fontId="62" fillId="17" borderId="0" xfId="0" applyNumberFormat="1" applyFont="1" applyFill="1" applyAlignment="1">
      <alignment horizontal="center"/>
    </xf>
    <xf numFmtId="40" fontId="64" fillId="17" borderId="0" xfId="0" applyNumberFormat="1" applyFont="1" applyFill="1" applyAlignment="1">
      <alignment horizontal="center"/>
    </xf>
    <xf numFmtId="40" fontId="64" fillId="17" borderId="59" xfId="0" applyNumberFormat="1" applyFont="1" applyFill="1" applyBorder="1" applyAlignment="1">
      <alignment horizontal="center"/>
    </xf>
    <xf numFmtId="171" fontId="79" fillId="15" borderId="72" xfId="0" applyNumberFormat="1" applyFont="1" applyFill="1" applyBorder="1"/>
    <xf numFmtId="171" fontId="79" fillId="15" borderId="73" xfId="0" applyNumberFormat="1" applyFont="1" applyFill="1" applyBorder="1"/>
    <xf numFmtId="171" fontId="3" fillId="13" borderId="58" xfId="0" applyNumberFormat="1" applyFont="1" applyFill="1" applyBorder="1" applyAlignment="1">
      <alignment horizontal="left"/>
    </xf>
    <xf numFmtId="171" fontId="3" fillId="0" borderId="66" xfId="0" applyNumberFormat="1" applyFont="1" applyBorder="1" applyAlignment="1">
      <alignment horizontal="left"/>
    </xf>
    <xf numFmtId="164" fontId="3" fillId="13" borderId="58" xfId="0" applyNumberFormat="1" applyFont="1" applyFill="1" applyBorder="1" applyAlignment="1">
      <alignment horizontal="left"/>
    </xf>
    <xf numFmtId="0" fontId="80" fillId="0" borderId="0" xfId="0" applyFont="1"/>
    <xf numFmtId="0" fontId="80" fillId="0" borderId="62" xfId="0" applyFont="1" applyBorder="1" applyAlignment="1">
      <alignment horizontal="left"/>
    </xf>
    <xf numFmtId="0" fontId="81" fillId="0" borderId="0" xfId="0" applyFont="1" applyAlignment="1"/>
    <xf numFmtId="0" fontId="82" fillId="0" borderId="0" xfId="0" applyFont="1" applyAlignment="1"/>
    <xf numFmtId="0" fontId="83" fillId="0" borderId="0" xfId="0" applyFont="1" applyAlignment="1"/>
    <xf numFmtId="0" fontId="83" fillId="0" borderId="0" xfId="0" applyFont="1"/>
    <xf numFmtId="164" fontId="79" fillId="6" borderId="3" xfId="0" applyNumberFormat="1" applyFont="1" applyFill="1" applyBorder="1"/>
    <xf numFmtId="0" fontId="3" fillId="18" borderId="95" xfId="0" applyFont="1" applyFill="1" applyBorder="1"/>
    <xf numFmtId="0" fontId="3" fillId="19" borderId="95" xfId="0" applyFont="1" applyFill="1" applyBorder="1"/>
    <xf numFmtId="164" fontId="3" fillId="19" borderId="95" xfId="0" applyNumberFormat="1" applyFont="1" applyFill="1" applyBorder="1"/>
    <xf numFmtId="9" fontId="3" fillId="19" borderId="95" xfId="0" applyNumberFormat="1" applyFont="1" applyFill="1" applyBorder="1"/>
    <xf numFmtId="0" fontId="79" fillId="19" borderId="95" xfId="0" applyFont="1" applyFill="1" applyBorder="1"/>
    <xf numFmtId="164" fontId="79" fillId="19" borderId="95" xfId="0" applyNumberFormat="1" applyFont="1" applyFill="1" applyBorder="1"/>
    <xf numFmtId="9" fontId="79" fillId="19" borderId="95" xfId="0" applyNumberFormat="1" applyFont="1" applyFill="1" applyBorder="1"/>
    <xf numFmtId="8" fontId="2" fillId="5" borderId="3" xfId="0" applyNumberFormat="1" applyFont="1" applyFill="1" applyBorder="1" applyAlignment="1"/>
    <xf numFmtId="8" fontId="12" fillId="4" borderId="3" xfId="0" applyNumberFormat="1" applyFont="1" applyFill="1" applyBorder="1" applyAlignment="1"/>
    <xf numFmtId="6" fontId="12" fillId="4" borderId="3" xfId="0" applyNumberFormat="1" applyFont="1" applyFill="1" applyBorder="1" applyAlignment="1"/>
    <xf numFmtId="178" fontId="12" fillId="8" borderId="0" xfId="0" applyNumberFormat="1" applyFont="1" applyFill="1" applyAlignment="1">
      <alignment horizontal="right"/>
    </xf>
    <xf numFmtId="178" fontId="79" fillId="8" borderId="0" xfId="0" applyNumberFormat="1" applyFont="1" applyFill="1"/>
    <xf numFmtId="0" fontId="75" fillId="0" borderId="0" xfId="0" applyFont="1" applyAlignment="1"/>
    <xf numFmtId="178" fontId="79" fillId="20" borderId="0" xfId="0" applyNumberFormat="1" applyFont="1" applyFill="1"/>
    <xf numFmtId="164" fontId="3" fillId="19" borderId="3" xfId="0" applyNumberFormat="1" applyFont="1" applyFill="1" applyBorder="1"/>
    <xf numFmtId="9" fontId="84" fillId="3" borderId="17" xfId="0" applyNumberFormat="1" applyFont="1" applyFill="1" applyBorder="1" applyAlignment="1">
      <alignment horizontal="center" vertical="center"/>
    </xf>
    <xf numFmtId="9" fontId="84" fillId="3" borderId="17" xfId="0" applyNumberFormat="1" applyFont="1" applyFill="1" applyBorder="1" applyAlignment="1">
      <alignment horizontal="center"/>
    </xf>
    <xf numFmtId="0" fontId="84" fillId="3" borderId="14" xfId="0" applyFont="1" applyFill="1" applyBorder="1" applyAlignment="1">
      <alignment horizontal="center"/>
    </xf>
    <xf numFmtId="0" fontId="85" fillId="0" borderId="15" xfId="0" applyFont="1" applyBorder="1"/>
    <xf numFmtId="0" fontId="85" fillId="0" borderId="16" xfId="0" applyFont="1" applyBorder="1"/>
    <xf numFmtId="0" fontId="84" fillId="3" borderId="14" xfId="0" applyFont="1" applyFill="1" applyBorder="1" applyAlignment="1">
      <alignment horizontal="center" vertical="center"/>
    </xf>
    <xf numFmtId="177" fontId="2" fillId="6" borderId="3" xfId="0" applyNumberFormat="1" applyFont="1" applyFill="1" applyBorder="1" applyAlignment="1"/>
    <xf numFmtId="0" fontId="86" fillId="0" borderId="0" xfId="0" applyFont="1"/>
    <xf numFmtId="0" fontId="3" fillId="0" borderId="96" xfId="0" applyFont="1" applyBorder="1"/>
    <xf numFmtId="0" fontId="3" fillId="19" borderId="3" xfId="0" applyFont="1" applyFill="1" applyBorder="1"/>
    <xf numFmtId="9" fontId="3" fillId="19" borderId="3" xfId="0" applyNumberFormat="1" applyFont="1" applyFill="1" applyBorder="1"/>
    <xf numFmtId="9" fontId="3" fillId="19" borderId="1" xfId="0" applyNumberFormat="1" applyFont="1" applyFill="1" applyBorder="1"/>
    <xf numFmtId="0" fontId="2" fillId="19" borderId="3" xfId="0" applyFont="1" applyFill="1" applyBorder="1" applyAlignment="1"/>
    <xf numFmtId="9" fontId="2" fillId="19" borderId="3" xfId="0" applyNumberFormat="1" applyFont="1" applyFill="1" applyBorder="1" applyAlignment="1"/>
    <xf numFmtId="0" fontId="86" fillId="0" borderId="0" xfId="0" applyFont="1" applyAlignment="1"/>
    <xf numFmtId="0" fontId="84" fillId="19" borderId="3" xfId="0" applyFont="1" applyFill="1" applyBorder="1" applyAlignment="1">
      <alignment wrapText="1"/>
    </xf>
    <xf numFmtId="164" fontId="1" fillId="19" borderId="3" xfId="0" applyNumberFormat="1" applyFont="1" applyFill="1" applyBorder="1"/>
    <xf numFmtId="164" fontId="84" fillId="19" borderId="3" xfId="0" applyNumberFormat="1" applyFont="1" applyFill="1" applyBorder="1" applyAlignment="1">
      <alignment wrapText="1"/>
    </xf>
    <xf numFmtId="0" fontId="1" fillId="19" borderId="3" xfId="0" applyFont="1" applyFill="1" applyBorder="1" applyAlignment="1">
      <alignment wrapText="1"/>
    </xf>
    <xf numFmtId="164" fontId="1" fillId="19" borderId="3" xfId="0" applyNumberFormat="1" applyFont="1" applyFill="1" applyBorder="1" applyAlignment="1">
      <alignment wrapText="1"/>
    </xf>
    <xf numFmtId="0" fontId="87" fillId="19" borderId="3" xfId="0" applyFont="1" applyFill="1" applyBorder="1" applyAlignment="1"/>
    <xf numFmtId="164" fontId="87" fillId="19" borderId="3" xfId="0" applyNumberFormat="1" applyFont="1" applyFill="1" applyBorder="1"/>
    <xf numFmtId="0" fontId="0" fillId="0" borderId="0" xfId="0" applyFont="1" applyFill="1" applyAlignment="1"/>
    <xf numFmtId="0" fontId="4" fillId="19" borderId="3" xfId="0" applyFont="1" applyFill="1" applyBorder="1" applyAlignment="1">
      <alignment horizontal="center" vertical="center" wrapText="1"/>
    </xf>
    <xf numFmtId="164" fontId="0" fillId="19" borderId="1" xfId="0" applyNumberFormat="1" applyFont="1" applyFill="1" applyBorder="1" applyAlignment="1">
      <alignment horizontal="center" vertical="center" wrapText="1"/>
    </xf>
    <xf numFmtId="164" fontId="0" fillId="19" borderId="4" xfId="0" applyNumberFormat="1" applyFont="1" applyFill="1" applyBorder="1" applyAlignment="1">
      <alignment horizontal="center" wrapText="1"/>
    </xf>
    <xf numFmtId="0" fontId="0" fillId="19" borderId="1" xfId="0" applyFont="1" applyFill="1" applyBorder="1" applyAlignment="1">
      <alignment horizontal="center" vertical="center" wrapText="1"/>
    </xf>
    <xf numFmtId="0" fontId="75" fillId="19" borderId="3" xfId="0" applyFont="1" applyFill="1" applyBorder="1" applyAlignment="1">
      <alignment horizontal="center" wrapText="1"/>
    </xf>
    <xf numFmtId="0" fontId="75" fillId="19" borderId="11" xfId="0" applyFont="1" applyFill="1" applyBorder="1" applyAlignment="1">
      <alignment horizontal="center" wrapText="1"/>
    </xf>
    <xf numFmtId="0" fontId="0" fillId="19" borderId="3" xfId="0" applyFont="1" applyFill="1" applyBorder="1" applyAlignment="1">
      <alignment horizontal="center" wrapText="1"/>
    </xf>
    <xf numFmtId="8" fontId="0" fillId="19" borderId="3" xfId="0" applyNumberFormat="1" applyFont="1" applyFill="1" applyBorder="1" applyAlignment="1">
      <alignment horizontal="center" vertical="center" wrapText="1"/>
    </xf>
    <xf numFmtId="8" fontId="0" fillId="19" borderId="11" xfId="0" applyNumberFormat="1" applyFont="1" applyFill="1" applyBorder="1" applyAlignment="1">
      <alignment horizontal="center" vertical="center" wrapText="1"/>
    </xf>
    <xf numFmtId="8" fontId="0" fillId="19" borderId="1" xfId="0" applyNumberFormat="1" applyFont="1" applyFill="1" applyBorder="1" applyAlignment="1">
      <alignment horizontal="center" vertical="center" wrapText="1"/>
    </xf>
    <xf numFmtId="8" fontId="0" fillId="19" borderId="4" xfId="0" applyNumberFormat="1" applyFont="1" applyFill="1" applyBorder="1" applyAlignment="1">
      <alignment horizontal="center" vertical="center" wrapText="1"/>
    </xf>
    <xf numFmtId="8" fontId="0" fillId="19" borderId="24" xfId="0" applyNumberFormat="1" applyFont="1" applyFill="1" applyBorder="1" applyAlignment="1">
      <alignment horizontal="center" vertical="center" wrapText="1"/>
    </xf>
    <xf numFmtId="8" fontId="0" fillId="19" borderId="3" xfId="0" applyNumberFormat="1" applyFont="1" applyFill="1" applyBorder="1" applyAlignment="1">
      <alignment horizontal="center" wrapText="1"/>
    </xf>
    <xf numFmtId="8" fontId="4" fillId="19" borderId="3" xfId="0" applyNumberFormat="1" applyFont="1" applyFill="1" applyBorder="1" applyAlignment="1">
      <alignment horizontal="center" vertical="center" wrapText="1"/>
    </xf>
    <xf numFmtId="0" fontId="0" fillId="19" borderId="3" xfId="0" applyFont="1" applyFill="1" applyBorder="1" applyAlignment="1">
      <alignment horizontal="center"/>
    </xf>
    <xf numFmtId="8" fontId="4" fillId="19" borderId="3" xfId="0" applyNumberFormat="1" applyFont="1" applyFill="1" applyBorder="1" applyAlignment="1">
      <alignment horizontal="center"/>
    </xf>
    <xf numFmtId="0" fontId="0" fillId="19" borderId="3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88" fillId="19" borderId="3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 wrapText="1"/>
    </xf>
    <xf numFmtId="0" fontId="88" fillId="21" borderId="3" xfId="0" applyFont="1" applyFill="1" applyBorder="1" applyAlignment="1">
      <alignment horizontal="center" vertical="center" wrapText="1"/>
    </xf>
    <xf numFmtId="8" fontId="0" fillId="19" borderId="3" xfId="0" applyNumberFormat="1" applyFont="1" applyFill="1" applyBorder="1" applyAlignment="1">
      <alignment horizontal="center"/>
    </xf>
    <xf numFmtId="0" fontId="8" fillId="0" borderId="72" xfId="0" applyFont="1" applyBorder="1"/>
    <xf numFmtId="165" fontId="0" fillId="19" borderId="95" xfId="0" applyNumberFormat="1" applyFont="1" applyFill="1" applyBorder="1" applyAlignment="1">
      <alignment horizontal="center" vertical="center" wrapText="1"/>
    </xf>
    <xf numFmtId="0" fontId="0" fillId="19" borderId="95" xfId="0" applyFont="1" applyFill="1" applyBorder="1" applyAlignment="1">
      <alignment horizontal="center" wrapText="1"/>
    </xf>
    <xf numFmtId="0" fontId="0" fillId="19" borderId="95" xfId="0" applyFont="1" applyFill="1" applyBorder="1" applyAlignment="1">
      <alignment horizontal="center" vertical="center" wrapText="1"/>
    </xf>
    <xf numFmtId="8" fontId="0" fillId="19" borderId="95" xfId="0" applyNumberFormat="1" applyFont="1" applyFill="1" applyBorder="1" applyAlignment="1">
      <alignment horizontal="center" vertical="center" wrapText="1"/>
    </xf>
    <xf numFmtId="44" fontId="75" fillId="19" borderId="3" xfId="0" applyNumberFormat="1" applyFont="1" applyFill="1" applyBorder="1" applyAlignment="1">
      <alignment horizontal="center" wrapText="1"/>
    </xf>
    <xf numFmtId="44" fontId="75" fillId="19" borderId="11" xfId="0" applyNumberFormat="1" applyFont="1" applyFill="1" applyBorder="1" applyAlignment="1">
      <alignment horizontal="center" wrapText="1"/>
    </xf>
    <xf numFmtId="44" fontId="0" fillId="19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EAF1DD"/>
      <color rgb="FFF1C232"/>
      <color rgb="FFBF9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0</xdr:row>
      <xdr:rowOff>28575</xdr:rowOff>
    </xdr:from>
    <xdr:ext cx="1428750" cy="11334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95250</xdr:rowOff>
    </xdr:from>
    <xdr:ext cx="1457325" cy="1162050"/>
    <xdr:pic>
      <xdr:nvPicPr>
        <xdr:cNvPr id="2" name="image11.png" title="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2100" cy="1247775"/>
    <xdr:pic>
      <xdr:nvPicPr>
        <xdr:cNvPr id="2" name="image10.png" title="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142875</xdr:rowOff>
    </xdr:from>
    <xdr:ext cx="1352550" cy="1076325"/>
    <xdr:pic>
      <xdr:nvPicPr>
        <xdr:cNvPr id="2" name="image12.png" title="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76200</xdr:rowOff>
    </xdr:from>
    <xdr:ext cx="1485900" cy="1181100"/>
    <xdr:pic>
      <xdr:nvPicPr>
        <xdr:cNvPr id="2" name="image13.png" title="Imagen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704850</xdr:colOff>
      <xdr:row>0</xdr:row>
      <xdr:rowOff>0</xdr:rowOff>
    </xdr:from>
    <xdr:ext cx="1295400" cy="102870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47625</xdr:rowOff>
    </xdr:from>
    <xdr:ext cx="1343025" cy="10668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0</xdr:row>
      <xdr:rowOff>104775</xdr:rowOff>
    </xdr:from>
    <xdr:ext cx="1524000" cy="1209675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76200</xdr:rowOff>
    </xdr:from>
    <xdr:ext cx="1181100" cy="933450"/>
    <xdr:pic>
      <xdr:nvPicPr>
        <xdr:cNvPr id="2" name="image5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9525</xdr:rowOff>
    </xdr:from>
    <xdr:ext cx="1533525" cy="1219200"/>
    <xdr:pic>
      <xdr:nvPicPr>
        <xdr:cNvPr id="2" name="image6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66675</xdr:rowOff>
    </xdr:from>
    <xdr:ext cx="1343025" cy="1238250"/>
    <xdr:pic>
      <xdr:nvPicPr>
        <xdr:cNvPr id="2" name="image7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85725</xdr:rowOff>
    </xdr:from>
    <xdr:ext cx="1514475" cy="1209675"/>
    <xdr:pic>
      <xdr:nvPicPr>
        <xdr:cNvPr id="2" name="image9.png" title="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228725" cy="981075"/>
    <xdr:pic>
      <xdr:nvPicPr>
        <xdr:cNvPr id="2" name="image8.png" title="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workbookViewId="0">
      <selection activeCell="F4" sqref="F4"/>
    </sheetView>
  </sheetViews>
  <sheetFormatPr baseColWidth="10" defaultColWidth="12.6640625" defaultRowHeight="15" customHeight="1"/>
  <cols>
    <col min="1" max="1" width="9.33203125" customWidth="1"/>
    <col min="2" max="2" width="30.6640625" customWidth="1"/>
    <col min="3" max="3" width="32.1640625" customWidth="1"/>
    <col min="4" max="4" width="9.6640625" customWidth="1"/>
    <col min="5" max="5" width="11.33203125" customWidth="1"/>
    <col min="6" max="6" width="20.33203125" customWidth="1"/>
    <col min="7" max="7" width="9.33203125" customWidth="1"/>
    <col min="8" max="8" width="24.1640625" customWidth="1"/>
    <col min="9" max="9" width="15.1640625" customWidth="1"/>
    <col min="10" max="10" width="11.1640625" customWidth="1"/>
    <col min="11" max="11" width="9.5" customWidth="1"/>
    <col min="12" max="12" width="16.1640625" customWidth="1"/>
    <col min="13" max="26" width="9.33203125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.75" customHeight="1">
      <c r="A2" s="3"/>
      <c r="B2" s="5"/>
      <c r="C2" s="336" t="s">
        <v>2</v>
      </c>
      <c r="D2" s="7"/>
      <c r="E2" s="7"/>
      <c r="F2" s="7"/>
      <c r="G2" s="8"/>
      <c r="H2" s="7"/>
      <c r="I2" s="7"/>
      <c r="J2" s="7"/>
      <c r="K2" s="7"/>
      <c r="L2" s="7"/>
      <c r="M2" s="8"/>
    </row>
    <row r="3" spans="1:26" ht="21.75" customHeight="1">
      <c r="A3" s="3"/>
      <c r="B3" s="5"/>
      <c r="C3" s="337"/>
      <c r="D3" s="7"/>
      <c r="E3" s="7"/>
      <c r="F3" s="7"/>
      <c r="G3" s="8"/>
      <c r="H3" s="7"/>
      <c r="I3" s="7"/>
      <c r="J3" s="7"/>
      <c r="K3" s="7"/>
      <c r="L3" s="7"/>
      <c r="M3" s="8"/>
    </row>
    <row r="4" spans="1:26" ht="21.75" customHeight="1">
      <c r="A4" s="3"/>
      <c r="B4" s="5"/>
      <c r="C4" s="7"/>
      <c r="D4" s="7"/>
      <c r="E4" s="7"/>
      <c r="F4" s="7"/>
      <c r="G4" s="8"/>
      <c r="H4" s="7"/>
      <c r="I4" s="7"/>
      <c r="J4" s="7"/>
      <c r="K4" s="7"/>
      <c r="L4" s="7"/>
      <c r="M4" s="8"/>
    </row>
    <row r="5" spans="1:26" ht="21.75" customHeight="1">
      <c r="A5" s="3"/>
      <c r="B5" s="9"/>
      <c r="C5" s="9"/>
      <c r="D5" s="9"/>
      <c r="E5" s="9"/>
      <c r="F5" s="9"/>
      <c r="G5" s="8"/>
      <c r="H5" s="11"/>
      <c r="I5" s="11"/>
      <c r="J5" s="11"/>
      <c r="K5" s="11"/>
      <c r="L5" s="11"/>
      <c r="M5" s="8"/>
    </row>
    <row r="6" spans="1:26" ht="21.75" customHeight="1">
      <c r="A6" s="3"/>
      <c r="B6" s="338" t="s">
        <v>10</v>
      </c>
      <c r="C6" s="334"/>
      <c r="D6" s="334"/>
      <c r="E6" s="334"/>
      <c r="F6" s="332"/>
      <c r="G6" s="8"/>
      <c r="H6" s="333" t="s">
        <v>19</v>
      </c>
      <c r="I6" s="334"/>
      <c r="J6" s="334"/>
      <c r="K6" s="334"/>
      <c r="L6" s="332"/>
      <c r="M6" s="8"/>
    </row>
    <row r="7" spans="1:26" ht="21.75" customHeight="1">
      <c r="A7" s="3"/>
      <c r="B7" s="14" t="s">
        <v>20</v>
      </c>
      <c r="C7" s="14" t="s">
        <v>7</v>
      </c>
      <c r="D7" s="339" t="s">
        <v>21</v>
      </c>
      <c r="E7" s="340"/>
      <c r="F7" s="14" t="s">
        <v>22</v>
      </c>
      <c r="G7" s="8"/>
      <c r="H7" s="15" t="s">
        <v>20</v>
      </c>
      <c r="I7" s="15" t="s">
        <v>7</v>
      </c>
      <c r="J7" s="331" t="s">
        <v>21</v>
      </c>
      <c r="K7" s="332"/>
      <c r="L7" s="15" t="s">
        <v>22</v>
      </c>
      <c r="M7" s="8"/>
    </row>
    <row r="8" spans="1:26" ht="21.75" customHeight="1">
      <c r="A8" s="3"/>
      <c r="B8" s="519" t="s">
        <v>23</v>
      </c>
      <c r="C8" s="520">
        <v>180</v>
      </c>
      <c r="D8" s="543">
        <v>500</v>
      </c>
      <c r="E8" s="544"/>
      <c r="F8" s="521">
        <f t="shared" ref="F8:F12" si="0">C8/D8</f>
        <v>0.36</v>
      </c>
      <c r="G8" s="8"/>
      <c r="H8" s="519" t="s">
        <v>24</v>
      </c>
      <c r="I8" s="532">
        <v>4800</v>
      </c>
      <c r="J8" s="533">
        <v>3</v>
      </c>
      <c r="K8" s="534" t="s">
        <v>25</v>
      </c>
      <c r="L8" s="535">
        <f t="shared" ref="L8:L11" si="1">I8/J8</f>
        <v>1600</v>
      </c>
      <c r="M8" s="16"/>
    </row>
    <row r="9" spans="1:26" ht="21.75" customHeight="1">
      <c r="A9" s="3"/>
      <c r="B9" s="519" t="s">
        <v>26</v>
      </c>
      <c r="C9" s="520">
        <v>100</v>
      </c>
      <c r="D9" s="545">
        <v>100</v>
      </c>
      <c r="E9" s="544" t="s">
        <v>27</v>
      </c>
      <c r="F9" s="521">
        <f t="shared" si="0"/>
        <v>1</v>
      </c>
      <c r="G9" s="8"/>
      <c r="H9" s="519" t="s">
        <v>28</v>
      </c>
      <c r="I9" s="526">
        <v>5300</v>
      </c>
      <c r="J9" s="536">
        <v>1</v>
      </c>
      <c r="K9" s="534" t="s">
        <v>25</v>
      </c>
      <c r="L9" s="525">
        <f t="shared" si="1"/>
        <v>5300</v>
      </c>
      <c r="M9" s="16"/>
    </row>
    <row r="10" spans="1:26" ht="21.75" customHeight="1">
      <c r="A10" s="3"/>
      <c r="B10" s="519" t="s">
        <v>32</v>
      </c>
      <c r="C10" s="520">
        <v>160</v>
      </c>
      <c r="D10" s="543">
        <v>300</v>
      </c>
      <c r="E10" s="544"/>
      <c r="F10" s="521">
        <f t="shared" si="0"/>
        <v>0.53333333333333333</v>
      </c>
      <c r="G10" s="8"/>
      <c r="H10" s="537" t="s">
        <v>33</v>
      </c>
      <c r="I10" s="532">
        <v>5000</v>
      </c>
      <c r="J10" s="536">
        <v>1</v>
      </c>
      <c r="K10" s="534" t="s">
        <v>25</v>
      </c>
      <c r="L10" s="525">
        <f t="shared" si="1"/>
        <v>5000</v>
      </c>
      <c r="M10" s="16"/>
    </row>
    <row r="11" spans="1:26" ht="21.75" customHeight="1">
      <c r="A11" s="3"/>
      <c r="B11" s="519" t="s">
        <v>34</v>
      </c>
      <c r="C11" s="520">
        <v>200</v>
      </c>
      <c r="D11" s="543">
        <v>100</v>
      </c>
      <c r="E11" s="544" t="s">
        <v>35</v>
      </c>
      <c r="F11" s="521">
        <f t="shared" si="0"/>
        <v>2</v>
      </c>
      <c r="G11" s="8"/>
      <c r="H11" s="537" t="s">
        <v>36</v>
      </c>
      <c r="I11" s="532">
        <v>15000</v>
      </c>
      <c r="J11" s="536">
        <v>1</v>
      </c>
      <c r="K11" s="534" t="s">
        <v>25</v>
      </c>
      <c r="L11" s="525">
        <f t="shared" si="1"/>
        <v>15000</v>
      </c>
      <c r="M11" s="16"/>
    </row>
    <row r="12" spans="1:26" ht="21.75" customHeight="1">
      <c r="A12" s="3"/>
      <c r="B12" s="519" t="s">
        <v>37</v>
      </c>
      <c r="C12" s="520">
        <v>640</v>
      </c>
      <c r="D12" s="545">
        <v>56.7</v>
      </c>
      <c r="E12" s="544" t="s">
        <v>39</v>
      </c>
      <c r="F12" s="521">
        <f t="shared" si="0"/>
        <v>11.28747795414462</v>
      </c>
      <c r="G12" s="8"/>
      <c r="H12" s="20" t="s">
        <v>40</v>
      </c>
      <c r="I12" s="526">
        <f>SUM(I8:I11)</f>
        <v>30100</v>
      </c>
      <c r="J12" s="21"/>
      <c r="K12" s="22"/>
      <c r="L12" s="23"/>
      <c r="M12" s="8"/>
    </row>
    <row r="13" spans="1:26" ht="21.75" customHeight="1">
      <c r="A13" s="3"/>
      <c r="B13" s="335" t="s">
        <v>41</v>
      </c>
      <c r="C13" s="334"/>
      <c r="D13" s="542"/>
      <c r="E13" s="542"/>
      <c r="F13" s="332"/>
      <c r="G13" s="8"/>
      <c r="H13" s="16"/>
      <c r="I13" s="24"/>
      <c r="J13" s="25"/>
      <c r="K13" s="26"/>
      <c r="L13" s="16"/>
      <c r="M13" s="8"/>
    </row>
    <row r="14" spans="1:26" ht="21.75" customHeight="1">
      <c r="A14" s="3"/>
      <c r="B14" s="523" t="s">
        <v>42</v>
      </c>
      <c r="C14" s="547">
        <v>2200</v>
      </c>
      <c r="D14" s="523">
        <v>10800</v>
      </c>
      <c r="E14" s="523" t="s">
        <v>39</v>
      </c>
      <c r="F14" s="547">
        <f t="shared" ref="F14:F15" si="2">(C14/D14)</f>
        <v>0.20370370370370369</v>
      </c>
      <c r="G14" s="8"/>
      <c r="H14" s="333" t="s">
        <v>43</v>
      </c>
      <c r="I14" s="334"/>
      <c r="J14" s="334"/>
      <c r="K14" s="334"/>
      <c r="L14" s="332"/>
      <c r="M14" s="8"/>
    </row>
    <row r="15" spans="1:26" ht="21.75" customHeight="1">
      <c r="A15" s="3"/>
      <c r="B15" s="524" t="s">
        <v>44</v>
      </c>
      <c r="C15" s="548">
        <v>2000</v>
      </c>
      <c r="D15" s="523">
        <v>10800</v>
      </c>
      <c r="E15" s="523" t="s">
        <v>39</v>
      </c>
      <c r="F15" s="547">
        <f t="shared" si="2"/>
        <v>0.18518518518518517</v>
      </c>
      <c r="G15" s="28"/>
      <c r="H15" s="15" t="s">
        <v>20</v>
      </c>
      <c r="I15" s="15" t="s">
        <v>7</v>
      </c>
      <c r="J15" s="331" t="s">
        <v>21</v>
      </c>
      <c r="K15" s="332"/>
      <c r="L15" s="15" t="s">
        <v>22</v>
      </c>
      <c r="M15" s="25"/>
    </row>
    <row r="16" spans="1:26" ht="21.75" customHeight="1">
      <c r="A16" s="3"/>
      <c r="B16" s="29" t="s">
        <v>46</v>
      </c>
      <c r="C16" s="549">
        <f>SUM(C6:C12,C14:C15)</f>
        <v>5480</v>
      </c>
      <c r="D16" s="31"/>
      <c r="E16" s="37"/>
      <c r="F16" s="38"/>
      <c r="G16" s="8"/>
      <c r="H16" s="538" t="s">
        <v>299</v>
      </c>
      <c r="I16" s="532">
        <v>960</v>
      </c>
      <c r="J16" s="539">
        <v>2</v>
      </c>
      <c r="K16" s="539" t="s">
        <v>25</v>
      </c>
      <c r="L16" s="525">
        <f t="shared" ref="L16:L17" si="3">(I16/J16)</f>
        <v>480</v>
      </c>
      <c r="M16" s="25"/>
    </row>
    <row r="17" spans="1:13" ht="21.75" customHeight="1">
      <c r="A17" s="3"/>
      <c r="B17" s="37"/>
      <c r="C17" s="37"/>
      <c r="D17" s="39"/>
      <c r="E17" s="41"/>
      <c r="F17" s="42"/>
      <c r="G17" s="8"/>
      <c r="H17" s="540" t="s">
        <v>298</v>
      </c>
      <c r="I17" s="532">
        <v>4500</v>
      </c>
      <c r="J17" s="533">
        <v>3</v>
      </c>
      <c r="K17" s="534" t="s">
        <v>25</v>
      </c>
      <c r="L17" s="535">
        <f t="shared" si="3"/>
        <v>1500</v>
      </c>
      <c r="M17" s="25"/>
    </row>
    <row r="18" spans="1:13" ht="21.75" customHeight="1">
      <c r="A18" s="3"/>
      <c r="B18" s="46"/>
      <c r="C18" s="38"/>
      <c r="D18" s="42"/>
      <c r="E18" s="42"/>
      <c r="F18" s="42"/>
      <c r="G18" s="8"/>
      <c r="H18" s="48" t="s">
        <v>77</v>
      </c>
      <c r="I18" s="541">
        <f>SUM(I16:I17)</f>
        <v>5460</v>
      </c>
      <c r="J18" s="25"/>
      <c r="K18" s="25"/>
      <c r="L18" s="25"/>
      <c r="M18" s="25"/>
    </row>
    <row r="19" spans="1:13" ht="21.75" customHeight="1">
      <c r="A19" s="3"/>
      <c r="B19" s="8"/>
      <c r="C19" s="8"/>
      <c r="D19" s="8"/>
      <c r="E19" s="51"/>
      <c r="F19" s="8"/>
      <c r="G19" s="8"/>
      <c r="H19" s="16"/>
      <c r="I19" s="16"/>
      <c r="J19" s="16"/>
      <c r="K19" s="16"/>
      <c r="L19" s="16"/>
      <c r="M19" s="25"/>
    </row>
    <row r="20" spans="1:13" ht="21.75" customHeight="1">
      <c r="A20" s="3"/>
      <c r="B20" s="8"/>
      <c r="C20" s="8"/>
      <c r="D20" s="8"/>
      <c r="E20" s="8"/>
      <c r="F20" s="8"/>
      <c r="G20" s="8"/>
      <c r="H20" s="333" t="s">
        <v>80</v>
      </c>
      <c r="I20" s="334"/>
      <c r="J20" s="334"/>
      <c r="K20" s="334"/>
      <c r="L20" s="332"/>
      <c r="M20" s="25"/>
    </row>
    <row r="21" spans="1:13" ht="21.75" customHeight="1">
      <c r="A21" s="3"/>
      <c r="B21" s="333" t="s">
        <v>81</v>
      </c>
      <c r="C21" s="334"/>
      <c r="D21" s="334"/>
      <c r="E21" s="334"/>
      <c r="F21" s="332"/>
      <c r="G21" s="8"/>
      <c r="H21" s="15" t="s">
        <v>20</v>
      </c>
      <c r="I21" s="15" t="s">
        <v>7</v>
      </c>
      <c r="J21" s="331" t="s">
        <v>21</v>
      </c>
      <c r="K21" s="332"/>
      <c r="L21" s="15" t="s">
        <v>83</v>
      </c>
      <c r="M21" s="25"/>
    </row>
    <row r="22" spans="1:13" ht="21.75" customHeight="1">
      <c r="A22" s="3"/>
      <c r="B22" s="15" t="s">
        <v>20</v>
      </c>
      <c r="C22" s="15" t="s">
        <v>7</v>
      </c>
      <c r="D22" s="331" t="s">
        <v>21</v>
      </c>
      <c r="E22" s="332"/>
      <c r="F22" s="15" t="s">
        <v>22</v>
      </c>
      <c r="G22" s="8"/>
      <c r="H22" s="519" t="s">
        <v>85</v>
      </c>
      <c r="I22" s="532">
        <v>4760</v>
      </c>
      <c r="J22" s="535">
        <v>25</v>
      </c>
      <c r="K22" s="526" t="s">
        <v>25</v>
      </c>
      <c r="L22" s="526">
        <f t="shared" ref="L22:L26" si="4">I22/J22</f>
        <v>190.4</v>
      </c>
      <c r="M22" s="25"/>
    </row>
    <row r="23" spans="1:13" ht="21.75" customHeight="1">
      <c r="A23" s="3"/>
      <c r="B23" s="519" t="s">
        <v>86</v>
      </c>
      <c r="C23" s="526">
        <v>2500</v>
      </c>
      <c r="D23" s="527"/>
      <c r="E23" s="527"/>
      <c r="F23" s="526"/>
      <c r="G23" s="8"/>
      <c r="H23" s="519" t="s">
        <v>89</v>
      </c>
      <c r="I23" s="532">
        <v>1560</v>
      </c>
      <c r="J23" s="535">
        <v>4</v>
      </c>
      <c r="K23" s="526" t="s">
        <v>25</v>
      </c>
      <c r="L23" s="526">
        <f t="shared" si="4"/>
        <v>390</v>
      </c>
      <c r="M23" s="25"/>
    </row>
    <row r="24" spans="1:13" ht="21.75" customHeight="1">
      <c r="A24" s="3"/>
      <c r="B24" s="519" t="s">
        <v>90</v>
      </c>
      <c r="C24" s="528">
        <v>1900</v>
      </c>
      <c r="D24" s="522">
        <v>10000</v>
      </c>
      <c r="E24" s="546" t="s">
        <v>92</v>
      </c>
      <c r="F24" s="529">
        <f>C24/D24</f>
        <v>0.19</v>
      </c>
      <c r="G24" s="16"/>
      <c r="H24" s="519" t="s">
        <v>93</v>
      </c>
      <c r="I24" s="532">
        <v>680</v>
      </c>
      <c r="J24" s="535">
        <v>4</v>
      </c>
      <c r="K24" s="526" t="s">
        <v>25</v>
      </c>
      <c r="L24" s="526">
        <f t="shared" si="4"/>
        <v>170</v>
      </c>
      <c r="M24" s="25"/>
    </row>
    <row r="25" spans="1:13" ht="21.75" customHeight="1">
      <c r="A25" s="3"/>
      <c r="B25" s="519" t="s">
        <v>94</v>
      </c>
      <c r="C25" s="526">
        <v>750</v>
      </c>
      <c r="D25" s="530"/>
      <c r="E25" s="530"/>
      <c r="F25" s="526"/>
      <c r="G25" s="25"/>
      <c r="H25" s="519" t="s">
        <v>97</v>
      </c>
      <c r="I25" s="532">
        <v>950</v>
      </c>
      <c r="J25" s="535">
        <v>10</v>
      </c>
      <c r="K25" s="526" t="s">
        <v>25</v>
      </c>
      <c r="L25" s="526">
        <f t="shared" si="4"/>
        <v>95</v>
      </c>
      <c r="M25" s="25"/>
    </row>
    <row r="26" spans="1:13" ht="21.75" customHeight="1">
      <c r="A26" s="3"/>
      <c r="B26" s="29" t="s">
        <v>99</v>
      </c>
      <c r="C26" s="531">
        <f>SUM(C23:C25)</f>
        <v>5150</v>
      </c>
      <c r="D26" s="8"/>
      <c r="E26" s="8"/>
      <c r="F26" s="8"/>
      <c r="G26" s="25"/>
      <c r="H26" s="519" t="s">
        <v>101</v>
      </c>
      <c r="I26" s="532">
        <v>800</v>
      </c>
      <c r="J26" s="535">
        <v>5</v>
      </c>
      <c r="K26" s="526" t="s">
        <v>102</v>
      </c>
      <c r="L26" s="526">
        <f t="shared" si="4"/>
        <v>160</v>
      </c>
      <c r="M26" s="25"/>
    </row>
    <row r="27" spans="1:13" ht="21.75" customHeight="1">
      <c r="A27" s="2"/>
      <c r="B27" s="8"/>
      <c r="C27" s="8"/>
      <c r="D27" s="8"/>
      <c r="E27" s="8"/>
      <c r="F27" s="8"/>
      <c r="G27" s="24"/>
      <c r="H27" s="63" t="s">
        <v>105</v>
      </c>
      <c r="I27" s="541">
        <f>SUM(I22:I26)</f>
        <v>8750</v>
      </c>
      <c r="J27" s="25"/>
      <c r="K27" s="25"/>
      <c r="L27" s="25"/>
      <c r="M27" s="25"/>
    </row>
    <row r="28" spans="1:13" ht="21.75" customHeight="1">
      <c r="A28" s="2"/>
      <c r="B28" s="3"/>
      <c r="C28" s="3"/>
      <c r="D28" s="3"/>
      <c r="E28" s="3"/>
      <c r="F28" s="3"/>
      <c r="G28" s="65"/>
      <c r="H28" s="2"/>
      <c r="I28" s="2"/>
      <c r="J28" s="2"/>
      <c r="K28" s="2"/>
      <c r="L28" s="2"/>
      <c r="M28" s="2"/>
    </row>
    <row r="29" spans="1:13" ht="21.75" customHeight="1">
      <c r="A29" s="2"/>
      <c r="B29" s="2"/>
      <c r="C29" s="2"/>
      <c r="D29" s="2"/>
      <c r="E29" s="2"/>
      <c r="F29" s="2"/>
      <c r="G29" s="2"/>
      <c r="H29" s="67" t="s">
        <v>108</v>
      </c>
      <c r="I29" s="68">
        <f>SUM(C18+C26+I12+I18+I27)</f>
        <v>49460</v>
      </c>
      <c r="J29" s="2"/>
      <c r="K29" s="2"/>
      <c r="L29" s="2"/>
      <c r="M29" s="2"/>
    </row>
    <row r="30" spans="1:13" ht="15.75" customHeight="1">
      <c r="A30" s="2"/>
      <c r="B30" s="3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</row>
    <row r="31" spans="1:13" ht="15.75" customHeight="1">
      <c r="A31" s="2"/>
      <c r="B31" s="2"/>
      <c r="C31" s="2"/>
      <c r="D31" s="2"/>
      <c r="E31" s="2"/>
      <c r="F31" s="2"/>
      <c r="G31" s="69"/>
      <c r="H31" s="2"/>
      <c r="I31" s="2"/>
      <c r="J31" s="2"/>
      <c r="K31" s="2"/>
      <c r="L31" s="2"/>
      <c r="M31" s="2"/>
    </row>
    <row r="32" spans="1:13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26" ht="15.75" customHeight="1">
      <c r="F35" s="2"/>
      <c r="G35" s="2"/>
    </row>
    <row r="36" spans="1:26" ht="15.75" customHeight="1">
      <c r="A36" s="2"/>
      <c r="F36" s="2"/>
      <c r="G36" s="2"/>
      <c r="H36" s="2"/>
      <c r="I36" s="2"/>
      <c r="J36" s="2"/>
      <c r="K36" s="2"/>
      <c r="L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F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B38" s="2"/>
      <c r="C38" s="2"/>
      <c r="D38" s="2"/>
      <c r="E38" s="2"/>
      <c r="F38" s="2"/>
      <c r="G38" s="2"/>
      <c r="M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F40" s="2"/>
      <c r="G40" s="2"/>
    </row>
    <row r="41" spans="1:26" ht="15.75" customHeight="1">
      <c r="A41" s="2"/>
      <c r="B41" s="73"/>
      <c r="C41" s="73"/>
      <c r="D41" s="73"/>
      <c r="E41" s="73"/>
      <c r="F41" s="73"/>
      <c r="G41" s="2"/>
      <c r="M41" s="2"/>
    </row>
    <row r="42" spans="1:26" ht="15.75" customHeight="1">
      <c r="A42" s="2"/>
      <c r="B42" s="75"/>
      <c r="C42" s="2"/>
      <c r="D42" s="76"/>
      <c r="E42" s="2"/>
      <c r="F42" s="2"/>
    </row>
    <row r="43" spans="1:26" ht="15.75" customHeight="1">
      <c r="B43" s="75"/>
      <c r="C43" s="76"/>
      <c r="D43" s="2"/>
      <c r="E43" s="2"/>
      <c r="F43" s="2"/>
    </row>
    <row r="44" spans="1:26" ht="15.75" customHeight="1">
      <c r="B44" s="2"/>
      <c r="C44" s="2"/>
      <c r="D44" s="2"/>
      <c r="E44" s="2"/>
      <c r="F44" s="2"/>
    </row>
    <row r="45" spans="1:26" ht="15.75" customHeight="1">
      <c r="F45" s="2"/>
    </row>
    <row r="46" spans="1:26" ht="15.75" customHeight="1">
      <c r="F46" s="2"/>
    </row>
    <row r="47" spans="1:26" ht="15.75" customHeight="1">
      <c r="F47" s="2"/>
    </row>
    <row r="48" spans="1:26" ht="15.75" customHeight="1">
      <c r="F48" s="2"/>
    </row>
    <row r="49" spans="4:6" ht="15.75" customHeight="1">
      <c r="F49" s="2"/>
    </row>
    <row r="50" spans="4:6" ht="15.75" customHeight="1">
      <c r="F50" s="2"/>
    </row>
    <row r="51" spans="4:6" ht="15.75" customHeight="1">
      <c r="F51" s="2"/>
    </row>
    <row r="52" spans="4:6" ht="15.75" customHeight="1">
      <c r="F52" s="2"/>
    </row>
    <row r="53" spans="4:6" ht="15.75" customHeight="1">
      <c r="F53" s="2"/>
    </row>
    <row r="54" spans="4:6" ht="15.75" customHeight="1">
      <c r="D54" s="78"/>
      <c r="F54" s="2"/>
    </row>
    <row r="55" spans="4:6" ht="15.75" customHeight="1">
      <c r="F55" s="2"/>
    </row>
    <row r="56" spans="4:6" ht="15.75" customHeight="1">
      <c r="F56" s="2"/>
    </row>
    <row r="57" spans="4:6" ht="15.75" customHeight="1">
      <c r="F57" s="2"/>
    </row>
    <row r="58" spans="4:6" ht="15.75" customHeight="1">
      <c r="F58" s="2"/>
    </row>
    <row r="59" spans="4:6" ht="15.75" customHeight="1">
      <c r="F59" s="2"/>
    </row>
    <row r="60" spans="4:6" ht="15.75" customHeight="1">
      <c r="F60" s="2"/>
    </row>
    <row r="61" spans="4:6" ht="15.75" customHeight="1">
      <c r="F61" s="2"/>
    </row>
    <row r="62" spans="4:6" ht="15.75" customHeight="1">
      <c r="F62" s="2"/>
    </row>
    <row r="63" spans="4:6" ht="15.75" customHeight="1">
      <c r="F63" s="2"/>
    </row>
    <row r="64" spans="4:6" ht="15.75" customHeight="1">
      <c r="F64" s="2"/>
    </row>
    <row r="65" spans="6:6" ht="15.75" customHeight="1">
      <c r="F65" s="2"/>
    </row>
    <row r="66" spans="6:6" ht="15.75" customHeight="1">
      <c r="F66" s="2"/>
    </row>
    <row r="67" spans="6:6" ht="15.75" customHeight="1">
      <c r="F67" s="2"/>
    </row>
    <row r="68" spans="6:6" ht="15.75" customHeight="1">
      <c r="F68" s="2"/>
    </row>
    <row r="69" spans="6:6" ht="15.75" customHeight="1">
      <c r="F69" s="2"/>
    </row>
    <row r="70" spans="6:6" ht="15.75" customHeight="1">
      <c r="F70" s="2"/>
    </row>
    <row r="71" spans="6:6" ht="15.75" customHeight="1">
      <c r="F71" s="2"/>
    </row>
    <row r="72" spans="6:6" ht="15.75" customHeight="1">
      <c r="F72" s="2"/>
    </row>
    <row r="73" spans="6:6" ht="15.75" customHeight="1">
      <c r="F73" s="2"/>
    </row>
    <row r="74" spans="6:6" ht="15.75" customHeight="1">
      <c r="F74" s="2"/>
    </row>
    <row r="75" spans="6:6" ht="15.75" customHeight="1">
      <c r="F75" s="2"/>
    </row>
    <row r="76" spans="6:6" ht="15.75" customHeight="1">
      <c r="F76" s="2"/>
    </row>
    <row r="77" spans="6:6" ht="15.75" customHeight="1">
      <c r="F77" s="2"/>
    </row>
    <row r="78" spans="6:6" ht="15.75" customHeight="1">
      <c r="F78" s="2"/>
    </row>
    <row r="79" spans="6:6" ht="15.75" customHeight="1">
      <c r="F79" s="2"/>
    </row>
    <row r="80" spans="6:6" ht="15.75" customHeight="1">
      <c r="F80" s="2"/>
    </row>
    <row r="81" spans="6:6" ht="15.75" customHeight="1">
      <c r="F81" s="2"/>
    </row>
    <row r="82" spans="6:6" ht="15.75" customHeight="1">
      <c r="F82" s="2"/>
    </row>
    <row r="83" spans="6:6" ht="15.75" customHeight="1">
      <c r="F83" s="2"/>
    </row>
    <row r="84" spans="6:6" ht="15.75" customHeight="1">
      <c r="F84" s="2"/>
    </row>
    <row r="85" spans="6:6" ht="15.75" customHeight="1">
      <c r="F85" s="2"/>
    </row>
    <row r="86" spans="6:6" ht="15.75" customHeight="1">
      <c r="F86" s="2"/>
    </row>
    <row r="87" spans="6:6" ht="15.75" customHeight="1">
      <c r="F87" s="2"/>
    </row>
    <row r="88" spans="6:6" ht="15.75" customHeight="1">
      <c r="F88" s="2"/>
    </row>
    <row r="89" spans="6:6" ht="15.75" customHeight="1">
      <c r="F89" s="2"/>
    </row>
    <row r="90" spans="6:6" ht="15.75" customHeight="1">
      <c r="F90" s="2"/>
    </row>
    <row r="91" spans="6:6" ht="15.75" customHeight="1">
      <c r="F91" s="2"/>
    </row>
    <row r="92" spans="6:6" ht="15.75" customHeight="1">
      <c r="F92" s="2"/>
    </row>
    <row r="93" spans="6:6" ht="15.75" customHeight="1">
      <c r="F93" s="2"/>
    </row>
    <row r="94" spans="6:6" ht="15.75" customHeight="1">
      <c r="F94" s="2"/>
    </row>
    <row r="95" spans="6:6" ht="15.75" customHeight="1">
      <c r="F95" s="2"/>
    </row>
    <row r="96" spans="6:6" ht="15.75" customHeight="1">
      <c r="F96" s="2"/>
    </row>
    <row r="97" spans="6:6" ht="15.75" customHeight="1">
      <c r="F97" s="2"/>
    </row>
    <row r="98" spans="6:6" ht="15.75" customHeight="1">
      <c r="F98" s="2"/>
    </row>
    <row r="99" spans="6:6" ht="15.75" customHeight="1">
      <c r="F99" s="2"/>
    </row>
    <row r="100" spans="6:6" ht="15.75" customHeight="1">
      <c r="F100" s="2"/>
    </row>
    <row r="101" spans="6:6" ht="15.75" customHeight="1">
      <c r="F101" s="2"/>
    </row>
    <row r="102" spans="6:6" ht="15.75" customHeight="1">
      <c r="F102" s="2"/>
    </row>
    <row r="103" spans="6:6" ht="15.75" customHeight="1">
      <c r="F103" s="2"/>
    </row>
    <row r="104" spans="6:6" ht="15.75" customHeight="1">
      <c r="F104" s="2"/>
    </row>
    <row r="105" spans="6:6" ht="15.75" customHeight="1">
      <c r="F105" s="2"/>
    </row>
    <row r="106" spans="6:6" ht="15.75" customHeight="1">
      <c r="F106" s="2"/>
    </row>
    <row r="107" spans="6:6" ht="15.75" customHeight="1">
      <c r="F107" s="2"/>
    </row>
    <row r="108" spans="6:6" ht="15.75" customHeight="1">
      <c r="F108" s="2"/>
    </row>
    <row r="109" spans="6:6" ht="15.75" customHeight="1">
      <c r="F109" s="2"/>
    </row>
    <row r="110" spans="6:6" ht="15.75" customHeight="1">
      <c r="F110" s="2"/>
    </row>
    <row r="111" spans="6:6" ht="15.75" customHeight="1">
      <c r="F111" s="2"/>
    </row>
    <row r="112" spans="6:6" ht="15.75" customHeight="1">
      <c r="F112" s="2"/>
    </row>
    <row r="113" spans="6:6" ht="15.75" customHeight="1">
      <c r="F113" s="2"/>
    </row>
    <row r="114" spans="6:6" ht="15.75" customHeight="1">
      <c r="F114" s="2"/>
    </row>
    <row r="115" spans="6:6" ht="15.75" customHeight="1">
      <c r="F115" s="2"/>
    </row>
    <row r="116" spans="6:6" ht="15.75" customHeight="1">
      <c r="F116" s="2"/>
    </row>
    <row r="117" spans="6:6" ht="15.75" customHeight="1">
      <c r="F117" s="2"/>
    </row>
    <row r="118" spans="6:6" ht="15.75" customHeight="1">
      <c r="F118" s="2"/>
    </row>
    <row r="119" spans="6:6" ht="15.75" customHeight="1">
      <c r="F119" s="2"/>
    </row>
    <row r="120" spans="6:6" ht="15.75" customHeight="1">
      <c r="F120" s="2"/>
    </row>
    <row r="121" spans="6:6" ht="15.75" customHeight="1">
      <c r="F121" s="2"/>
    </row>
    <row r="122" spans="6:6" ht="15.75" customHeight="1">
      <c r="F122" s="2"/>
    </row>
    <row r="123" spans="6:6" ht="15.75" customHeight="1">
      <c r="F123" s="2"/>
    </row>
    <row r="124" spans="6:6" ht="15.75" customHeight="1">
      <c r="F124" s="2"/>
    </row>
    <row r="125" spans="6:6" ht="15.75" customHeight="1">
      <c r="F125" s="2"/>
    </row>
    <row r="126" spans="6:6" ht="15.75" customHeight="1">
      <c r="F126" s="2"/>
    </row>
    <row r="127" spans="6:6" ht="15.75" customHeight="1">
      <c r="F127" s="2"/>
    </row>
    <row r="128" spans="6:6" ht="15.75" customHeight="1">
      <c r="F128" s="2"/>
    </row>
    <row r="129" spans="6:6" ht="15.75" customHeight="1">
      <c r="F129" s="2"/>
    </row>
    <row r="130" spans="6:6" ht="15.75" customHeight="1">
      <c r="F130" s="2"/>
    </row>
    <row r="131" spans="6:6" ht="15.75" customHeight="1">
      <c r="F131" s="2"/>
    </row>
    <row r="132" spans="6:6" ht="15.75" customHeight="1">
      <c r="F132" s="2"/>
    </row>
    <row r="133" spans="6:6" ht="15.75" customHeight="1">
      <c r="F133" s="2"/>
    </row>
    <row r="134" spans="6:6" ht="15.75" customHeight="1">
      <c r="F134" s="2"/>
    </row>
    <row r="135" spans="6:6" ht="15.75" customHeight="1">
      <c r="F135" s="2"/>
    </row>
    <row r="136" spans="6:6" ht="15.75" customHeight="1">
      <c r="F136" s="2"/>
    </row>
    <row r="137" spans="6:6" ht="15.75" customHeight="1">
      <c r="F137" s="2"/>
    </row>
    <row r="138" spans="6:6" ht="15.75" customHeight="1">
      <c r="F138" s="2"/>
    </row>
    <row r="139" spans="6:6" ht="15.75" customHeight="1">
      <c r="F139" s="2"/>
    </row>
    <row r="140" spans="6:6" ht="15.75" customHeight="1">
      <c r="F140" s="2"/>
    </row>
    <row r="141" spans="6:6" ht="15.75" customHeight="1">
      <c r="F141" s="2"/>
    </row>
    <row r="142" spans="6:6" ht="15.75" customHeight="1">
      <c r="F142" s="2"/>
    </row>
    <row r="143" spans="6:6" ht="15.75" customHeight="1">
      <c r="F143" s="2"/>
    </row>
    <row r="144" spans="6:6" ht="15.75" customHeight="1">
      <c r="F144" s="2"/>
    </row>
    <row r="145" spans="6:6" ht="15.75" customHeight="1">
      <c r="F145" s="2"/>
    </row>
    <row r="146" spans="6:6" ht="15.75" customHeight="1">
      <c r="F146" s="2"/>
    </row>
    <row r="147" spans="6:6" ht="15.75" customHeight="1">
      <c r="F147" s="2"/>
    </row>
    <row r="148" spans="6:6" ht="15.75" customHeight="1">
      <c r="F148" s="2"/>
    </row>
    <row r="149" spans="6:6" ht="15.75" customHeight="1">
      <c r="F149" s="2"/>
    </row>
    <row r="150" spans="6:6" ht="15.75" customHeight="1">
      <c r="F150" s="2"/>
    </row>
    <row r="151" spans="6:6" ht="15.75" customHeight="1">
      <c r="F151" s="2"/>
    </row>
    <row r="152" spans="6:6" ht="15.75" customHeight="1">
      <c r="F152" s="2"/>
    </row>
    <row r="153" spans="6:6" ht="15.75" customHeight="1">
      <c r="F153" s="2"/>
    </row>
    <row r="154" spans="6:6" ht="15.75" customHeight="1">
      <c r="F154" s="2"/>
    </row>
    <row r="155" spans="6:6" ht="15.75" customHeight="1">
      <c r="F155" s="2"/>
    </row>
    <row r="156" spans="6:6" ht="15.75" customHeight="1">
      <c r="F156" s="2"/>
    </row>
    <row r="157" spans="6:6" ht="15.75" customHeight="1">
      <c r="F157" s="2"/>
    </row>
    <row r="158" spans="6:6" ht="15.75" customHeight="1">
      <c r="F158" s="2"/>
    </row>
    <row r="159" spans="6:6" ht="15.75" customHeight="1">
      <c r="F159" s="2"/>
    </row>
    <row r="160" spans="6:6" ht="15.75" customHeight="1">
      <c r="F160" s="2"/>
    </row>
    <row r="161" spans="6:6" ht="15.75" customHeight="1">
      <c r="F161" s="2"/>
    </row>
    <row r="162" spans="6:6" ht="15.75" customHeight="1">
      <c r="F162" s="2"/>
    </row>
    <row r="163" spans="6:6" ht="15.75" customHeight="1">
      <c r="F163" s="2"/>
    </row>
    <row r="164" spans="6:6" ht="15.75" customHeight="1">
      <c r="F164" s="2"/>
    </row>
    <row r="165" spans="6:6" ht="15.75" customHeight="1">
      <c r="F165" s="2"/>
    </row>
    <row r="166" spans="6:6" ht="15.75" customHeight="1">
      <c r="F166" s="2"/>
    </row>
    <row r="167" spans="6:6" ht="15.75" customHeight="1">
      <c r="F167" s="2"/>
    </row>
    <row r="168" spans="6:6" ht="15.75" customHeight="1">
      <c r="F168" s="2"/>
    </row>
    <row r="169" spans="6:6" ht="15.75" customHeight="1">
      <c r="F169" s="2"/>
    </row>
    <row r="170" spans="6:6" ht="15.75" customHeight="1">
      <c r="F170" s="2"/>
    </row>
    <row r="171" spans="6:6" ht="15.75" customHeight="1">
      <c r="F171" s="2"/>
    </row>
    <row r="172" spans="6:6" ht="15.75" customHeight="1">
      <c r="F172" s="2"/>
    </row>
    <row r="173" spans="6:6" ht="15.75" customHeight="1">
      <c r="F173" s="2"/>
    </row>
    <row r="174" spans="6:6" ht="15.75" customHeight="1">
      <c r="F174" s="2"/>
    </row>
    <row r="175" spans="6:6" ht="15.75" customHeight="1">
      <c r="F175" s="2"/>
    </row>
    <row r="176" spans="6:6" ht="15.75" customHeight="1">
      <c r="F176" s="2"/>
    </row>
    <row r="177" spans="6:6" ht="15.75" customHeight="1">
      <c r="F177" s="2"/>
    </row>
    <row r="178" spans="6:6" ht="15.75" customHeight="1">
      <c r="F178" s="2"/>
    </row>
    <row r="179" spans="6:6" ht="15.75" customHeight="1">
      <c r="F179" s="2"/>
    </row>
    <row r="180" spans="6:6" ht="15.75" customHeight="1">
      <c r="F180" s="2"/>
    </row>
    <row r="181" spans="6:6" ht="15.75" customHeight="1">
      <c r="F181" s="2"/>
    </row>
    <row r="182" spans="6:6" ht="15.75" customHeight="1">
      <c r="F182" s="2"/>
    </row>
    <row r="183" spans="6:6" ht="15.75" customHeight="1">
      <c r="F183" s="2"/>
    </row>
    <row r="184" spans="6:6" ht="15.75" customHeight="1">
      <c r="F184" s="2"/>
    </row>
    <row r="185" spans="6:6" ht="15.75" customHeight="1">
      <c r="F185" s="2"/>
    </row>
    <row r="186" spans="6:6" ht="15.75" customHeight="1">
      <c r="F186" s="2"/>
    </row>
    <row r="187" spans="6:6" ht="15.75" customHeight="1">
      <c r="F187" s="2"/>
    </row>
    <row r="188" spans="6:6" ht="15.75" customHeight="1">
      <c r="F188" s="2"/>
    </row>
    <row r="189" spans="6:6" ht="15.75" customHeight="1">
      <c r="F189" s="2"/>
    </row>
    <row r="190" spans="6:6" ht="15.75" customHeight="1">
      <c r="F190" s="2"/>
    </row>
    <row r="191" spans="6:6" ht="15.75" customHeight="1">
      <c r="F191" s="2"/>
    </row>
    <row r="192" spans="6:6" ht="15.75" customHeight="1">
      <c r="F192" s="2"/>
    </row>
    <row r="193" spans="6:6" ht="15.75" customHeight="1">
      <c r="F193" s="2"/>
    </row>
    <row r="194" spans="6:6" ht="15.75" customHeight="1">
      <c r="F194" s="2"/>
    </row>
    <row r="195" spans="6:6" ht="15.75" customHeight="1">
      <c r="F195" s="2"/>
    </row>
    <row r="196" spans="6:6" ht="15.75" customHeight="1">
      <c r="F196" s="2"/>
    </row>
    <row r="197" spans="6:6" ht="15.75" customHeight="1">
      <c r="F197" s="2"/>
    </row>
    <row r="198" spans="6:6" ht="15.75" customHeight="1">
      <c r="F198" s="2"/>
    </row>
    <row r="199" spans="6:6" ht="15.75" customHeight="1">
      <c r="F199" s="2"/>
    </row>
    <row r="200" spans="6:6" ht="15.75" customHeight="1">
      <c r="F200" s="2"/>
    </row>
    <row r="201" spans="6:6" ht="15.75" customHeight="1">
      <c r="F201" s="2"/>
    </row>
    <row r="202" spans="6:6" ht="15.75" customHeight="1">
      <c r="F202" s="2"/>
    </row>
    <row r="203" spans="6:6" ht="15.75" customHeight="1">
      <c r="F203" s="2"/>
    </row>
    <row r="204" spans="6:6" ht="15.75" customHeight="1">
      <c r="F204" s="2"/>
    </row>
    <row r="205" spans="6:6" ht="15.75" customHeight="1">
      <c r="F205" s="2"/>
    </row>
    <row r="206" spans="6:6" ht="15.75" customHeight="1">
      <c r="F206" s="2"/>
    </row>
    <row r="207" spans="6:6" ht="15.75" customHeight="1">
      <c r="F207" s="2"/>
    </row>
    <row r="208" spans="6:6" ht="15.75" customHeight="1">
      <c r="F208" s="2"/>
    </row>
    <row r="209" spans="6:6" ht="15.75" customHeight="1">
      <c r="F209" s="2"/>
    </row>
    <row r="210" spans="6:6" ht="15.75" customHeight="1">
      <c r="F210" s="2"/>
    </row>
    <row r="211" spans="6:6" ht="15.75" customHeight="1">
      <c r="F211" s="2"/>
    </row>
    <row r="212" spans="6:6" ht="15.75" customHeight="1">
      <c r="F212" s="2"/>
    </row>
    <row r="213" spans="6:6" ht="15.75" customHeight="1">
      <c r="F213" s="2"/>
    </row>
    <row r="214" spans="6:6" ht="15.75" customHeight="1">
      <c r="F214" s="2"/>
    </row>
    <row r="215" spans="6:6" ht="15.75" customHeight="1">
      <c r="F215" s="2"/>
    </row>
    <row r="216" spans="6:6" ht="15.75" customHeight="1">
      <c r="F216" s="2"/>
    </row>
    <row r="217" spans="6:6" ht="15.75" customHeight="1">
      <c r="F217" s="2"/>
    </row>
    <row r="218" spans="6:6" ht="15.75" customHeight="1">
      <c r="F218" s="2"/>
    </row>
    <row r="219" spans="6:6" ht="15.75" customHeight="1">
      <c r="F219" s="2"/>
    </row>
    <row r="220" spans="6:6" ht="15.75" customHeight="1">
      <c r="F220" s="2"/>
    </row>
    <row r="221" spans="6:6" ht="15.75" customHeight="1">
      <c r="F221" s="2"/>
    </row>
    <row r="222" spans="6:6" ht="15.75" customHeight="1">
      <c r="F222" s="2"/>
    </row>
    <row r="223" spans="6:6" ht="15.75" customHeight="1">
      <c r="F223" s="2"/>
    </row>
    <row r="224" spans="6:6" ht="15.75" customHeight="1">
      <c r="F224" s="2"/>
    </row>
    <row r="225" spans="6:6" ht="15.75" customHeight="1">
      <c r="F225" s="2"/>
    </row>
    <row r="226" spans="6:6" ht="15.75" customHeight="1">
      <c r="F226" s="2"/>
    </row>
    <row r="227" spans="6:6" ht="15.75" customHeight="1">
      <c r="F227" s="2"/>
    </row>
    <row r="228" spans="6:6" ht="15.75" customHeight="1">
      <c r="F228" s="2"/>
    </row>
    <row r="229" spans="6:6" ht="15.75" customHeight="1">
      <c r="F229" s="2"/>
    </row>
    <row r="230" spans="6:6" ht="15.75" customHeight="1">
      <c r="F230" s="2"/>
    </row>
    <row r="231" spans="6:6" ht="15.75" customHeight="1">
      <c r="F231" s="2"/>
    </row>
    <row r="232" spans="6:6" ht="15.75" customHeight="1">
      <c r="F232" s="2"/>
    </row>
    <row r="233" spans="6:6" ht="15.75" customHeight="1">
      <c r="F233" s="2"/>
    </row>
    <row r="234" spans="6:6" ht="15.75" customHeight="1">
      <c r="F234" s="2"/>
    </row>
    <row r="235" spans="6:6" ht="15.75" customHeight="1">
      <c r="F235" s="2"/>
    </row>
    <row r="236" spans="6:6" ht="15.75" customHeight="1">
      <c r="F236" s="2"/>
    </row>
    <row r="237" spans="6:6" ht="15.75" customHeight="1">
      <c r="F237" s="2"/>
    </row>
    <row r="238" spans="6:6" ht="15.75" customHeight="1">
      <c r="F238" s="2"/>
    </row>
    <row r="239" spans="6:6" ht="15.75" customHeight="1">
      <c r="F239" s="2"/>
    </row>
    <row r="240" spans="6:6" ht="15.75" customHeight="1">
      <c r="F240" s="2"/>
    </row>
    <row r="241" spans="6:6" ht="15.75" customHeight="1">
      <c r="F241" s="2"/>
    </row>
    <row r="242" spans="6:6" ht="15.75" customHeight="1">
      <c r="F242" s="2"/>
    </row>
    <row r="243" spans="6:6" ht="15.75" customHeight="1">
      <c r="F243" s="2"/>
    </row>
    <row r="244" spans="6:6" ht="15.75" customHeight="1">
      <c r="F244" s="2"/>
    </row>
    <row r="245" spans="6:6" ht="15.75" customHeight="1">
      <c r="F245" s="2"/>
    </row>
    <row r="246" spans="6:6" ht="15.75" customHeight="1">
      <c r="F246" s="2"/>
    </row>
    <row r="247" spans="6:6" ht="15.75" customHeight="1">
      <c r="F247" s="2"/>
    </row>
    <row r="248" spans="6:6" ht="15.75" customHeight="1">
      <c r="F248" s="2"/>
    </row>
    <row r="249" spans="6:6" ht="15.75" customHeight="1">
      <c r="F249" s="2"/>
    </row>
    <row r="250" spans="6:6" ht="15.75" customHeight="1">
      <c r="F250" s="2"/>
    </row>
    <row r="251" spans="6:6" ht="15.75" customHeight="1">
      <c r="F251" s="2"/>
    </row>
    <row r="252" spans="6:6" ht="15.75" customHeight="1">
      <c r="F252" s="2"/>
    </row>
    <row r="253" spans="6:6" ht="15.75" customHeight="1">
      <c r="F253" s="2"/>
    </row>
    <row r="254" spans="6:6" ht="15.75" customHeight="1">
      <c r="F254" s="2"/>
    </row>
    <row r="255" spans="6:6" ht="15.75" customHeight="1">
      <c r="F255" s="2"/>
    </row>
    <row r="256" spans="6:6" ht="15.75" customHeight="1">
      <c r="F256" s="2"/>
    </row>
    <row r="257" spans="6:6" ht="15.75" customHeight="1">
      <c r="F257" s="2"/>
    </row>
    <row r="258" spans="6:6" ht="15.75" customHeight="1">
      <c r="F258" s="2"/>
    </row>
    <row r="259" spans="6:6" ht="15.75" customHeight="1">
      <c r="F259" s="2"/>
    </row>
    <row r="260" spans="6:6" ht="15.75" customHeight="1">
      <c r="F260" s="2"/>
    </row>
    <row r="261" spans="6:6" ht="15.75" customHeight="1">
      <c r="F261" s="2"/>
    </row>
    <row r="262" spans="6:6" ht="15.75" customHeight="1">
      <c r="F262" s="2"/>
    </row>
    <row r="263" spans="6:6" ht="15.75" customHeight="1">
      <c r="F263" s="2"/>
    </row>
    <row r="264" spans="6:6" ht="15.75" customHeight="1">
      <c r="F264" s="2"/>
    </row>
    <row r="265" spans="6:6" ht="15.75" customHeight="1">
      <c r="F265" s="2"/>
    </row>
    <row r="266" spans="6:6" ht="15.75" customHeight="1">
      <c r="F266" s="2"/>
    </row>
    <row r="267" spans="6:6" ht="15.75" customHeight="1">
      <c r="F267" s="2"/>
    </row>
    <row r="268" spans="6:6" ht="15.75" customHeight="1">
      <c r="F268" s="2"/>
    </row>
    <row r="269" spans="6:6" ht="15.75" customHeight="1">
      <c r="F269" s="2"/>
    </row>
    <row r="270" spans="6:6" ht="15.75" customHeight="1">
      <c r="F270" s="2"/>
    </row>
    <row r="271" spans="6:6" ht="15.75" customHeight="1">
      <c r="F271" s="2"/>
    </row>
    <row r="272" spans="6:6" ht="15.75" customHeight="1">
      <c r="F272" s="2"/>
    </row>
    <row r="273" spans="6:6" ht="15.75" customHeight="1">
      <c r="F273" s="2"/>
    </row>
    <row r="274" spans="6:6" ht="15.75" customHeight="1">
      <c r="F274" s="2"/>
    </row>
    <row r="275" spans="6:6" ht="15.75" customHeight="1">
      <c r="F275" s="2"/>
    </row>
    <row r="276" spans="6:6" ht="15.75" customHeight="1">
      <c r="F276" s="2"/>
    </row>
    <row r="277" spans="6:6" ht="15.75" customHeight="1">
      <c r="F277" s="2"/>
    </row>
    <row r="278" spans="6:6" ht="15.75" customHeight="1">
      <c r="F278" s="2"/>
    </row>
    <row r="279" spans="6:6" ht="15.75" customHeight="1">
      <c r="F279" s="2"/>
    </row>
    <row r="280" spans="6:6" ht="15.75" customHeight="1">
      <c r="F280" s="2"/>
    </row>
    <row r="281" spans="6:6" ht="15.75" customHeight="1">
      <c r="F281" s="2"/>
    </row>
    <row r="282" spans="6:6" ht="15.75" customHeight="1">
      <c r="F282" s="2"/>
    </row>
    <row r="283" spans="6:6" ht="15.75" customHeight="1">
      <c r="F283" s="2"/>
    </row>
    <row r="284" spans="6:6" ht="15.75" customHeight="1">
      <c r="F284" s="2"/>
    </row>
    <row r="285" spans="6:6" ht="15.75" customHeight="1">
      <c r="F285" s="2"/>
    </row>
    <row r="286" spans="6:6" ht="15.75" customHeight="1">
      <c r="F286" s="2"/>
    </row>
    <row r="287" spans="6:6" ht="15.75" customHeight="1">
      <c r="F287" s="2"/>
    </row>
    <row r="288" spans="6:6" ht="15.75" customHeight="1">
      <c r="F288" s="2"/>
    </row>
    <row r="289" spans="6:6" ht="15.75" customHeight="1">
      <c r="F289" s="2"/>
    </row>
    <row r="290" spans="6:6" ht="15.75" customHeight="1">
      <c r="F290" s="2"/>
    </row>
    <row r="291" spans="6:6" ht="15.75" customHeight="1">
      <c r="F291" s="2"/>
    </row>
    <row r="292" spans="6:6" ht="15.75" customHeight="1">
      <c r="F292" s="2"/>
    </row>
    <row r="293" spans="6:6" ht="15.75" customHeight="1">
      <c r="F293" s="2"/>
    </row>
    <row r="294" spans="6:6" ht="15.75" customHeight="1">
      <c r="F294" s="2"/>
    </row>
    <row r="295" spans="6:6" ht="15.75" customHeight="1">
      <c r="F295" s="2"/>
    </row>
    <row r="296" spans="6:6" ht="15.75" customHeight="1">
      <c r="F296" s="2"/>
    </row>
    <row r="297" spans="6:6" ht="15.75" customHeight="1">
      <c r="F297" s="2"/>
    </row>
    <row r="298" spans="6:6" ht="15.75" customHeight="1">
      <c r="F298" s="2"/>
    </row>
    <row r="299" spans="6:6" ht="15.75" customHeight="1">
      <c r="F299" s="2"/>
    </row>
    <row r="300" spans="6:6" ht="15.75" customHeight="1">
      <c r="F300" s="2"/>
    </row>
    <row r="301" spans="6:6" ht="15.75" customHeight="1">
      <c r="F301" s="2"/>
    </row>
    <row r="302" spans="6:6" ht="15.75" customHeight="1">
      <c r="F302" s="2"/>
    </row>
    <row r="303" spans="6:6" ht="15.75" customHeight="1">
      <c r="F303" s="2"/>
    </row>
    <row r="304" spans="6:6" ht="15.75" customHeight="1">
      <c r="F304" s="2"/>
    </row>
    <row r="305" spans="6:6" ht="15.75" customHeight="1">
      <c r="F305" s="2"/>
    </row>
    <row r="306" spans="6:6" ht="15.75" customHeight="1">
      <c r="F306" s="2"/>
    </row>
    <row r="307" spans="6:6" ht="15.75" customHeight="1">
      <c r="F307" s="2"/>
    </row>
    <row r="308" spans="6:6" ht="15.75" customHeight="1">
      <c r="F308" s="2"/>
    </row>
    <row r="309" spans="6:6" ht="15.75" customHeight="1">
      <c r="F309" s="2"/>
    </row>
    <row r="310" spans="6:6" ht="15.75" customHeight="1">
      <c r="F310" s="2"/>
    </row>
    <row r="311" spans="6:6" ht="15.75" customHeight="1">
      <c r="F311" s="2"/>
    </row>
    <row r="312" spans="6:6" ht="15.75" customHeight="1">
      <c r="F312" s="2"/>
    </row>
    <row r="313" spans="6:6" ht="15.75" customHeight="1">
      <c r="F313" s="2"/>
    </row>
    <row r="314" spans="6:6" ht="15.75" customHeight="1">
      <c r="F314" s="2"/>
    </row>
    <row r="315" spans="6:6" ht="15.75" customHeight="1">
      <c r="F315" s="2"/>
    </row>
    <row r="316" spans="6:6" ht="15.75" customHeight="1">
      <c r="F316" s="2"/>
    </row>
    <row r="317" spans="6:6" ht="15.75" customHeight="1">
      <c r="F317" s="2"/>
    </row>
    <row r="318" spans="6:6" ht="15.75" customHeight="1">
      <c r="F318" s="2"/>
    </row>
    <row r="319" spans="6:6" ht="15.75" customHeight="1">
      <c r="F319" s="2"/>
    </row>
    <row r="320" spans="6:6" ht="15.75" customHeight="1">
      <c r="F320" s="2"/>
    </row>
    <row r="321" spans="6:6" ht="15.75" customHeight="1">
      <c r="F321" s="2"/>
    </row>
    <row r="322" spans="6:6" ht="15.75" customHeight="1">
      <c r="F322" s="2"/>
    </row>
    <row r="323" spans="6:6" ht="15.75" customHeight="1">
      <c r="F323" s="2"/>
    </row>
    <row r="324" spans="6:6" ht="15.75" customHeight="1">
      <c r="F324" s="2"/>
    </row>
    <row r="325" spans="6:6" ht="15.75" customHeight="1">
      <c r="F325" s="2"/>
    </row>
    <row r="326" spans="6:6" ht="15.75" customHeight="1">
      <c r="F326" s="2"/>
    </row>
    <row r="327" spans="6:6" ht="15.75" customHeight="1">
      <c r="F327" s="2"/>
    </row>
    <row r="328" spans="6:6" ht="15.75" customHeight="1">
      <c r="F328" s="2"/>
    </row>
    <row r="329" spans="6:6" ht="15.75" customHeight="1">
      <c r="F329" s="2"/>
    </row>
    <row r="330" spans="6:6" ht="15.75" customHeight="1">
      <c r="F330" s="2"/>
    </row>
    <row r="331" spans="6:6" ht="15.75" customHeight="1">
      <c r="F331" s="2"/>
    </row>
    <row r="332" spans="6:6" ht="15.75" customHeight="1">
      <c r="F332" s="2"/>
    </row>
    <row r="333" spans="6:6" ht="15.75" customHeight="1">
      <c r="F333" s="2"/>
    </row>
    <row r="334" spans="6:6" ht="15.75" customHeight="1">
      <c r="F334" s="2"/>
    </row>
    <row r="335" spans="6:6" ht="15.75" customHeight="1">
      <c r="F335" s="2"/>
    </row>
    <row r="336" spans="6:6" ht="15.75" customHeight="1">
      <c r="F336" s="2"/>
    </row>
    <row r="337" spans="6:6" ht="15.75" customHeight="1">
      <c r="F337" s="2"/>
    </row>
    <row r="338" spans="6:6" ht="15.75" customHeight="1">
      <c r="F338" s="2"/>
    </row>
    <row r="339" spans="6:6" ht="15.75" customHeight="1">
      <c r="F339" s="2"/>
    </row>
    <row r="340" spans="6:6" ht="15.75" customHeight="1">
      <c r="F340" s="2"/>
    </row>
    <row r="341" spans="6:6" ht="15.75" customHeight="1">
      <c r="F341" s="2"/>
    </row>
    <row r="342" spans="6:6" ht="15.75" customHeight="1">
      <c r="F342" s="2"/>
    </row>
    <row r="343" spans="6:6" ht="15.75" customHeight="1">
      <c r="F343" s="2"/>
    </row>
    <row r="344" spans="6:6" ht="15.75" customHeight="1">
      <c r="F344" s="2"/>
    </row>
    <row r="345" spans="6:6" ht="15.75" customHeight="1">
      <c r="F345" s="2"/>
    </row>
    <row r="346" spans="6:6" ht="15.75" customHeight="1">
      <c r="F346" s="2"/>
    </row>
    <row r="347" spans="6:6" ht="15.75" customHeight="1">
      <c r="F347" s="2"/>
    </row>
    <row r="348" spans="6:6" ht="15.75" customHeight="1">
      <c r="F348" s="2"/>
    </row>
    <row r="349" spans="6:6" ht="15.75" customHeight="1">
      <c r="F349" s="2"/>
    </row>
    <row r="350" spans="6:6" ht="15.75" customHeight="1">
      <c r="F350" s="2"/>
    </row>
    <row r="351" spans="6:6" ht="15.75" customHeight="1">
      <c r="F351" s="2"/>
    </row>
    <row r="352" spans="6:6" ht="15.75" customHeight="1">
      <c r="F352" s="2"/>
    </row>
    <row r="353" spans="6:6" ht="15.75" customHeight="1">
      <c r="F353" s="2"/>
    </row>
    <row r="354" spans="6:6" ht="15.75" customHeight="1">
      <c r="F354" s="2"/>
    </row>
    <row r="355" spans="6:6" ht="15.75" customHeight="1">
      <c r="F355" s="2"/>
    </row>
    <row r="356" spans="6:6" ht="15.75" customHeight="1">
      <c r="F356" s="2"/>
    </row>
    <row r="357" spans="6:6" ht="15.75" customHeight="1">
      <c r="F357" s="2"/>
    </row>
    <row r="358" spans="6:6" ht="15.75" customHeight="1">
      <c r="F358" s="2"/>
    </row>
    <row r="359" spans="6:6" ht="15.75" customHeight="1">
      <c r="F359" s="2"/>
    </row>
    <row r="360" spans="6:6" ht="15.75" customHeight="1">
      <c r="F360" s="2"/>
    </row>
    <row r="361" spans="6:6" ht="15.75" customHeight="1">
      <c r="F361" s="2"/>
    </row>
    <row r="362" spans="6:6" ht="15.75" customHeight="1">
      <c r="F362" s="2"/>
    </row>
    <row r="363" spans="6:6" ht="15.75" customHeight="1">
      <c r="F363" s="2"/>
    </row>
    <row r="364" spans="6:6" ht="15.75" customHeight="1">
      <c r="F364" s="2"/>
    </row>
    <row r="365" spans="6:6" ht="15.75" customHeight="1">
      <c r="F365" s="2"/>
    </row>
    <row r="366" spans="6:6" ht="15.75" customHeight="1">
      <c r="F366" s="2"/>
    </row>
    <row r="367" spans="6:6" ht="15.75" customHeight="1">
      <c r="F367" s="2"/>
    </row>
    <row r="368" spans="6:6" ht="15.75" customHeight="1">
      <c r="F368" s="2"/>
    </row>
    <row r="369" spans="6:6" ht="15.75" customHeight="1">
      <c r="F369" s="2"/>
    </row>
    <row r="370" spans="6:6" ht="15.75" customHeight="1">
      <c r="F370" s="2"/>
    </row>
    <row r="371" spans="6:6" ht="15.75" customHeight="1">
      <c r="F371" s="2"/>
    </row>
    <row r="372" spans="6:6" ht="15.75" customHeight="1">
      <c r="F372" s="2"/>
    </row>
    <row r="373" spans="6:6" ht="15.75" customHeight="1">
      <c r="F373" s="2"/>
    </row>
    <row r="374" spans="6:6" ht="15.75" customHeight="1">
      <c r="F374" s="2"/>
    </row>
    <row r="375" spans="6:6" ht="15.75" customHeight="1">
      <c r="F375" s="2"/>
    </row>
    <row r="376" spans="6:6" ht="15.75" customHeight="1">
      <c r="F376" s="2"/>
    </row>
    <row r="377" spans="6:6" ht="15.75" customHeight="1">
      <c r="F377" s="2"/>
    </row>
    <row r="378" spans="6:6" ht="15.75" customHeight="1">
      <c r="F378" s="2"/>
    </row>
    <row r="379" spans="6:6" ht="15.75" customHeight="1">
      <c r="F379" s="2"/>
    </row>
    <row r="380" spans="6:6" ht="15.75" customHeight="1">
      <c r="F380" s="2"/>
    </row>
    <row r="381" spans="6:6" ht="15.75" customHeight="1">
      <c r="F381" s="2"/>
    </row>
    <row r="382" spans="6:6" ht="15.75" customHeight="1">
      <c r="F382" s="2"/>
    </row>
    <row r="383" spans="6:6" ht="15.75" customHeight="1">
      <c r="F383" s="2"/>
    </row>
    <row r="384" spans="6:6" ht="15.75" customHeight="1">
      <c r="F384" s="2"/>
    </row>
    <row r="385" spans="6:6" ht="15.75" customHeight="1">
      <c r="F385" s="2"/>
    </row>
    <row r="386" spans="6:6" ht="15.75" customHeight="1">
      <c r="F386" s="2"/>
    </row>
    <row r="387" spans="6:6" ht="15.75" customHeight="1">
      <c r="F387" s="2"/>
    </row>
    <row r="388" spans="6:6" ht="15.75" customHeight="1">
      <c r="F388" s="2"/>
    </row>
    <row r="389" spans="6:6" ht="15.75" customHeight="1">
      <c r="F389" s="2"/>
    </row>
    <row r="390" spans="6:6" ht="15.75" customHeight="1">
      <c r="F390" s="2"/>
    </row>
    <row r="391" spans="6:6" ht="15.75" customHeight="1">
      <c r="F391" s="2"/>
    </row>
    <row r="392" spans="6:6" ht="15.75" customHeight="1">
      <c r="F392" s="2"/>
    </row>
    <row r="393" spans="6:6" ht="15.75" customHeight="1">
      <c r="F393" s="2"/>
    </row>
    <row r="394" spans="6:6" ht="15.75" customHeight="1">
      <c r="F394" s="2"/>
    </row>
    <row r="395" spans="6:6" ht="15.75" customHeight="1">
      <c r="F395" s="2"/>
    </row>
    <row r="396" spans="6:6" ht="15.75" customHeight="1">
      <c r="F396" s="2"/>
    </row>
    <row r="397" spans="6:6" ht="15.75" customHeight="1">
      <c r="F397" s="2"/>
    </row>
    <row r="398" spans="6:6" ht="15.75" customHeight="1">
      <c r="F398" s="2"/>
    </row>
    <row r="399" spans="6:6" ht="15.75" customHeight="1">
      <c r="F399" s="2"/>
    </row>
    <row r="400" spans="6:6" ht="15.75" customHeight="1">
      <c r="F400" s="2"/>
    </row>
    <row r="401" spans="6:6" ht="15.75" customHeight="1">
      <c r="F401" s="2"/>
    </row>
    <row r="402" spans="6:6" ht="15.75" customHeight="1">
      <c r="F402" s="2"/>
    </row>
    <row r="403" spans="6:6" ht="15.75" customHeight="1">
      <c r="F403" s="2"/>
    </row>
    <row r="404" spans="6:6" ht="15.75" customHeight="1">
      <c r="F404" s="2"/>
    </row>
    <row r="405" spans="6:6" ht="15.75" customHeight="1">
      <c r="F405" s="2"/>
    </row>
    <row r="406" spans="6:6" ht="15.75" customHeight="1">
      <c r="F406" s="2"/>
    </row>
    <row r="407" spans="6:6" ht="15.75" customHeight="1">
      <c r="F407" s="2"/>
    </row>
    <row r="408" spans="6:6" ht="15.75" customHeight="1">
      <c r="F408" s="2"/>
    </row>
    <row r="409" spans="6:6" ht="15.75" customHeight="1">
      <c r="F409" s="2"/>
    </row>
    <row r="410" spans="6:6" ht="15.75" customHeight="1">
      <c r="F410" s="2"/>
    </row>
    <row r="411" spans="6:6" ht="15.75" customHeight="1">
      <c r="F411" s="2"/>
    </row>
    <row r="412" spans="6:6" ht="15.75" customHeight="1">
      <c r="F412" s="2"/>
    </row>
    <row r="413" spans="6:6" ht="15.75" customHeight="1">
      <c r="F413" s="2"/>
    </row>
    <row r="414" spans="6:6" ht="15.75" customHeight="1">
      <c r="F414" s="2"/>
    </row>
    <row r="415" spans="6:6" ht="15.75" customHeight="1">
      <c r="F415" s="2"/>
    </row>
    <row r="416" spans="6:6" ht="15.75" customHeight="1">
      <c r="F416" s="2"/>
    </row>
    <row r="417" spans="6:6" ht="15.75" customHeight="1">
      <c r="F417" s="2"/>
    </row>
    <row r="418" spans="6:6" ht="15.75" customHeight="1">
      <c r="F418" s="2"/>
    </row>
    <row r="419" spans="6:6" ht="15.75" customHeight="1">
      <c r="F419" s="2"/>
    </row>
    <row r="420" spans="6:6" ht="15.75" customHeight="1">
      <c r="F420" s="2"/>
    </row>
    <row r="421" spans="6:6" ht="15.75" customHeight="1">
      <c r="F421" s="2"/>
    </row>
    <row r="422" spans="6:6" ht="15.75" customHeight="1">
      <c r="F422" s="2"/>
    </row>
    <row r="423" spans="6:6" ht="15.75" customHeight="1">
      <c r="F423" s="2"/>
    </row>
    <row r="424" spans="6:6" ht="15.75" customHeight="1">
      <c r="F424" s="2"/>
    </row>
    <row r="425" spans="6:6" ht="15.75" customHeight="1">
      <c r="F425" s="2"/>
    </row>
    <row r="426" spans="6:6" ht="15.75" customHeight="1">
      <c r="F426" s="2"/>
    </row>
    <row r="427" spans="6:6" ht="15.75" customHeight="1">
      <c r="F427" s="2"/>
    </row>
    <row r="428" spans="6:6" ht="15.75" customHeight="1">
      <c r="F428" s="2"/>
    </row>
    <row r="429" spans="6:6" ht="15.75" customHeight="1">
      <c r="F429" s="2"/>
    </row>
    <row r="430" spans="6:6" ht="15.75" customHeight="1">
      <c r="F430" s="2"/>
    </row>
    <row r="431" spans="6:6" ht="15.75" customHeight="1">
      <c r="F431" s="2"/>
    </row>
    <row r="432" spans="6:6" ht="15.75" customHeight="1">
      <c r="F432" s="2"/>
    </row>
    <row r="433" spans="6:6" ht="15.75" customHeight="1">
      <c r="F433" s="2"/>
    </row>
    <row r="434" spans="6:6" ht="15.75" customHeight="1">
      <c r="F434" s="2"/>
    </row>
    <row r="435" spans="6:6" ht="15.75" customHeight="1">
      <c r="F435" s="2"/>
    </row>
    <row r="436" spans="6:6" ht="15.75" customHeight="1">
      <c r="F436" s="2"/>
    </row>
    <row r="437" spans="6:6" ht="15.75" customHeight="1">
      <c r="F437" s="2"/>
    </row>
    <row r="438" spans="6:6" ht="15.75" customHeight="1">
      <c r="F438" s="2"/>
    </row>
    <row r="439" spans="6:6" ht="15.75" customHeight="1">
      <c r="F439" s="2"/>
    </row>
    <row r="440" spans="6:6" ht="15.75" customHeight="1">
      <c r="F440" s="2"/>
    </row>
    <row r="441" spans="6:6" ht="15.75" customHeight="1">
      <c r="F441" s="2"/>
    </row>
    <row r="442" spans="6:6" ht="15.75" customHeight="1">
      <c r="F442" s="2"/>
    </row>
    <row r="443" spans="6:6" ht="15.75" customHeight="1">
      <c r="F443" s="2"/>
    </row>
    <row r="444" spans="6:6" ht="15.75" customHeight="1">
      <c r="F444" s="2"/>
    </row>
    <row r="445" spans="6:6" ht="15.75" customHeight="1">
      <c r="F445" s="2"/>
    </row>
    <row r="446" spans="6:6" ht="15.75" customHeight="1">
      <c r="F446" s="2"/>
    </row>
    <row r="447" spans="6:6" ht="15.75" customHeight="1">
      <c r="F447" s="2"/>
    </row>
    <row r="448" spans="6:6" ht="15.75" customHeight="1">
      <c r="F448" s="2"/>
    </row>
    <row r="449" spans="6:6" ht="15.75" customHeight="1">
      <c r="F449" s="2"/>
    </row>
    <row r="450" spans="6:6" ht="15.75" customHeight="1">
      <c r="F450" s="2"/>
    </row>
    <row r="451" spans="6:6" ht="15.75" customHeight="1">
      <c r="F451" s="2"/>
    </row>
    <row r="452" spans="6:6" ht="15.75" customHeight="1">
      <c r="F452" s="2"/>
    </row>
    <row r="453" spans="6:6" ht="15.75" customHeight="1">
      <c r="F453" s="2"/>
    </row>
    <row r="454" spans="6:6" ht="15.75" customHeight="1">
      <c r="F454" s="2"/>
    </row>
    <row r="455" spans="6:6" ht="15.75" customHeight="1">
      <c r="F455" s="2"/>
    </row>
    <row r="456" spans="6:6" ht="15.75" customHeight="1">
      <c r="F456" s="2"/>
    </row>
    <row r="457" spans="6:6" ht="15.75" customHeight="1">
      <c r="F457" s="2"/>
    </row>
    <row r="458" spans="6:6" ht="15.75" customHeight="1">
      <c r="F458" s="2"/>
    </row>
    <row r="459" spans="6:6" ht="15.75" customHeight="1">
      <c r="F459" s="2"/>
    </row>
    <row r="460" spans="6:6" ht="15.75" customHeight="1">
      <c r="F460" s="2"/>
    </row>
    <row r="461" spans="6:6" ht="15.75" customHeight="1">
      <c r="F461" s="2"/>
    </row>
    <row r="462" spans="6:6" ht="15.75" customHeight="1">
      <c r="F462" s="2"/>
    </row>
    <row r="463" spans="6:6" ht="15.75" customHeight="1">
      <c r="F463" s="2"/>
    </row>
    <row r="464" spans="6:6" ht="15.75" customHeight="1">
      <c r="F464" s="2"/>
    </row>
    <row r="465" spans="6:6" ht="15.75" customHeight="1">
      <c r="F465" s="2"/>
    </row>
    <row r="466" spans="6:6" ht="15.75" customHeight="1">
      <c r="F466" s="2"/>
    </row>
    <row r="467" spans="6:6" ht="15.75" customHeight="1">
      <c r="F467" s="2"/>
    </row>
    <row r="468" spans="6:6" ht="15.75" customHeight="1">
      <c r="F468" s="2"/>
    </row>
    <row r="469" spans="6:6" ht="15.75" customHeight="1">
      <c r="F469" s="2"/>
    </row>
    <row r="470" spans="6:6" ht="15.75" customHeight="1">
      <c r="F470" s="2"/>
    </row>
    <row r="471" spans="6:6" ht="15.75" customHeight="1">
      <c r="F471" s="2"/>
    </row>
    <row r="472" spans="6:6" ht="15.75" customHeight="1">
      <c r="F472" s="2"/>
    </row>
    <row r="473" spans="6:6" ht="15.75" customHeight="1">
      <c r="F473" s="2"/>
    </row>
    <row r="474" spans="6:6" ht="15.75" customHeight="1">
      <c r="F474" s="2"/>
    </row>
    <row r="475" spans="6:6" ht="15.75" customHeight="1">
      <c r="F475" s="2"/>
    </row>
    <row r="476" spans="6:6" ht="15.75" customHeight="1">
      <c r="F476" s="2"/>
    </row>
    <row r="477" spans="6:6" ht="15.75" customHeight="1">
      <c r="F477" s="2"/>
    </row>
    <row r="478" spans="6:6" ht="15.75" customHeight="1">
      <c r="F478" s="2"/>
    </row>
    <row r="479" spans="6:6" ht="15.75" customHeight="1">
      <c r="F479" s="2"/>
    </row>
    <row r="480" spans="6:6" ht="15.75" customHeight="1">
      <c r="F480" s="2"/>
    </row>
    <row r="481" spans="6:6" ht="15.75" customHeight="1">
      <c r="F481" s="2"/>
    </row>
    <row r="482" spans="6:6" ht="15.75" customHeight="1">
      <c r="F482" s="2"/>
    </row>
    <row r="483" spans="6:6" ht="15.75" customHeight="1">
      <c r="F483" s="2"/>
    </row>
    <row r="484" spans="6:6" ht="15.75" customHeight="1">
      <c r="F484" s="2"/>
    </row>
    <row r="485" spans="6:6" ht="15.75" customHeight="1">
      <c r="F485" s="2"/>
    </row>
    <row r="486" spans="6:6" ht="15.75" customHeight="1">
      <c r="F486" s="2"/>
    </row>
    <row r="487" spans="6:6" ht="15.75" customHeight="1">
      <c r="F487" s="2"/>
    </row>
    <row r="488" spans="6:6" ht="15.75" customHeight="1">
      <c r="F488" s="2"/>
    </row>
    <row r="489" spans="6:6" ht="15.75" customHeight="1">
      <c r="F489" s="2"/>
    </row>
    <row r="490" spans="6:6" ht="15.75" customHeight="1">
      <c r="F490" s="2"/>
    </row>
    <row r="491" spans="6:6" ht="15.75" customHeight="1">
      <c r="F491" s="2"/>
    </row>
    <row r="492" spans="6:6" ht="15.75" customHeight="1">
      <c r="F492" s="2"/>
    </row>
    <row r="493" spans="6:6" ht="15.75" customHeight="1">
      <c r="F493" s="2"/>
    </row>
    <row r="494" spans="6:6" ht="15.75" customHeight="1">
      <c r="F494" s="2"/>
    </row>
    <row r="495" spans="6:6" ht="15.75" customHeight="1">
      <c r="F495" s="2"/>
    </row>
    <row r="496" spans="6:6" ht="15.75" customHeight="1">
      <c r="F496" s="2"/>
    </row>
    <row r="497" spans="6:6" ht="15.75" customHeight="1">
      <c r="F497" s="2"/>
    </row>
    <row r="498" spans="6:6" ht="15.75" customHeight="1">
      <c r="F498" s="2"/>
    </row>
    <row r="499" spans="6:6" ht="15.75" customHeight="1">
      <c r="F499" s="2"/>
    </row>
    <row r="500" spans="6:6" ht="15.75" customHeight="1">
      <c r="F500" s="2"/>
    </row>
    <row r="501" spans="6:6" ht="15.75" customHeight="1">
      <c r="F501" s="2"/>
    </row>
    <row r="502" spans="6:6" ht="15.75" customHeight="1">
      <c r="F502" s="2"/>
    </row>
    <row r="503" spans="6:6" ht="15.75" customHeight="1">
      <c r="F503" s="2"/>
    </row>
    <row r="504" spans="6:6" ht="15.75" customHeight="1">
      <c r="F504" s="2"/>
    </row>
    <row r="505" spans="6:6" ht="15.75" customHeight="1">
      <c r="F505" s="2"/>
    </row>
    <row r="506" spans="6:6" ht="15.75" customHeight="1">
      <c r="F506" s="2"/>
    </row>
    <row r="507" spans="6:6" ht="15.75" customHeight="1">
      <c r="F507" s="2"/>
    </row>
    <row r="508" spans="6:6" ht="15.75" customHeight="1">
      <c r="F508" s="2"/>
    </row>
    <row r="509" spans="6:6" ht="15.75" customHeight="1">
      <c r="F509" s="2"/>
    </row>
    <row r="510" spans="6:6" ht="15.75" customHeight="1">
      <c r="F510" s="2"/>
    </row>
    <row r="511" spans="6:6" ht="15.75" customHeight="1">
      <c r="F511" s="2"/>
    </row>
    <row r="512" spans="6:6" ht="15.75" customHeight="1">
      <c r="F512" s="2"/>
    </row>
    <row r="513" spans="6:6" ht="15.75" customHeight="1">
      <c r="F513" s="2"/>
    </row>
    <row r="514" spans="6:6" ht="15.75" customHeight="1">
      <c r="F514" s="2"/>
    </row>
    <row r="515" spans="6:6" ht="15.75" customHeight="1">
      <c r="F515" s="2"/>
    </row>
    <row r="516" spans="6:6" ht="15.75" customHeight="1">
      <c r="F516" s="2"/>
    </row>
    <row r="517" spans="6:6" ht="15.75" customHeight="1">
      <c r="F517" s="2"/>
    </row>
    <row r="518" spans="6:6" ht="15.75" customHeight="1">
      <c r="F518" s="2"/>
    </row>
    <row r="519" spans="6:6" ht="15.75" customHeight="1">
      <c r="F519" s="2"/>
    </row>
    <row r="520" spans="6:6" ht="15.75" customHeight="1">
      <c r="F520" s="2"/>
    </row>
    <row r="521" spans="6:6" ht="15.75" customHeight="1">
      <c r="F521" s="2"/>
    </row>
    <row r="522" spans="6:6" ht="15.75" customHeight="1">
      <c r="F522" s="2"/>
    </row>
    <row r="523" spans="6:6" ht="15.75" customHeight="1">
      <c r="F523" s="2"/>
    </row>
    <row r="524" spans="6:6" ht="15.75" customHeight="1">
      <c r="F524" s="2"/>
    </row>
    <row r="525" spans="6:6" ht="15.75" customHeight="1">
      <c r="F525" s="2"/>
    </row>
    <row r="526" spans="6:6" ht="15.75" customHeight="1">
      <c r="F526" s="2"/>
    </row>
    <row r="527" spans="6:6" ht="15.75" customHeight="1">
      <c r="F527" s="2"/>
    </row>
    <row r="528" spans="6:6" ht="15.75" customHeight="1">
      <c r="F528" s="2"/>
    </row>
    <row r="529" spans="6:6" ht="15.75" customHeight="1">
      <c r="F529" s="2"/>
    </row>
    <row r="530" spans="6:6" ht="15.75" customHeight="1">
      <c r="F530" s="2"/>
    </row>
    <row r="531" spans="6:6" ht="15.75" customHeight="1">
      <c r="F531" s="2"/>
    </row>
    <row r="532" spans="6:6" ht="15.75" customHeight="1">
      <c r="F532" s="2"/>
    </row>
    <row r="533" spans="6:6" ht="15.75" customHeight="1">
      <c r="F533" s="2"/>
    </row>
    <row r="534" spans="6:6" ht="15.75" customHeight="1">
      <c r="F534" s="2"/>
    </row>
    <row r="535" spans="6:6" ht="15.75" customHeight="1">
      <c r="F535" s="2"/>
    </row>
    <row r="536" spans="6:6" ht="15.75" customHeight="1">
      <c r="F536" s="2"/>
    </row>
    <row r="537" spans="6:6" ht="15.75" customHeight="1">
      <c r="F537" s="2"/>
    </row>
    <row r="538" spans="6:6" ht="15.75" customHeight="1">
      <c r="F538" s="2"/>
    </row>
    <row r="539" spans="6:6" ht="15.75" customHeight="1">
      <c r="F539" s="2"/>
    </row>
    <row r="540" spans="6:6" ht="15.75" customHeight="1">
      <c r="F540" s="2"/>
    </row>
    <row r="541" spans="6:6" ht="15.75" customHeight="1">
      <c r="F541" s="2"/>
    </row>
    <row r="542" spans="6:6" ht="15.75" customHeight="1">
      <c r="F542" s="2"/>
    </row>
    <row r="543" spans="6:6" ht="15.75" customHeight="1">
      <c r="F543" s="2"/>
    </row>
    <row r="544" spans="6:6" ht="15.75" customHeight="1">
      <c r="F544" s="2"/>
    </row>
    <row r="545" spans="6:6" ht="15.75" customHeight="1">
      <c r="F545" s="2"/>
    </row>
    <row r="546" spans="6:6" ht="15.75" customHeight="1">
      <c r="F546" s="2"/>
    </row>
    <row r="547" spans="6:6" ht="15.75" customHeight="1">
      <c r="F547" s="2"/>
    </row>
    <row r="548" spans="6:6" ht="15.75" customHeight="1">
      <c r="F548" s="2"/>
    </row>
    <row r="549" spans="6:6" ht="15.75" customHeight="1">
      <c r="F549" s="2"/>
    </row>
    <row r="550" spans="6:6" ht="15.75" customHeight="1">
      <c r="F550" s="2"/>
    </row>
    <row r="551" spans="6:6" ht="15.75" customHeight="1">
      <c r="F551" s="2"/>
    </row>
    <row r="552" spans="6:6" ht="15.75" customHeight="1">
      <c r="F552" s="2"/>
    </row>
    <row r="553" spans="6:6" ht="15.75" customHeight="1">
      <c r="F553" s="2"/>
    </row>
    <row r="554" spans="6:6" ht="15.75" customHeight="1">
      <c r="F554" s="2"/>
    </row>
    <row r="555" spans="6:6" ht="15.75" customHeight="1">
      <c r="F555" s="2"/>
    </row>
    <row r="556" spans="6:6" ht="15.75" customHeight="1">
      <c r="F556" s="2"/>
    </row>
    <row r="557" spans="6:6" ht="15.75" customHeight="1">
      <c r="F557" s="2"/>
    </row>
    <row r="558" spans="6:6" ht="15.75" customHeight="1">
      <c r="F558" s="2"/>
    </row>
    <row r="559" spans="6:6" ht="15.75" customHeight="1">
      <c r="F559" s="2"/>
    </row>
    <row r="560" spans="6:6" ht="15.75" customHeight="1">
      <c r="F560" s="2"/>
    </row>
    <row r="561" spans="6:6" ht="15.75" customHeight="1">
      <c r="F561" s="2"/>
    </row>
    <row r="562" spans="6:6" ht="15.75" customHeight="1">
      <c r="F562" s="2"/>
    </row>
    <row r="563" spans="6:6" ht="15.75" customHeight="1">
      <c r="F563" s="2"/>
    </row>
    <row r="564" spans="6:6" ht="15.75" customHeight="1">
      <c r="F564" s="2"/>
    </row>
    <row r="565" spans="6:6" ht="15.75" customHeight="1">
      <c r="F565" s="2"/>
    </row>
    <row r="566" spans="6:6" ht="15.75" customHeight="1">
      <c r="F566" s="2"/>
    </row>
    <row r="567" spans="6:6" ht="15.75" customHeight="1">
      <c r="F567" s="2"/>
    </row>
    <row r="568" spans="6:6" ht="15.75" customHeight="1">
      <c r="F568" s="2"/>
    </row>
    <row r="569" spans="6:6" ht="15.75" customHeight="1">
      <c r="F569" s="2"/>
    </row>
    <row r="570" spans="6:6" ht="15.75" customHeight="1">
      <c r="F570" s="2"/>
    </row>
    <row r="571" spans="6:6" ht="15.75" customHeight="1">
      <c r="F571" s="2"/>
    </row>
    <row r="572" spans="6:6" ht="15.75" customHeight="1">
      <c r="F572" s="2"/>
    </row>
    <row r="573" spans="6:6" ht="15.75" customHeight="1">
      <c r="F573" s="2"/>
    </row>
    <row r="574" spans="6:6" ht="15.75" customHeight="1">
      <c r="F574" s="2"/>
    </row>
    <row r="575" spans="6:6" ht="15.75" customHeight="1">
      <c r="F575" s="2"/>
    </row>
    <row r="576" spans="6:6" ht="15.75" customHeight="1">
      <c r="F576" s="2"/>
    </row>
    <row r="577" spans="6:6" ht="15.75" customHeight="1">
      <c r="F577" s="2"/>
    </row>
    <row r="578" spans="6:6" ht="15.75" customHeight="1">
      <c r="F578" s="2"/>
    </row>
    <row r="579" spans="6:6" ht="15.75" customHeight="1">
      <c r="F579" s="2"/>
    </row>
    <row r="580" spans="6:6" ht="15.75" customHeight="1">
      <c r="F580" s="2"/>
    </row>
    <row r="581" spans="6:6" ht="15.75" customHeight="1">
      <c r="F581" s="2"/>
    </row>
    <row r="582" spans="6:6" ht="15.75" customHeight="1">
      <c r="F582" s="2"/>
    </row>
    <row r="583" spans="6:6" ht="15.75" customHeight="1">
      <c r="F583" s="2"/>
    </row>
    <row r="584" spans="6:6" ht="15.75" customHeight="1">
      <c r="F584" s="2"/>
    </row>
    <row r="585" spans="6:6" ht="15.75" customHeight="1">
      <c r="F585" s="2"/>
    </row>
    <row r="586" spans="6:6" ht="15.75" customHeight="1">
      <c r="F586" s="2"/>
    </row>
    <row r="587" spans="6:6" ht="15.75" customHeight="1">
      <c r="F587" s="2"/>
    </row>
    <row r="588" spans="6:6" ht="15.75" customHeight="1">
      <c r="F588" s="2"/>
    </row>
    <row r="589" spans="6:6" ht="15.75" customHeight="1">
      <c r="F589" s="2"/>
    </row>
    <row r="590" spans="6:6" ht="15.75" customHeight="1">
      <c r="F590" s="2"/>
    </row>
    <row r="591" spans="6:6" ht="15.75" customHeight="1">
      <c r="F591" s="2"/>
    </row>
    <row r="592" spans="6:6" ht="15.75" customHeight="1">
      <c r="F592" s="2"/>
    </row>
    <row r="593" spans="6:6" ht="15.75" customHeight="1">
      <c r="F593" s="2"/>
    </row>
    <row r="594" spans="6:6" ht="15.75" customHeight="1">
      <c r="F594" s="2"/>
    </row>
    <row r="595" spans="6:6" ht="15.75" customHeight="1">
      <c r="F595" s="2"/>
    </row>
    <row r="596" spans="6:6" ht="15.75" customHeight="1">
      <c r="F596" s="2"/>
    </row>
    <row r="597" spans="6:6" ht="15.75" customHeight="1">
      <c r="F597" s="2"/>
    </row>
    <row r="598" spans="6:6" ht="15.75" customHeight="1">
      <c r="F598" s="2"/>
    </row>
    <row r="599" spans="6:6" ht="15.75" customHeight="1">
      <c r="F599" s="2"/>
    </row>
    <row r="600" spans="6:6" ht="15.75" customHeight="1">
      <c r="F600" s="2"/>
    </row>
    <row r="601" spans="6:6" ht="15.75" customHeight="1">
      <c r="F601" s="2"/>
    </row>
    <row r="602" spans="6:6" ht="15.75" customHeight="1">
      <c r="F602" s="2"/>
    </row>
    <row r="603" spans="6:6" ht="15.75" customHeight="1">
      <c r="F603" s="2"/>
    </row>
    <row r="604" spans="6:6" ht="15.75" customHeight="1">
      <c r="F604" s="2"/>
    </row>
    <row r="605" spans="6:6" ht="15.75" customHeight="1">
      <c r="F605" s="2"/>
    </row>
    <row r="606" spans="6:6" ht="15.75" customHeight="1">
      <c r="F606" s="2"/>
    </row>
    <row r="607" spans="6:6" ht="15.75" customHeight="1">
      <c r="F607" s="2"/>
    </row>
    <row r="608" spans="6:6" ht="15.75" customHeight="1">
      <c r="F608" s="2"/>
    </row>
    <row r="609" spans="6:6" ht="15.75" customHeight="1">
      <c r="F609" s="2"/>
    </row>
    <row r="610" spans="6:6" ht="15.75" customHeight="1">
      <c r="F610" s="2"/>
    </row>
    <row r="611" spans="6:6" ht="15.75" customHeight="1">
      <c r="F611" s="2"/>
    </row>
    <row r="612" spans="6:6" ht="15.75" customHeight="1">
      <c r="F612" s="2"/>
    </row>
    <row r="613" spans="6:6" ht="15.75" customHeight="1">
      <c r="F613" s="2"/>
    </row>
    <row r="614" spans="6:6" ht="15.75" customHeight="1">
      <c r="F614" s="2"/>
    </row>
    <row r="615" spans="6:6" ht="15.75" customHeight="1">
      <c r="F615" s="2"/>
    </row>
    <row r="616" spans="6:6" ht="15.75" customHeight="1">
      <c r="F616" s="2"/>
    </row>
    <row r="617" spans="6:6" ht="15.75" customHeight="1">
      <c r="F617" s="2"/>
    </row>
    <row r="618" spans="6:6" ht="15.75" customHeight="1">
      <c r="F618" s="2"/>
    </row>
    <row r="619" spans="6:6" ht="15.75" customHeight="1">
      <c r="F619" s="2"/>
    </row>
    <row r="620" spans="6:6" ht="15.75" customHeight="1">
      <c r="F620" s="2"/>
    </row>
    <row r="621" spans="6:6" ht="15.75" customHeight="1">
      <c r="F621" s="2"/>
    </row>
    <row r="622" spans="6:6" ht="15.75" customHeight="1">
      <c r="F622" s="2"/>
    </row>
    <row r="623" spans="6:6" ht="15.75" customHeight="1">
      <c r="F623" s="2"/>
    </row>
    <row r="624" spans="6:6" ht="15.75" customHeight="1">
      <c r="F624" s="2"/>
    </row>
    <row r="625" spans="6:6" ht="15.75" customHeight="1">
      <c r="F625" s="2"/>
    </row>
    <row r="626" spans="6:6" ht="15.75" customHeight="1">
      <c r="F626" s="2"/>
    </row>
    <row r="627" spans="6:6" ht="15.75" customHeight="1">
      <c r="F627" s="2"/>
    </row>
    <row r="628" spans="6:6" ht="15.75" customHeight="1">
      <c r="F628" s="2"/>
    </row>
    <row r="629" spans="6:6" ht="15.75" customHeight="1">
      <c r="F629" s="2"/>
    </row>
    <row r="630" spans="6:6" ht="15.75" customHeight="1">
      <c r="F630" s="2"/>
    </row>
    <row r="631" spans="6:6" ht="15.75" customHeight="1">
      <c r="F631" s="2"/>
    </row>
    <row r="632" spans="6:6" ht="15.75" customHeight="1">
      <c r="F632" s="2"/>
    </row>
    <row r="633" spans="6:6" ht="15.75" customHeight="1">
      <c r="F633" s="2"/>
    </row>
    <row r="634" spans="6:6" ht="15.75" customHeight="1">
      <c r="F634" s="2"/>
    </row>
    <row r="635" spans="6:6" ht="15.75" customHeight="1">
      <c r="F635" s="2"/>
    </row>
    <row r="636" spans="6:6" ht="15.75" customHeight="1">
      <c r="F636" s="2"/>
    </row>
    <row r="637" spans="6:6" ht="15.75" customHeight="1">
      <c r="F637" s="2"/>
    </row>
    <row r="638" spans="6:6" ht="15.75" customHeight="1">
      <c r="F638" s="2"/>
    </row>
    <row r="639" spans="6:6" ht="15.75" customHeight="1">
      <c r="F639" s="2"/>
    </row>
    <row r="640" spans="6:6" ht="15.75" customHeight="1">
      <c r="F640" s="2"/>
    </row>
    <row r="641" spans="6:6" ht="15.75" customHeight="1">
      <c r="F641" s="2"/>
    </row>
    <row r="642" spans="6:6" ht="15.75" customHeight="1">
      <c r="F642" s="2"/>
    </row>
    <row r="643" spans="6:6" ht="15.75" customHeight="1">
      <c r="F643" s="2"/>
    </row>
    <row r="644" spans="6:6" ht="15.75" customHeight="1">
      <c r="F644" s="2"/>
    </row>
    <row r="645" spans="6:6" ht="15.75" customHeight="1">
      <c r="F645" s="2"/>
    </row>
    <row r="646" spans="6:6" ht="15.75" customHeight="1">
      <c r="F646" s="2"/>
    </row>
    <row r="647" spans="6:6" ht="15.75" customHeight="1">
      <c r="F647" s="2"/>
    </row>
    <row r="648" spans="6:6" ht="15.75" customHeight="1">
      <c r="F648" s="2"/>
    </row>
    <row r="649" spans="6:6" ht="15.75" customHeight="1">
      <c r="F649" s="2"/>
    </row>
    <row r="650" spans="6:6" ht="15.75" customHeight="1">
      <c r="F650" s="2"/>
    </row>
    <row r="651" spans="6:6" ht="15.75" customHeight="1">
      <c r="F651" s="2"/>
    </row>
    <row r="652" spans="6:6" ht="15.75" customHeight="1">
      <c r="F652" s="2"/>
    </row>
    <row r="653" spans="6:6" ht="15.75" customHeight="1">
      <c r="F653" s="2"/>
    </row>
    <row r="654" spans="6:6" ht="15.75" customHeight="1">
      <c r="F654" s="2"/>
    </row>
    <row r="655" spans="6:6" ht="15.75" customHeight="1">
      <c r="F655" s="2"/>
    </row>
    <row r="656" spans="6:6" ht="15.75" customHeight="1">
      <c r="F656" s="2"/>
    </row>
    <row r="657" spans="6:6" ht="15.75" customHeight="1">
      <c r="F657" s="2"/>
    </row>
    <row r="658" spans="6:6" ht="15.75" customHeight="1">
      <c r="F658" s="2"/>
    </row>
    <row r="659" spans="6:6" ht="15.75" customHeight="1">
      <c r="F659" s="2"/>
    </row>
    <row r="660" spans="6:6" ht="15.75" customHeight="1">
      <c r="F660" s="2"/>
    </row>
    <row r="661" spans="6:6" ht="15.75" customHeight="1">
      <c r="F661" s="2"/>
    </row>
    <row r="662" spans="6:6" ht="15.75" customHeight="1">
      <c r="F662" s="2"/>
    </row>
    <row r="663" spans="6:6" ht="15.75" customHeight="1">
      <c r="F663" s="2"/>
    </row>
    <row r="664" spans="6:6" ht="15.75" customHeight="1">
      <c r="F664" s="2"/>
    </row>
    <row r="665" spans="6:6" ht="15.75" customHeight="1">
      <c r="F665" s="2"/>
    </row>
    <row r="666" spans="6:6" ht="15.75" customHeight="1">
      <c r="F666" s="2"/>
    </row>
    <row r="667" spans="6:6" ht="15.75" customHeight="1">
      <c r="F667" s="2"/>
    </row>
    <row r="668" spans="6:6" ht="15.75" customHeight="1">
      <c r="F668" s="2"/>
    </row>
    <row r="669" spans="6:6" ht="15.75" customHeight="1">
      <c r="F669" s="2"/>
    </row>
    <row r="670" spans="6:6" ht="15.75" customHeight="1">
      <c r="F670" s="2"/>
    </row>
    <row r="671" spans="6:6" ht="15.75" customHeight="1">
      <c r="F671" s="2"/>
    </row>
    <row r="672" spans="6:6" ht="15.75" customHeight="1">
      <c r="F672" s="2"/>
    </row>
    <row r="673" spans="6:6" ht="15.75" customHeight="1">
      <c r="F673" s="2"/>
    </row>
    <row r="674" spans="6:6" ht="15.75" customHeight="1">
      <c r="F674" s="2"/>
    </row>
    <row r="675" spans="6:6" ht="15.75" customHeight="1">
      <c r="F675" s="2"/>
    </row>
    <row r="676" spans="6:6" ht="15.75" customHeight="1">
      <c r="F676" s="2"/>
    </row>
    <row r="677" spans="6:6" ht="15.75" customHeight="1">
      <c r="F677" s="2"/>
    </row>
    <row r="678" spans="6:6" ht="15.75" customHeight="1">
      <c r="F678" s="2"/>
    </row>
    <row r="679" spans="6:6" ht="15.75" customHeight="1">
      <c r="F679" s="2"/>
    </row>
    <row r="680" spans="6:6" ht="15.75" customHeight="1">
      <c r="F680" s="2"/>
    </row>
    <row r="681" spans="6:6" ht="15.75" customHeight="1">
      <c r="F681" s="2"/>
    </row>
    <row r="682" spans="6:6" ht="15.75" customHeight="1">
      <c r="F682" s="2"/>
    </row>
    <row r="683" spans="6:6" ht="15.75" customHeight="1">
      <c r="F683" s="2"/>
    </row>
    <row r="684" spans="6:6" ht="15.75" customHeight="1">
      <c r="F684" s="2"/>
    </row>
    <row r="685" spans="6:6" ht="15.75" customHeight="1">
      <c r="F685" s="2"/>
    </row>
    <row r="686" spans="6:6" ht="15.75" customHeight="1">
      <c r="F686" s="2"/>
    </row>
    <row r="687" spans="6:6" ht="15.75" customHeight="1">
      <c r="F687" s="2"/>
    </row>
    <row r="688" spans="6:6" ht="15.75" customHeight="1">
      <c r="F688" s="2"/>
    </row>
    <row r="689" spans="6:6" ht="15.75" customHeight="1">
      <c r="F689" s="2"/>
    </row>
    <row r="690" spans="6:6" ht="15.75" customHeight="1">
      <c r="F690" s="2"/>
    </row>
    <row r="691" spans="6:6" ht="15.75" customHeight="1">
      <c r="F691" s="2"/>
    </row>
    <row r="692" spans="6:6" ht="15.75" customHeight="1">
      <c r="F692" s="2"/>
    </row>
    <row r="693" spans="6:6" ht="15.75" customHeight="1">
      <c r="F693" s="2"/>
    </row>
    <row r="694" spans="6:6" ht="15.75" customHeight="1">
      <c r="F694" s="2"/>
    </row>
    <row r="695" spans="6:6" ht="15.75" customHeight="1">
      <c r="F695" s="2"/>
    </row>
    <row r="696" spans="6:6" ht="15.75" customHeight="1">
      <c r="F696" s="2"/>
    </row>
    <row r="697" spans="6:6" ht="15.75" customHeight="1">
      <c r="F697" s="2"/>
    </row>
    <row r="698" spans="6:6" ht="15.75" customHeight="1">
      <c r="F698" s="2"/>
    </row>
    <row r="699" spans="6:6" ht="15.75" customHeight="1">
      <c r="F699" s="2"/>
    </row>
    <row r="700" spans="6:6" ht="15.75" customHeight="1">
      <c r="F700" s="2"/>
    </row>
    <row r="701" spans="6:6" ht="15.75" customHeight="1">
      <c r="F701" s="2"/>
    </row>
    <row r="702" spans="6:6" ht="15.75" customHeight="1">
      <c r="F702" s="2"/>
    </row>
    <row r="703" spans="6:6" ht="15.75" customHeight="1">
      <c r="F703" s="2"/>
    </row>
    <row r="704" spans="6:6" ht="15.75" customHeight="1">
      <c r="F704" s="2"/>
    </row>
    <row r="705" spans="6:6" ht="15.75" customHeight="1">
      <c r="F705" s="2"/>
    </row>
    <row r="706" spans="6:6" ht="15.75" customHeight="1">
      <c r="F706" s="2"/>
    </row>
    <row r="707" spans="6:6" ht="15.75" customHeight="1">
      <c r="F707" s="2"/>
    </row>
    <row r="708" spans="6:6" ht="15.75" customHeight="1">
      <c r="F708" s="2"/>
    </row>
    <row r="709" spans="6:6" ht="15.75" customHeight="1">
      <c r="F709" s="2"/>
    </row>
    <row r="710" spans="6:6" ht="15.75" customHeight="1">
      <c r="F710" s="2"/>
    </row>
    <row r="711" spans="6:6" ht="15.75" customHeight="1">
      <c r="F711" s="2"/>
    </row>
    <row r="712" spans="6:6" ht="15.75" customHeight="1">
      <c r="F712" s="2"/>
    </row>
    <row r="713" spans="6:6" ht="15.75" customHeight="1">
      <c r="F713" s="2"/>
    </row>
    <row r="714" spans="6:6" ht="15.75" customHeight="1">
      <c r="F714" s="2"/>
    </row>
    <row r="715" spans="6:6" ht="15.75" customHeight="1">
      <c r="F715" s="2"/>
    </row>
    <row r="716" spans="6:6" ht="15.75" customHeight="1">
      <c r="F716" s="2"/>
    </row>
    <row r="717" spans="6:6" ht="15.75" customHeight="1">
      <c r="F717" s="2"/>
    </row>
    <row r="718" spans="6:6" ht="15.75" customHeight="1">
      <c r="F718" s="2"/>
    </row>
    <row r="719" spans="6:6" ht="15.75" customHeight="1">
      <c r="F719" s="2"/>
    </row>
    <row r="720" spans="6:6" ht="15.75" customHeight="1">
      <c r="F720" s="2"/>
    </row>
    <row r="721" spans="6:6" ht="15.75" customHeight="1">
      <c r="F721" s="2"/>
    </row>
    <row r="722" spans="6:6" ht="15.75" customHeight="1">
      <c r="F722" s="2"/>
    </row>
    <row r="723" spans="6:6" ht="15.75" customHeight="1">
      <c r="F723" s="2"/>
    </row>
    <row r="724" spans="6:6" ht="15.75" customHeight="1">
      <c r="F724" s="2"/>
    </row>
    <row r="725" spans="6:6" ht="15.75" customHeight="1">
      <c r="F725" s="2"/>
    </row>
    <row r="726" spans="6:6" ht="15.75" customHeight="1">
      <c r="F726" s="2"/>
    </row>
    <row r="727" spans="6:6" ht="15.75" customHeight="1">
      <c r="F727" s="2"/>
    </row>
    <row r="728" spans="6:6" ht="15.75" customHeight="1">
      <c r="F728" s="2"/>
    </row>
    <row r="729" spans="6:6" ht="15.75" customHeight="1">
      <c r="F729" s="2"/>
    </row>
    <row r="730" spans="6:6" ht="15.75" customHeight="1">
      <c r="F730" s="2"/>
    </row>
    <row r="731" spans="6:6" ht="15.75" customHeight="1">
      <c r="F731" s="2"/>
    </row>
    <row r="732" spans="6:6" ht="15.75" customHeight="1">
      <c r="F732" s="2"/>
    </row>
    <row r="733" spans="6:6" ht="15.75" customHeight="1">
      <c r="F733" s="2"/>
    </row>
    <row r="734" spans="6:6" ht="15.75" customHeight="1">
      <c r="F734" s="2"/>
    </row>
    <row r="735" spans="6:6" ht="15.75" customHeight="1">
      <c r="F735" s="2"/>
    </row>
    <row r="736" spans="6:6" ht="15.75" customHeight="1">
      <c r="F736" s="2"/>
    </row>
    <row r="737" spans="6:6" ht="15.75" customHeight="1">
      <c r="F737" s="2"/>
    </row>
    <row r="738" spans="6:6" ht="15.75" customHeight="1">
      <c r="F738" s="2"/>
    </row>
    <row r="739" spans="6:6" ht="15.75" customHeight="1">
      <c r="F739" s="2"/>
    </row>
    <row r="740" spans="6:6" ht="15.75" customHeight="1">
      <c r="F740" s="2"/>
    </row>
    <row r="741" spans="6:6" ht="15.75" customHeight="1">
      <c r="F741" s="2"/>
    </row>
    <row r="742" spans="6:6" ht="15.75" customHeight="1">
      <c r="F742" s="2"/>
    </row>
    <row r="743" spans="6:6" ht="15.75" customHeight="1">
      <c r="F743" s="2"/>
    </row>
    <row r="744" spans="6:6" ht="15.75" customHeight="1">
      <c r="F744" s="2"/>
    </row>
    <row r="745" spans="6:6" ht="15.75" customHeight="1">
      <c r="F745" s="2"/>
    </row>
    <row r="746" spans="6:6" ht="15.75" customHeight="1">
      <c r="F746" s="2"/>
    </row>
    <row r="747" spans="6:6" ht="15.75" customHeight="1">
      <c r="F747" s="2"/>
    </row>
    <row r="748" spans="6:6" ht="15.75" customHeight="1">
      <c r="F748" s="2"/>
    </row>
    <row r="749" spans="6:6" ht="15.75" customHeight="1">
      <c r="F749" s="2"/>
    </row>
    <row r="750" spans="6:6" ht="15.75" customHeight="1">
      <c r="F750" s="2"/>
    </row>
    <row r="751" spans="6:6" ht="15.75" customHeight="1">
      <c r="F751" s="2"/>
    </row>
    <row r="752" spans="6:6" ht="15.75" customHeight="1">
      <c r="F752" s="2"/>
    </row>
    <row r="753" spans="6:6" ht="15.75" customHeight="1">
      <c r="F753" s="2"/>
    </row>
    <row r="754" spans="6:6" ht="15.75" customHeight="1">
      <c r="F754" s="2"/>
    </row>
    <row r="755" spans="6:6" ht="15.75" customHeight="1">
      <c r="F755" s="2"/>
    </row>
    <row r="756" spans="6:6" ht="15.75" customHeight="1">
      <c r="F756" s="2"/>
    </row>
    <row r="757" spans="6:6" ht="15.75" customHeight="1">
      <c r="F757" s="2"/>
    </row>
    <row r="758" spans="6:6" ht="15.75" customHeight="1">
      <c r="F758" s="2"/>
    </row>
    <row r="759" spans="6:6" ht="15.75" customHeight="1">
      <c r="F759" s="2"/>
    </row>
    <row r="760" spans="6:6" ht="15.75" customHeight="1">
      <c r="F760" s="2"/>
    </row>
    <row r="761" spans="6:6" ht="15.75" customHeight="1">
      <c r="F761" s="2"/>
    </row>
    <row r="762" spans="6:6" ht="15.75" customHeight="1">
      <c r="F762" s="2"/>
    </row>
    <row r="763" spans="6:6" ht="15.75" customHeight="1">
      <c r="F763" s="2"/>
    </row>
    <row r="764" spans="6:6" ht="15.75" customHeight="1">
      <c r="F764" s="2"/>
    </row>
    <row r="765" spans="6:6" ht="15.75" customHeight="1">
      <c r="F765" s="2"/>
    </row>
    <row r="766" spans="6:6" ht="15.75" customHeight="1">
      <c r="F766" s="2"/>
    </row>
    <row r="767" spans="6:6" ht="15.75" customHeight="1">
      <c r="F767" s="2"/>
    </row>
    <row r="768" spans="6:6" ht="15.75" customHeight="1">
      <c r="F768" s="2"/>
    </row>
    <row r="769" spans="6:6" ht="15.75" customHeight="1">
      <c r="F769" s="2"/>
    </row>
    <row r="770" spans="6:6" ht="15.75" customHeight="1">
      <c r="F770" s="2"/>
    </row>
    <row r="771" spans="6:6" ht="15.75" customHeight="1">
      <c r="F771" s="2"/>
    </row>
    <row r="772" spans="6:6" ht="15.75" customHeight="1">
      <c r="F772" s="2"/>
    </row>
    <row r="773" spans="6:6" ht="15.75" customHeight="1">
      <c r="F773" s="2"/>
    </row>
    <row r="774" spans="6:6" ht="15.75" customHeight="1">
      <c r="F774" s="2"/>
    </row>
    <row r="775" spans="6:6" ht="15.75" customHeight="1">
      <c r="F775" s="2"/>
    </row>
    <row r="776" spans="6:6" ht="15.75" customHeight="1">
      <c r="F776" s="2"/>
    </row>
    <row r="777" spans="6:6" ht="15.75" customHeight="1">
      <c r="F777" s="2"/>
    </row>
    <row r="778" spans="6:6" ht="15.75" customHeight="1">
      <c r="F778" s="2"/>
    </row>
    <row r="779" spans="6:6" ht="15.75" customHeight="1">
      <c r="F779" s="2"/>
    </row>
    <row r="780" spans="6:6" ht="15.75" customHeight="1">
      <c r="F780" s="2"/>
    </row>
    <row r="781" spans="6:6" ht="15.75" customHeight="1">
      <c r="F781" s="2"/>
    </row>
    <row r="782" spans="6:6" ht="15.75" customHeight="1">
      <c r="F782" s="2"/>
    </row>
    <row r="783" spans="6:6" ht="15.75" customHeight="1">
      <c r="F783" s="2"/>
    </row>
    <row r="784" spans="6:6" ht="15.75" customHeight="1">
      <c r="F784" s="2"/>
    </row>
    <row r="785" spans="6:6" ht="15.75" customHeight="1">
      <c r="F785" s="2"/>
    </row>
    <row r="786" spans="6:6" ht="15.75" customHeight="1">
      <c r="F786" s="2"/>
    </row>
    <row r="787" spans="6:6" ht="15.75" customHeight="1">
      <c r="F787" s="2"/>
    </row>
    <row r="788" spans="6:6" ht="15.75" customHeight="1">
      <c r="F788" s="2"/>
    </row>
    <row r="789" spans="6:6" ht="15.75" customHeight="1">
      <c r="F789" s="2"/>
    </row>
    <row r="790" spans="6:6" ht="15.75" customHeight="1">
      <c r="F790" s="2"/>
    </row>
    <row r="791" spans="6:6" ht="15.75" customHeight="1">
      <c r="F791" s="2"/>
    </row>
    <row r="792" spans="6:6" ht="15.75" customHeight="1">
      <c r="F792" s="2"/>
    </row>
    <row r="793" spans="6:6" ht="15.75" customHeight="1">
      <c r="F793" s="2"/>
    </row>
    <row r="794" spans="6:6" ht="15.75" customHeight="1">
      <c r="F794" s="2"/>
    </row>
    <row r="795" spans="6:6" ht="15.75" customHeight="1">
      <c r="F795" s="2"/>
    </row>
    <row r="796" spans="6:6" ht="15.75" customHeight="1">
      <c r="F796" s="2"/>
    </row>
    <row r="797" spans="6:6" ht="15.75" customHeight="1">
      <c r="F797" s="2"/>
    </row>
    <row r="798" spans="6:6" ht="15.75" customHeight="1">
      <c r="F798" s="2"/>
    </row>
    <row r="799" spans="6:6" ht="15.75" customHeight="1">
      <c r="F799" s="2"/>
    </row>
    <row r="800" spans="6:6" ht="15.75" customHeight="1">
      <c r="F800" s="2"/>
    </row>
    <row r="801" spans="6:6" ht="15.75" customHeight="1">
      <c r="F801" s="2"/>
    </row>
    <row r="802" spans="6:6" ht="15.75" customHeight="1">
      <c r="F802" s="2"/>
    </row>
    <row r="803" spans="6:6" ht="15.75" customHeight="1">
      <c r="F803" s="2"/>
    </row>
    <row r="804" spans="6:6" ht="15.75" customHeight="1">
      <c r="F804" s="2"/>
    </row>
    <row r="805" spans="6:6" ht="15.75" customHeight="1">
      <c r="F805" s="2"/>
    </row>
    <row r="806" spans="6:6" ht="15.75" customHeight="1">
      <c r="F806" s="2"/>
    </row>
    <row r="807" spans="6:6" ht="15.75" customHeight="1">
      <c r="F807" s="2"/>
    </row>
    <row r="808" spans="6:6" ht="15.75" customHeight="1">
      <c r="F808" s="2"/>
    </row>
    <row r="809" spans="6:6" ht="15.75" customHeight="1">
      <c r="F809" s="2"/>
    </row>
    <row r="810" spans="6:6" ht="15.75" customHeight="1">
      <c r="F810" s="2"/>
    </row>
    <row r="811" spans="6:6" ht="15.75" customHeight="1">
      <c r="F811" s="2"/>
    </row>
    <row r="812" spans="6:6" ht="15.75" customHeight="1">
      <c r="F812" s="2"/>
    </row>
    <row r="813" spans="6:6" ht="15.75" customHeight="1">
      <c r="F813" s="2"/>
    </row>
    <row r="814" spans="6:6" ht="15.75" customHeight="1">
      <c r="F814" s="2"/>
    </row>
    <row r="815" spans="6:6" ht="15.75" customHeight="1">
      <c r="F815" s="2"/>
    </row>
    <row r="816" spans="6:6" ht="15.75" customHeight="1">
      <c r="F816" s="2"/>
    </row>
    <row r="817" spans="6:6" ht="15.75" customHeight="1">
      <c r="F817" s="2"/>
    </row>
    <row r="818" spans="6:6" ht="15.75" customHeight="1">
      <c r="F818" s="2"/>
    </row>
    <row r="819" spans="6:6" ht="15.75" customHeight="1">
      <c r="F819" s="2"/>
    </row>
    <row r="820" spans="6:6" ht="15.75" customHeight="1">
      <c r="F820" s="2"/>
    </row>
    <row r="821" spans="6:6" ht="15.75" customHeight="1">
      <c r="F821" s="2"/>
    </row>
    <row r="822" spans="6:6" ht="15.75" customHeight="1">
      <c r="F822" s="2"/>
    </row>
    <row r="823" spans="6:6" ht="15.75" customHeight="1">
      <c r="F823" s="2"/>
    </row>
    <row r="824" spans="6:6" ht="15.75" customHeight="1">
      <c r="F824" s="2"/>
    </row>
    <row r="825" spans="6:6" ht="15.75" customHeight="1">
      <c r="F825" s="2"/>
    </row>
    <row r="826" spans="6:6" ht="15.75" customHeight="1">
      <c r="F826" s="2"/>
    </row>
    <row r="827" spans="6:6" ht="15.75" customHeight="1">
      <c r="F827" s="2"/>
    </row>
    <row r="828" spans="6:6" ht="15.75" customHeight="1">
      <c r="F828" s="2"/>
    </row>
    <row r="829" spans="6:6" ht="15.75" customHeight="1">
      <c r="F829" s="2"/>
    </row>
    <row r="830" spans="6:6" ht="15.75" customHeight="1">
      <c r="F830" s="2"/>
    </row>
    <row r="831" spans="6:6" ht="15.75" customHeight="1">
      <c r="F831" s="2"/>
    </row>
    <row r="832" spans="6:6" ht="15.75" customHeight="1">
      <c r="F832" s="2"/>
    </row>
    <row r="833" spans="6:6" ht="15.75" customHeight="1">
      <c r="F833" s="2"/>
    </row>
    <row r="834" spans="6:6" ht="15.75" customHeight="1">
      <c r="F834" s="2"/>
    </row>
    <row r="835" spans="6:6" ht="15.75" customHeight="1">
      <c r="F835" s="2"/>
    </row>
    <row r="836" spans="6:6" ht="15.75" customHeight="1">
      <c r="F836" s="2"/>
    </row>
    <row r="837" spans="6:6" ht="15.75" customHeight="1">
      <c r="F837" s="2"/>
    </row>
    <row r="838" spans="6:6" ht="15.75" customHeight="1">
      <c r="F838" s="2"/>
    </row>
    <row r="839" spans="6:6" ht="15.75" customHeight="1">
      <c r="F839" s="2"/>
    </row>
    <row r="840" spans="6:6" ht="15.75" customHeight="1">
      <c r="F840" s="2"/>
    </row>
    <row r="841" spans="6:6" ht="15.75" customHeight="1">
      <c r="F841" s="2"/>
    </row>
    <row r="842" spans="6:6" ht="15.75" customHeight="1">
      <c r="F842" s="2"/>
    </row>
    <row r="843" spans="6:6" ht="15.75" customHeight="1">
      <c r="F843" s="2"/>
    </row>
    <row r="844" spans="6:6" ht="15.75" customHeight="1">
      <c r="F844" s="2"/>
    </row>
    <row r="845" spans="6:6" ht="15.75" customHeight="1">
      <c r="F845" s="2"/>
    </row>
    <row r="846" spans="6:6" ht="15.75" customHeight="1">
      <c r="F846" s="2"/>
    </row>
    <row r="847" spans="6:6" ht="15.75" customHeight="1">
      <c r="F847" s="2"/>
    </row>
    <row r="848" spans="6:6" ht="15.75" customHeight="1">
      <c r="F848" s="2"/>
    </row>
    <row r="849" spans="6:6" ht="15.75" customHeight="1">
      <c r="F849" s="2"/>
    </row>
    <row r="850" spans="6:6" ht="15.75" customHeight="1">
      <c r="F850" s="2"/>
    </row>
    <row r="851" spans="6:6" ht="15.75" customHeight="1">
      <c r="F851" s="2"/>
    </row>
    <row r="852" spans="6:6" ht="15.75" customHeight="1">
      <c r="F852" s="2"/>
    </row>
    <row r="853" spans="6:6" ht="15.75" customHeight="1">
      <c r="F853" s="2"/>
    </row>
    <row r="854" spans="6:6" ht="15.75" customHeight="1">
      <c r="F854" s="2"/>
    </row>
    <row r="855" spans="6:6" ht="15.75" customHeight="1">
      <c r="F855" s="2"/>
    </row>
    <row r="856" spans="6:6" ht="15.75" customHeight="1">
      <c r="F856" s="2"/>
    </row>
    <row r="857" spans="6:6" ht="15.75" customHeight="1">
      <c r="F857" s="2"/>
    </row>
    <row r="858" spans="6:6" ht="15.75" customHeight="1">
      <c r="F858" s="2"/>
    </row>
    <row r="859" spans="6:6" ht="15.75" customHeight="1">
      <c r="F859" s="2"/>
    </row>
    <row r="860" spans="6:6" ht="15.75" customHeight="1">
      <c r="F860" s="2"/>
    </row>
    <row r="861" spans="6:6" ht="15.75" customHeight="1">
      <c r="F861" s="2"/>
    </row>
    <row r="862" spans="6:6" ht="15.75" customHeight="1">
      <c r="F862" s="2"/>
    </row>
    <row r="863" spans="6:6" ht="15.75" customHeight="1">
      <c r="F863" s="2"/>
    </row>
    <row r="864" spans="6:6" ht="15.75" customHeight="1">
      <c r="F864" s="2"/>
    </row>
    <row r="865" spans="6:6" ht="15.75" customHeight="1">
      <c r="F865" s="2"/>
    </row>
    <row r="866" spans="6:6" ht="15.75" customHeight="1">
      <c r="F866" s="2"/>
    </row>
    <row r="867" spans="6:6" ht="15.75" customHeight="1">
      <c r="F867" s="2"/>
    </row>
    <row r="868" spans="6:6" ht="15.75" customHeight="1">
      <c r="F868" s="2"/>
    </row>
    <row r="869" spans="6:6" ht="15.75" customHeight="1">
      <c r="F869" s="2"/>
    </row>
    <row r="870" spans="6:6" ht="15.75" customHeight="1">
      <c r="F870" s="2"/>
    </row>
    <row r="871" spans="6:6" ht="15.75" customHeight="1">
      <c r="F871" s="2"/>
    </row>
    <row r="872" spans="6:6" ht="15.75" customHeight="1">
      <c r="F872" s="2"/>
    </row>
    <row r="873" spans="6:6" ht="15.75" customHeight="1">
      <c r="F873" s="2"/>
    </row>
    <row r="874" spans="6:6" ht="15.75" customHeight="1">
      <c r="F874" s="2"/>
    </row>
    <row r="875" spans="6:6" ht="15.75" customHeight="1">
      <c r="F875" s="2"/>
    </row>
    <row r="876" spans="6:6" ht="15.75" customHeight="1">
      <c r="F876" s="2"/>
    </row>
    <row r="877" spans="6:6" ht="15.75" customHeight="1">
      <c r="F877" s="2"/>
    </row>
    <row r="878" spans="6:6" ht="15.75" customHeight="1">
      <c r="F878" s="2"/>
    </row>
    <row r="879" spans="6:6" ht="15.75" customHeight="1">
      <c r="F879" s="2"/>
    </row>
    <row r="880" spans="6:6" ht="15.75" customHeight="1">
      <c r="F880" s="2"/>
    </row>
    <row r="881" spans="6:6" ht="15.75" customHeight="1">
      <c r="F881" s="2"/>
    </row>
    <row r="882" spans="6:6" ht="15.75" customHeight="1">
      <c r="F882" s="2"/>
    </row>
    <row r="883" spans="6:6" ht="15.75" customHeight="1">
      <c r="F883" s="2"/>
    </row>
    <row r="884" spans="6:6" ht="15.75" customHeight="1">
      <c r="F884" s="2"/>
    </row>
    <row r="885" spans="6:6" ht="15.75" customHeight="1">
      <c r="F885" s="2"/>
    </row>
    <row r="886" spans="6:6" ht="15.75" customHeight="1">
      <c r="F886" s="2"/>
    </row>
    <row r="887" spans="6:6" ht="15.75" customHeight="1">
      <c r="F887" s="2"/>
    </row>
    <row r="888" spans="6:6" ht="15.75" customHeight="1">
      <c r="F888" s="2"/>
    </row>
    <row r="889" spans="6:6" ht="15.75" customHeight="1">
      <c r="F889" s="2"/>
    </row>
    <row r="890" spans="6:6" ht="15.75" customHeight="1">
      <c r="F890" s="2"/>
    </row>
    <row r="891" spans="6:6" ht="15.75" customHeight="1">
      <c r="F891" s="2"/>
    </row>
    <row r="892" spans="6:6" ht="15.75" customHeight="1">
      <c r="F892" s="2"/>
    </row>
    <row r="893" spans="6:6" ht="15.75" customHeight="1">
      <c r="F893" s="2"/>
    </row>
    <row r="894" spans="6:6" ht="15.75" customHeight="1">
      <c r="F894" s="2"/>
    </row>
    <row r="895" spans="6:6" ht="15.75" customHeight="1">
      <c r="F895" s="2"/>
    </row>
    <row r="896" spans="6:6" ht="15.75" customHeight="1">
      <c r="F896" s="2"/>
    </row>
    <row r="897" spans="6:6" ht="15.75" customHeight="1">
      <c r="F897" s="2"/>
    </row>
    <row r="898" spans="6:6" ht="15.75" customHeight="1">
      <c r="F898" s="2"/>
    </row>
    <row r="899" spans="6:6" ht="15.75" customHeight="1">
      <c r="F899" s="2"/>
    </row>
    <row r="900" spans="6:6" ht="15.75" customHeight="1">
      <c r="F900" s="2"/>
    </row>
    <row r="901" spans="6:6" ht="15.75" customHeight="1">
      <c r="F901" s="2"/>
    </row>
    <row r="902" spans="6:6" ht="15.75" customHeight="1">
      <c r="F902" s="2"/>
    </row>
    <row r="903" spans="6:6" ht="15.75" customHeight="1">
      <c r="F903" s="2"/>
    </row>
    <row r="904" spans="6:6" ht="15.75" customHeight="1">
      <c r="F904" s="2"/>
    </row>
    <row r="905" spans="6:6" ht="15.75" customHeight="1">
      <c r="F905" s="2"/>
    </row>
    <row r="906" spans="6:6" ht="15.75" customHeight="1">
      <c r="F906" s="2"/>
    </row>
    <row r="907" spans="6:6" ht="15.75" customHeight="1">
      <c r="F907" s="2"/>
    </row>
    <row r="908" spans="6:6" ht="15.75" customHeight="1">
      <c r="F908" s="2"/>
    </row>
    <row r="909" spans="6:6" ht="15.75" customHeight="1">
      <c r="F909" s="2"/>
    </row>
    <row r="910" spans="6:6" ht="15.75" customHeight="1">
      <c r="F910" s="2"/>
    </row>
    <row r="911" spans="6:6" ht="15.75" customHeight="1">
      <c r="F911" s="2"/>
    </row>
    <row r="912" spans="6:6" ht="15.75" customHeight="1">
      <c r="F912" s="2"/>
    </row>
    <row r="913" spans="6:6" ht="15.75" customHeight="1">
      <c r="F913" s="2"/>
    </row>
    <row r="914" spans="6:6" ht="15.75" customHeight="1">
      <c r="F914" s="2"/>
    </row>
    <row r="915" spans="6:6" ht="15.75" customHeight="1">
      <c r="F915" s="2"/>
    </row>
    <row r="916" spans="6:6" ht="15.75" customHeight="1">
      <c r="F916" s="2"/>
    </row>
    <row r="917" spans="6:6" ht="15.75" customHeight="1">
      <c r="F917" s="2"/>
    </row>
    <row r="918" spans="6:6" ht="15.75" customHeight="1">
      <c r="F918" s="2"/>
    </row>
    <row r="919" spans="6:6" ht="15.75" customHeight="1">
      <c r="F919" s="2"/>
    </row>
    <row r="920" spans="6:6" ht="15.75" customHeight="1">
      <c r="F920" s="2"/>
    </row>
    <row r="921" spans="6:6" ht="15.75" customHeight="1">
      <c r="F921" s="2"/>
    </row>
    <row r="922" spans="6:6" ht="15.75" customHeight="1">
      <c r="F922" s="2"/>
    </row>
    <row r="923" spans="6:6" ht="15.75" customHeight="1">
      <c r="F923" s="2"/>
    </row>
    <row r="924" spans="6:6" ht="15.75" customHeight="1">
      <c r="F924" s="2"/>
    </row>
    <row r="925" spans="6:6" ht="15.75" customHeight="1">
      <c r="F925" s="2"/>
    </row>
    <row r="926" spans="6:6" ht="15.75" customHeight="1">
      <c r="F926" s="2"/>
    </row>
    <row r="927" spans="6:6" ht="15.75" customHeight="1">
      <c r="F927" s="2"/>
    </row>
    <row r="928" spans="6:6" ht="15.75" customHeight="1">
      <c r="F928" s="2"/>
    </row>
    <row r="929" spans="6:6" ht="15.75" customHeight="1">
      <c r="F929" s="2"/>
    </row>
    <row r="930" spans="6:6" ht="15.75" customHeight="1">
      <c r="F930" s="2"/>
    </row>
    <row r="931" spans="6:6" ht="15.75" customHeight="1">
      <c r="F931" s="2"/>
    </row>
    <row r="932" spans="6:6" ht="15.75" customHeight="1">
      <c r="F932" s="2"/>
    </row>
    <row r="933" spans="6:6" ht="15.75" customHeight="1">
      <c r="F933" s="2"/>
    </row>
    <row r="934" spans="6:6" ht="15.75" customHeight="1">
      <c r="F934" s="2"/>
    </row>
    <row r="935" spans="6:6" ht="15.75" customHeight="1">
      <c r="F935" s="2"/>
    </row>
    <row r="936" spans="6:6" ht="15.75" customHeight="1">
      <c r="F936" s="2"/>
    </row>
    <row r="937" spans="6:6" ht="15.75" customHeight="1">
      <c r="F937" s="2"/>
    </row>
    <row r="938" spans="6:6" ht="15.75" customHeight="1">
      <c r="F938" s="2"/>
    </row>
    <row r="939" spans="6:6" ht="15.75" customHeight="1">
      <c r="F939" s="2"/>
    </row>
    <row r="940" spans="6:6" ht="15.75" customHeight="1">
      <c r="F940" s="2"/>
    </row>
    <row r="941" spans="6:6" ht="15.75" customHeight="1">
      <c r="F941" s="2"/>
    </row>
    <row r="942" spans="6:6" ht="15.75" customHeight="1">
      <c r="F942" s="2"/>
    </row>
    <row r="943" spans="6:6" ht="15.75" customHeight="1">
      <c r="F943" s="2"/>
    </row>
    <row r="944" spans="6:6" ht="15.75" customHeight="1">
      <c r="F944" s="2"/>
    </row>
    <row r="945" spans="6:6" ht="15.75" customHeight="1">
      <c r="F945" s="2"/>
    </row>
    <row r="946" spans="6:6" ht="15.75" customHeight="1">
      <c r="F946" s="2"/>
    </row>
    <row r="947" spans="6:6" ht="15.75" customHeight="1">
      <c r="F947" s="2"/>
    </row>
    <row r="948" spans="6:6" ht="15.75" customHeight="1">
      <c r="F948" s="2"/>
    </row>
    <row r="949" spans="6:6" ht="15.75" customHeight="1">
      <c r="F949" s="2"/>
    </row>
    <row r="950" spans="6:6" ht="15.75" customHeight="1">
      <c r="F950" s="2"/>
    </row>
    <row r="951" spans="6:6" ht="15.75" customHeight="1">
      <c r="F951" s="2"/>
    </row>
    <row r="952" spans="6:6" ht="15.75" customHeight="1">
      <c r="F952" s="2"/>
    </row>
    <row r="953" spans="6:6" ht="15.75" customHeight="1">
      <c r="F953" s="2"/>
    </row>
    <row r="954" spans="6:6" ht="15.75" customHeight="1">
      <c r="F954" s="2"/>
    </row>
    <row r="955" spans="6:6" ht="15.75" customHeight="1">
      <c r="F955" s="2"/>
    </row>
    <row r="956" spans="6:6" ht="15.75" customHeight="1">
      <c r="F956" s="2"/>
    </row>
    <row r="957" spans="6:6" ht="15.75" customHeight="1">
      <c r="F957" s="2"/>
    </row>
    <row r="958" spans="6:6" ht="15.75" customHeight="1">
      <c r="F958" s="2"/>
    </row>
    <row r="959" spans="6:6" ht="15.75" customHeight="1">
      <c r="F959" s="2"/>
    </row>
    <row r="960" spans="6:6" ht="15.75" customHeight="1">
      <c r="F960" s="2"/>
    </row>
    <row r="961" spans="6:6" ht="15.75" customHeight="1">
      <c r="F961" s="2"/>
    </row>
    <row r="962" spans="6:6" ht="15.75" customHeight="1">
      <c r="F962" s="2"/>
    </row>
    <row r="963" spans="6:6" ht="15.75" customHeight="1">
      <c r="F963" s="2"/>
    </row>
    <row r="964" spans="6:6" ht="15.75" customHeight="1">
      <c r="F964" s="2"/>
    </row>
    <row r="965" spans="6:6" ht="15.75" customHeight="1">
      <c r="F965" s="2"/>
    </row>
    <row r="966" spans="6:6" ht="15.75" customHeight="1">
      <c r="F966" s="2"/>
    </row>
    <row r="967" spans="6:6" ht="15.75" customHeight="1">
      <c r="F967" s="2"/>
    </row>
    <row r="968" spans="6:6" ht="15.75" customHeight="1">
      <c r="F968" s="2"/>
    </row>
    <row r="969" spans="6:6" ht="15.75" customHeight="1">
      <c r="F969" s="2"/>
    </row>
    <row r="970" spans="6:6" ht="15.75" customHeight="1">
      <c r="F970" s="2"/>
    </row>
    <row r="971" spans="6:6" ht="15.75" customHeight="1">
      <c r="F971" s="2"/>
    </row>
    <row r="972" spans="6:6" ht="15.75" customHeight="1">
      <c r="F972" s="2"/>
    </row>
    <row r="973" spans="6:6" ht="15.75" customHeight="1">
      <c r="F973" s="2"/>
    </row>
    <row r="974" spans="6:6" ht="15.75" customHeight="1">
      <c r="F974" s="2"/>
    </row>
    <row r="975" spans="6:6" ht="15.75" customHeight="1">
      <c r="F975" s="2"/>
    </row>
    <row r="976" spans="6:6" ht="15.75" customHeight="1">
      <c r="F976" s="2"/>
    </row>
    <row r="977" spans="6:6" ht="15.75" customHeight="1">
      <c r="F977" s="2"/>
    </row>
    <row r="978" spans="6:6" ht="15.75" customHeight="1">
      <c r="F978" s="2"/>
    </row>
    <row r="979" spans="6:6" ht="15.75" customHeight="1">
      <c r="F979" s="2"/>
    </row>
    <row r="980" spans="6:6" ht="15.75" customHeight="1">
      <c r="F980" s="2"/>
    </row>
    <row r="981" spans="6:6" ht="15.75" customHeight="1">
      <c r="F981" s="2"/>
    </row>
    <row r="982" spans="6:6" ht="15.75" customHeight="1">
      <c r="F982" s="2"/>
    </row>
    <row r="983" spans="6:6" ht="15.75" customHeight="1">
      <c r="F983" s="2"/>
    </row>
    <row r="984" spans="6:6" ht="15.75" customHeight="1">
      <c r="F984" s="2"/>
    </row>
    <row r="985" spans="6:6" ht="15.75" customHeight="1">
      <c r="F985" s="2"/>
    </row>
    <row r="986" spans="6:6" ht="15.75" customHeight="1">
      <c r="F986" s="2"/>
    </row>
    <row r="987" spans="6:6" ht="15.75" customHeight="1">
      <c r="F987" s="2"/>
    </row>
    <row r="988" spans="6:6" ht="15.75" customHeight="1">
      <c r="F988" s="2"/>
    </row>
    <row r="989" spans="6:6" ht="15.75" customHeight="1">
      <c r="F989" s="2"/>
    </row>
    <row r="990" spans="6:6" ht="15.75" customHeight="1">
      <c r="F990" s="2"/>
    </row>
    <row r="991" spans="6:6" ht="15.75" customHeight="1">
      <c r="F991" s="2"/>
    </row>
    <row r="992" spans="6:6" ht="15.75" customHeight="1">
      <c r="F992" s="2"/>
    </row>
    <row r="993" spans="6:6" ht="15.75" customHeight="1">
      <c r="F993" s="2"/>
    </row>
    <row r="994" spans="6:6" ht="15.75" customHeight="1">
      <c r="F994" s="2"/>
    </row>
    <row r="995" spans="6:6" ht="15.75" customHeight="1">
      <c r="F995" s="2"/>
    </row>
    <row r="996" spans="6:6" ht="15.75" customHeight="1">
      <c r="F996" s="2"/>
    </row>
    <row r="997" spans="6:6" ht="15.75" customHeight="1">
      <c r="F997" s="2"/>
    </row>
    <row r="998" spans="6:6" ht="15.75" customHeight="1">
      <c r="F998" s="2"/>
    </row>
    <row r="999" spans="6:6" ht="15.75" customHeight="1">
      <c r="F999" s="2"/>
    </row>
    <row r="1000" spans="6:6" ht="15.75" customHeight="1">
      <c r="F1000" s="2"/>
    </row>
    <row r="1001" spans="6:6" ht="15.75" customHeight="1">
      <c r="F1001" s="2"/>
    </row>
    <row r="1002" spans="6:6" ht="15.75" customHeight="1">
      <c r="F1002" s="2"/>
    </row>
    <row r="1003" spans="6:6" ht="15.75" customHeight="1">
      <c r="F1003" s="2"/>
    </row>
    <row r="1004" spans="6:6" ht="15.75" customHeight="1">
      <c r="F1004" s="2"/>
    </row>
    <row r="1005" spans="6:6" ht="15.75" customHeight="1">
      <c r="F1005" s="2"/>
    </row>
  </sheetData>
  <mergeCells count="12">
    <mergeCell ref="B13:F13"/>
    <mergeCell ref="H14:L14"/>
    <mergeCell ref="C2:C3"/>
    <mergeCell ref="B6:F6"/>
    <mergeCell ref="H6:L6"/>
    <mergeCell ref="D7:E7"/>
    <mergeCell ref="J7:K7"/>
    <mergeCell ref="J15:K15"/>
    <mergeCell ref="H20:L20"/>
    <mergeCell ref="B21:F21"/>
    <mergeCell ref="J21:K21"/>
    <mergeCell ref="D22:E22"/>
  </mergeCell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O1000"/>
  <sheetViews>
    <sheetView workbookViewId="0"/>
  </sheetViews>
  <sheetFormatPr baseColWidth="10" defaultColWidth="12.6640625" defaultRowHeight="15" customHeight="1"/>
  <cols>
    <col min="1" max="3" width="9.33203125" customWidth="1"/>
    <col min="4" max="4" width="11.5" customWidth="1"/>
    <col min="5" max="5" width="10.5" customWidth="1"/>
    <col min="6" max="6" width="9.33203125" customWidth="1"/>
    <col min="7" max="7" width="10.5" customWidth="1"/>
    <col min="8" max="8" width="11.6640625" customWidth="1"/>
    <col min="9" max="11" width="9.33203125" customWidth="1"/>
    <col min="12" max="12" width="12.33203125" customWidth="1"/>
    <col min="13" max="13" width="14.6640625" customWidth="1"/>
    <col min="14" max="14" width="11.1640625" customWidth="1"/>
    <col min="15" max="15" width="12.6640625" customWidth="1"/>
    <col min="16" max="26" width="9.33203125" customWidth="1"/>
  </cols>
  <sheetData>
    <row r="3" spans="3:15" ht="16">
      <c r="E3" s="183" t="s">
        <v>221</v>
      </c>
    </row>
    <row r="8" spans="3:15">
      <c r="C8" s="385" t="s">
        <v>145</v>
      </c>
      <c r="D8" s="377"/>
      <c r="E8" s="377"/>
      <c r="F8" s="377"/>
      <c r="G8" s="377"/>
      <c r="H8" s="377"/>
      <c r="I8" s="378"/>
      <c r="J8" s="2"/>
      <c r="K8" s="2"/>
      <c r="L8" s="153" t="s">
        <v>222</v>
      </c>
      <c r="M8" s="184">
        <f>+'%DEUDA'!C11</f>
        <v>289010</v>
      </c>
      <c r="N8" s="2"/>
    </row>
    <row r="9" spans="3:15">
      <c r="C9" s="379"/>
      <c r="D9" s="380"/>
      <c r="E9" s="380"/>
      <c r="F9" s="380"/>
      <c r="G9" s="380"/>
      <c r="H9" s="380"/>
      <c r="I9" s="381"/>
      <c r="J9" s="2"/>
      <c r="K9" s="2"/>
      <c r="L9" s="153" t="s">
        <v>224</v>
      </c>
      <c r="M9" s="185">
        <v>0.17</v>
      </c>
      <c r="N9" s="2"/>
    </row>
    <row r="10" spans="3:15">
      <c r="C10" s="187"/>
      <c r="D10" s="144"/>
      <c r="E10" s="175"/>
      <c r="F10" s="188"/>
      <c r="G10" s="189"/>
      <c r="H10" s="2"/>
      <c r="I10" s="175"/>
      <c r="J10" s="2"/>
      <c r="K10" s="2"/>
      <c r="L10" s="153" t="s">
        <v>225</v>
      </c>
      <c r="M10" s="190">
        <f>((1+M9)^(1/12))-1</f>
        <v>1.3169611131462311E-2</v>
      </c>
      <c r="N10" s="153" t="s">
        <v>226</v>
      </c>
      <c r="O10" s="12">
        <f>(1-(1+M10)^-60)/M10</f>
        <v>41.298778091071341</v>
      </c>
    </row>
    <row r="11" spans="3:15">
      <c r="C11" s="386" t="s">
        <v>227</v>
      </c>
      <c r="D11" s="350"/>
      <c r="E11" s="350"/>
      <c r="F11" s="350"/>
      <c r="G11" s="350"/>
      <c r="H11" s="350"/>
      <c r="I11" s="340"/>
      <c r="J11" s="2"/>
      <c r="K11" s="2"/>
      <c r="L11" s="153" t="s">
        <v>228</v>
      </c>
      <c r="M11" s="195">
        <v>60</v>
      </c>
      <c r="N11" s="153" t="s">
        <v>229</v>
      </c>
      <c r="O11" s="196">
        <f>M8/O10</f>
        <v>6998.0278681049649</v>
      </c>
    </row>
    <row r="12" spans="3:15" ht="24">
      <c r="C12" s="198" t="s">
        <v>230</v>
      </c>
      <c r="D12" s="198" t="s">
        <v>231</v>
      </c>
      <c r="E12" s="198" t="s">
        <v>232</v>
      </c>
      <c r="F12" s="198" t="s">
        <v>233</v>
      </c>
      <c r="G12" s="198" t="s">
        <v>234</v>
      </c>
      <c r="H12" s="198" t="s">
        <v>235</v>
      </c>
      <c r="I12" s="198" t="s">
        <v>236</v>
      </c>
      <c r="J12" s="2"/>
      <c r="K12" s="2"/>
      <c r="L12" s="2"/>
      <c r="M12" s="2"/>
      <c r="N12" s="2"/>
      <c r="O12" s="2"/>
    </row>
    <row r="13" spans="3:15" ht="15" customHeight="1">
      <c r="C13" s="199">
        <v>1</v>
      </c>
      <c r="D13" s="200">
        <f>M8</f>
        <v>289010</v>
      </c>
      <c r="E13" s="200">
        <f t="shared" ref="E13:E72" si="0">$O$11</f>
        <v>6998.0278681049649</v>
      </c>
      <c r="F13" s="201">
        <f t="shared" ref="F13:F72" si="1">D13*$M$10</f>
        <v>3806.1493131039224</v>
      </c>
      <c r="G13" s="200">
        <f t="shared" ref="G13:G72" si="2">E13-F13</f>
        <v>3191.8785550010425</v>
      </c>
      <c r="H13" s="200">
        <f t="shared" ref="H13:H72" si="3">D13-G13</f>
        <v>285818.12144499895</v>
      </c>
      <c r="I13" s="202">
        <v>1</v>
      </c>
      <c r="J13" s="203"/>
      <c r="K13" s="203"/>
      <c r="L13" s="2"/>
      <c r="M13" s="348" t="s">
        <v>217</v>
      </c>
      <c r="N13" s="334"/>
      <c r="O13" s="332"/>
    </row>
    <row r="14" spans="3:15" ht="15" customHeight="1">
      <c r="C14" s="204">
        <v>1</v>
      </c>
      <c r="D14" s="205">
        <f t="shared" ref="D14:D72" si="4">H13</f>
        <v>285818.12144499895</v>
      </c>
      <c r="E14" s="200">
        <f t="shared" si="0"/>
        <v>6998.0278681049649</v>
      </c>
      <c r="F14" s="201">
        <f t="shared" si="1"/>
        <v>3764.1135137557048</v>
      </c>
      <c r="G14" s="200">
        <f t="shared" si="2"/>
        <v>3233.9143543492601</v>
      </c>
      <c r="H14" s="200">
        <f t="shared" si="3"/>
        <v>282584.2070906497</v>
      </c>
      <c r="I14" s="208">
        <f t="shared" ref="I14:I36" si="5">1+I13</f>
        <v>2</v>
      </c>
      <c r="J14" s="2"/>
      <c r="K14" s="2"/>
      <c r="L14" s="2"/>
      <c r="M14" s="209" t="s">
        <v>230</v>
      </c>
      <c r="N14" s="209" t="s">
        <v>232</v>
      </c>
      <c r="O14" s="209" t="s">
        <v>233</v>
      </c>
    </row>
    <row r="15" spans="3:15">
      <c r="C15" s="199">
        <v>1</v>
      </c>
      <c r="D15" s="205">
        <f t="shared" si="4"/>
        <v>282584.2070906497</v>
      </c>
      <c r="E15" s="200">
        <f t="shared" si="0"/>
        <v>6998.0278681049649</v>
      </c>
      <c r="F15" s="201">
        <f t="shared" si="1"/>
        <v>3721.5241192764711</v>
      </c>
      <c r="G15" s="200">
        <f t="shared" si="2"/>
        <v>3276.5037488284938</v>
      </c>
      <c r="H15" s="200">
        <f t="shared" si="3"/>
        <v>279307.70334182121</v>
      </c>
      <c r="I15" s="202">
        <f t="shared" si="5"/>
        <v>3</v>
      </c>
      <c r="J15" s="2"/>
      <c r="K15" s="2"/>
      <c r="L15" s="2"/>
      <c r="M15" s="211">
        <v>1</v>
      </c>
      <c r="N15" s="213">
        <f>SUMIF($C$13:$C$72,C13,E13:E72)</f>
        <v>83976.334417259597</v>
      </c>
      <c r="O15" s="213">
        <f>SUMIF($C$13:$C$24,C13,F13:F24)</f>
        <v>42773.951982910301</v>
      </c>
    </row>
    <row r="16" spans="3:15">
      <c r="C16" s="204">
        <v>1</v>
      </c>
      <c r="D16" s="205">
        <f t="shared" si="4"/>
        <v>279307.70334182121</v>
      </c>
      <c r="E16" s="200">
        <f t="shared" si="0"/>
        <v>6998.0278681049649</v>
      </c>
      <c r="F16" s="201">
        <f t="shared" si="1"/>
        <v>3678.3738390336216</v>
      </c>
      <c r="G16" s="200">
        <f t="shared" si="2"/>
        <v>3319.6540290713433</v>
      </c>
      <c r="H16" s="200">
        <f t="shared" si="3"/>
        <v>275988.04931274988</v>
      </c>
      <c r="I16" s="208">
        <f t="shared" si="5"/>
        <v>4</v>
      </c>
      <c r="J16" s="2"/>
      <c r="K16" s="2"/>
      <c r="L16" s="175"/>
      <c r="M16" s="217">
        <v>2</v>
      </c>
      <c r="N16" s="219">
        <f>SUMIF($C$13:$C$72,C25,$E$13:$E$72)</f>
        <v>83976.334417259597</v>
      </c>
      <c r="O16" s="219">
        <f>SUMIF($C$25:$C$36,C25,F25:F36)</f>
        <v>35769.546969070972</v>
      </c>
    </row>
    <row r="17" spans="3:15">
      <c r="C17" s="199">
        <v>1</v>
      </c>
      <c r="D17" s="205">
        <f t="shared" si="4"/>
        <v>275988.04931274988</v>
      </c>
      <c r="E17" s="200">
        <f t="shared" si="0"/>
        <v>6998.0278681049649</v>
      </c>
      <c r="F17" s="201">
        <f t="shared" si="1"/>
        <v>3634.6552863797601</v>
      </c>
      <c r="G17" s="200">
        <f t="shared" si="2"/>
        <v>3363.3725817252048</v>
      </c>
      <c r="H17" s="200">
        <f t="shared" si="3"/>
        <v>272624.67673102469</v>
      </c>
      <c r="I17" s="202">
        <f t="shared" si="5"/>
        <v>5</v>
      </c>
      <c r="J17" s="2"/>
      <c r="K17" s="2"/>
      <c r="L17" s="2"/>
      <c r="M17" s="211">
        <v>3</v>
      </c>
      <c r="N17" s="213">
        <f t="shared" ref="N17:N19" si="6">SUMIF($C$13:$C$72,C37,$E$13:$E$72)</f>
        <v>83976.334417259597</v>
      </c>
      <c r="O17" s="213">
        <f>SUMIF($C$37:$C$48,C37,$F$37:$F$48)</f>
        <v>27574.393102878959</v>
      </c>
    </row>
    <row r="18" spans="3:15">
      <c r="C18" s="204">
        <v>1</v>
      </c>
      <c r="D18" s="205">
        <f t="shared" si="4"/>
        <v>272624.67673102469</v>
      </c>
      <c r="E18" s="200">
        <f t="shared" si="0"/>
        <v>6998.0278681049649</v>
      </c>
      <c r="F18" s="201">
        <f t="shared" si="1"/>
        <v>3590.3609773882167</v>
      </c>
      <c r="G18" s="200">
        <f t="shared" si="2"/>
        <v>3407.6668907167482</v>
      </c>
      <c r="H18" s="200">
        <f t="shared" si="3"/>
        <v>269217.00984030793</v>
      </c>
      <c r="I18" s="208">
        <f t="shared" si="5"/>
        <v>6</v>
      </c>
      <c r="J18" s="2"/>
      <c r="K18" s="2"/>
      <c r="L18" s="2"/>
      <c r="M18" s="217">
        <v>4</v>
      </c>
      <c r="N18" s="213">
        <f t="shared" si="6"/>
        <v>83976.334417259597</v>
      </c>
      <c r="O18" s="213">
        <f>SUMIF($C$49:$C$60,C49,$F$49:$F$60)</f>
        <v>17986.063079434316</v>
      </c>
    </row>
    <row r="19" spans="3:15">
      <c r="C19" s="199">
        <v>1</v>
      </c>
      <c r="D19" s="205">
        <f t="shared" si="4"/>
        <v>269217.00984030793</v>
      </c>
      <c r="E19" s="200">
        <f t="shared" si="0"/>
        <v>6998.0278681049649</v>
      </c>
      <c r="F19" s="201">
        <f t="shared" si="1"/>
        <v>3545.4833295719177</v>
      </c>
      <c r="G19" s="200">
        <f t="shared" si="2"/>
        <v>3452.5445385330472</v>
      </c>
      <c r="H19" s="200">
        <f t="shared" si="3"/>
        <v>265764.46530177491</v>
      </c>
      <c r="I19" s="202">
        <f t="shared" si="5"/>
        <v>7</v>
      </c>
      <c r="J19" s="2"/>
      <c r="K19" s="2"/>
      <c r="L19" s="2"/>
      <c r="M19" s="211">
        <v>5</v>
      </c>
      <c r="N19" s="213">
        <f t="shared" si="6"/>
        <v>83976.334417259597</v>
      </c>
      <c r="O19" s="213">
        <f>SUMIF($C$61:$C$72,C61,$F$61:$F$72)</f>
        <v>6767.7169520040998</v>
      </c>
    </row>
    <row r="20" spans="3:15">
      <c r="C20" s="204">
        <v>1</v>
      </c>
      <c r="D20" s="205">
        <f t="shared" si="4"/>
        <v>265764.46530177491</v>
      </c>
      <c r="E20" s="200">
        <f t="shared" si="0"/>
        <v>6998.0278681049649</v>
      </c>
      <c r="F20" s="201">
        <f t="shared" si="1"/>
        <v>3500.0146605853838</v>
      </c>
      <c r="G20" s="200">
        <f t="shared" si="2"/>
        <v>3498.0132075195811</v>
      </c>
      <c r="H20" s="200">
        <f t="shared" si="3"/>
        <v>262266.45209425531</v>
      </c>
      <c r="I20" s="208">
        <f t="shared" si="5"/>
        <v>8</v>
      </c>
      <c r="J20" s="2"/>
      <c r="K20" s="2"/>
      <c r="L20" s="2"/>
      <c r="M20" s="238" t="s">
        <v>124</v>
      </c>
      <c r="N20" s="240">
        <f t="shared" ref="N20:O20" si="7">SUM(N15:N19)</f>
        <v>419881.672086298</v>
      </c>
      <c r="O20" s="240">
        <f t="shared" si="7"/>
        <v>130871.67208629867</v>
      </c>
    </row>
    <row r="21" spans="3:15" ht="15.75" customHeight="1">
      <c r="C21" s="199">
        <v>1</v>
      </c>
      <c r="D21" s="205">
        <f t="shared" si="4"/>
        <v>262266.45209425531</v>
      </c>
      <c r="E21" s="200">
        <f t="shared" si="0"/>
        <v>6998.0278681049649</v>
      </c>
      <c r="F21" s="201">
        <f t="shared" si="1"/>
        <v>3453.9471869096315</v>
      </c>
      <c r="G21" s="200">
        <f t="shared" si="2"/>
        <v>3544.0806811953335</v>
      </c>
      <c r="H21" s="200">
        <f t="shared" si="3"/>
        <v>258722.37141305997</v>
      </c>
      <c r="I21" s="202">
        <f t="shared" si="5"/>
        <v>9</v>
      </c>
      <c r="J21" s="2"/>
      <c r="K21" s="2"/>
      <c r="L21" s="2"/>
      <c r="M21" s="2"/>
      <c r="N21" s="2"/>
      <c r="O21" s="2"/>
    </row>
    <row r="22" spans="3:15" ht="15.75" customHeight="1">
      <c r="C22" s="204">
        <v>1</v>
      </c>
      <c r="D22" s="205">
        <f t="shared" si="4"/>
        <v>258722.37141305997</v>
      </c>
      <c r="E22" s="200">
        <f t="shared" si="0"/>
        <v>6998.0278681049649</v>
      </c>
      <c r="F22" s="201">
        <f t="shared" si="1"/>
        <v>3407.2730225197611</v>
      </c>
      <c r="G22" s="200">
        <f t="shared" si="2"/>
        <v>3590.7548455852038</v>
      </c>
      <c r="H22" s="200">
        <f t="shared" si="3"/>
        <v>255131.61656747476</v>
      </c>
      <c r="I22" s="208">
        <f t="shared" si="5"/>
        <v>10</v>
      </c>
      <c r="J22" s="2"/>
      <c r="K22" s="2"/>
      <c r="L22" s="2"/>
      <c r="M22" s="2"/>
      <c r="N22" s="2"/>
      <c r="O22" s="188"/>
    </row>
    <row r="23" spans="3:15" ht="15.75" customHeight="1">
      <c r="C23" s="199">
        <v>1</v>
      </c>
      <c r="D23" s="205">
        <f t="shared" si="4"/>
        <v>255131.61656747476</v>
      </c>
      <c r="E23" s="200">
        <f t="shared" si="0"/>
        <v>6998.0278681049649</v>
      </c>
      <c r="F23" s="201">
        <f t="shared" si="1"/>
        <v>3359.9841775349896</v>
      </c>
      <c r="G23" s="200">
        <f t="shared" si="2"/>
        <v>3638.0436905699753</v>
      </c>
      <c r="H23" s="200">
        <f t="shared" si="3"/>
        <v>251493.5728769048</v>
      </c>
      <c r="I23" s="202">
        <f t="shared" si="5"/>
        <v>11</v>
      </c>
      <c r="J23" s="2"/>
      <c r="K23" s="2"/>
      <c r="L23" s="2"/>
      <c r="M23" s="2"/>
      <c r="N23" s="2"/>
      <c r="O23" s="2"/>
    </row>
    <row r="24" spans="3:15" ht="15.75" customHeight="1">
      <c r="C24" s="204">
        <v>1</v>
      </c>
      <c r="D24" s="205">
        <f t="shared" si="4"/>
        <v>251493.5728769048</v>
      </c>
      <c r="E24" s="200">
        <f t="shared" si="0"/>
        <v>6998.0278681049649</v>
      </c>
      <c r="F24" s="201">
        <f t="shared" si="1"/>
        <v>3312.0725568509133</v>
      </c>
      <c r="G24" s="200">
        <f t="shared" si="2"/>
        <v>3685.9553112540516</v>
      </c>
      <c r="H24" s="200">
        <f t="shared" si="3"/>
        <v>247807.61756565075</v>
      </c>
      <c r="I24" s="208">
        <f t="shared" si="5"/>
        <v>12</v>
      </c>
      <c r="J24" s="2"/>
      <c r="K24" s="2"/>
      <c r="L24" s="2"/>
      <c r="M24" s="2"/>
      <c r="N24" s="2"/>
      <c r="O24" s="2"/>
    </row>
    <row r="25" spans="3:15" ht="15.75" customHeight="1">
      <c r="C25" s="199">
        <v>2</v>
      </c>
      <c r="D25" s="205">
        <f t="shared" si="4"/>
        <v>247807.61756565075</v>
      </c>
      <c r="E25" s="200">
        <f t="shared" si="0"/>
        <v>6998.0278681049649</v>
      </c>
      <c r="F25" s="201">
        <f t="shared" si="1"/>
        <v>3263.5299587537493</v>
      </c>
      <c r="G25" s="200">
        <f t="shared" si="2"/>
        <v>3734.4979093512156</v>
      </c>
      <c r="H25" s="200">
        <f t="shared" si="3"/>
        <v>244073.11965629953</v>
      </c>
      <c r="I25" s="202">
        <f t="shared" si="5"/>
        <v>13</v>
      </c>
      <c r="J25" s="203"/>
      <c r="K25" s="203"/>
      <c r="L25" s="2"/>
      <c r="M25" s="2"/>
      <c r="N25" s="2"/>
      <c r="O25" s="2"/>
    </row>
    <row r="26" spans="3:15" ht="15.75" customHeight="1">
      <c r="C26" s="204">
        <v>2</v>
      </c>
      <c r="D26" s="205">
        <f t="shared" si="4"/>
        <v>244073.11965629953</v>
      </c>
      <c r="E26" s="200">
        <f t="shared" si="0"/>
        <v>6998.0278681049649</v>
      </c>
      <c r="F26" s="201">
        <f t="shared" si="1"/>
        <v>3214.3480735163348</v>
      </c>
      <c r="G26" s="200">
        <f t="shared" si="2"/>
        <v>3783.6797945886301</v>
      </c>
      <c r="H26" s="200">
        <f t="shared" si="3"/>
        <v>240289.43986171091</v>
      </c>
      <c r="I26" s="208">
        <f t="shared" si="5"/>
        <v>14</v>
      </c>
      <c r="J26" s="2"/>
      <c r="K26" s="2"/>
      <c r="L26" s="2"/>
      <c r="M26" s="2"/>
      <c r="N26" s="2"/>
      <c r="O26" s="2"/>
    </row>
    <row r="27" spans="3:15" ht="15.75" customHeight="1">
      <c r="C27" s="199">
        <v>2</v>
      </c>
      <c r="D27" s="205">
        <f t="shared" si="4"/>
        <v>240289.43986171091</v>
      </c>
      <c r="E27" s="200">
        <f t="shared" si="0"/>
        <v>6998.0278681049649</v>
      </c>
      <c r="F27" s="201">
        <f t="shared" si="1"/>
        <v>3164.5184819756314</v>
      </c>
      <c r="G27" s="200">
        <f t="shared" si="2"/>
        <v>3833.5093861293335</v>
      </c>
      <c r="H27" s="200">
        <f t="shared" si="3"/>
        <v>236455.93047558158</v>
      </c>
      <c r="I27" s="202">
        <f t="shared" si="5"/>
        <v>15</v>
      </c>
      <c r="J27" s="2"/>
      <c r="K27" s="2"/>
      <c r="L27" s="2"/>
      <c r="M27" s="2"/>
      <c r="N27" s="2"/>
      <c r="O27" s="2"/>
    </row>
    <row r="28" spans="3:15" ht="15.75" customHeight="1">
      <c r="C28" s="204">
        <v>2</v>
      </c>
      <c r="D28" s="205">
        <f t="shared" si="4"/>
        <v>236455.93047558158</v>
      </c>
      <c r="E28" s="200">
        <f t="shared" si="0"/>
        <v>6998.0278681049649</v>
      </c>
      <c r="F28" s="201">
        <f t="shared" si="1"/>
        <v>3114.0326540914975</v>
      </c>
      <c r="G28" s="200">
        <f t="shared" si="2"/>
        <v>3883.9952140134674</v>
      </c>
      <c r="H28" s="200">
        <f t="shared" si="3"/>
        <v>232571.93526156811</v>
      </c>
      <c r="I28" s="208">
        <f t="shared" si="5"/>
        <v>16</v>
      </c>
      <c r="J28" s="2"/>
      <c r="K28" s="2"/>
      <c r="L28" s="2"/>
      <c r="M28" s="2"/>
      <c r="N28" s="2"/>
      <c r="O28" s="2"/>
    </row>
    <row r="29" spans="3:15" ht="15.75" customHeight="1">
      <c r="C29" s="199">
        <v>2</v>
      </c>
      <c r="D29" s="205">
        <f t="shared" si="4"/>
        <v>232571.93526156811</v>
      </c>
      <c r="E29" s="200">
        <f t="shared" si="0"/>
        <v>6998.0278681049649</v>
      </c>
      <c r="F29" s="201">
        <f t="shared" si="1"/>
        <v>3062.8819474864795</v>
      </c>
      <c r="G29" s="200">
        <f t="shared" si="2"/>
        <v>3935.1459206184854</v>
      </c>
      <c r="H29" s="200">
        <f t="shared" si="3"/>
        <v>228636.78934094962</v>
      </c>
      <c r="I29" s="202">
        <f t="shared" si="5"/>
        <v>17</v>
      </c>
      <c r="J29" s="2"/>
      <c r="K29" s="2"/>
      <c r="L29" s="2"/>
      <c r="M29" s="2"/>
      <c r="N29" s="2"/>
      <c r="O29" s="2"/>
    </row>
    <row r="30" spans="3:15" ht="15.75" customHeight="1">
      <c r="C30" s="204">
        <v>2</v>
      </c>
      <c r="D30" s="205">
        <f t="shared" si="4"/>
        <v>228636.78934094962</v>
      </c>
      <c r="E30" s="200">
        <f t="shared" si="0"/>
        <v>6998.0278681049649</v>
      </c>
      <c r="F30" s="201">
        <f t="shared" si="1"/>
        <v>3011.0576059663736</v>
      </c>
      <c r="G30" s="200">
        <f t="shared" si="2"/>
        <v>3986.9702621385914</v>
      </c>
      <c r="H30" s="200">
        <f t="shared" si="3"/>
        <v>224649.81907881104</v>
      </c>
      <c r="I30" s="208">
        <f t="shared" si="5"/>
        <v>18</v>
      </c>
      <c r="J30" s="2"/>
      <c r="K30" s="2"/>
      <c r="L30" s="2"/>
      <c r="M30" s="2"/>
      <c r="N30" s="2"/>
      <c r="O30" s="2"/>
    </row>
    <row r="31" spans="3:15" ht="15.75" customHeight="1">
      <c r="C31" s="199">
        <v>2</v>
      </c>
      <c r="D31" s="205">
        <f t="shared" si="4"/>
        <v>224649.81907881104</v>
      </c>
      <c r="E31" s="200">
        <f t="shared" si="0"/>
        <v>6998.0278681049649</v>
      </c>
      <c r="F31" s="201">
        <f t="shared" si="1"/>
        <v>2958.5507580213039</v>
      </c>
      <c r="G31" s="200">
        <f t="shared" si="2"/>
        <v>4039.477110083661</v>
      </c>
      <c r="H31" s="200">
        <f t="shared" si="3"/>
        <v>220610.34196872739</v>
      </c>
      <c r="I31" s="202">
        <f t="shared" si="5"/>
        <v>19</v>
      </c>
      <c r="J31" s="2"/>
      <c r="K31" s="2"/>
      <c r="L31" s="2"/>
      <c r="M31" s="2"/>
      <c r="N31" s="2"/>
      <c r="O31" s="2"/>
    </row>
    <row r="32" spans="3:15" ht="15.75" customHeight="1">
      <c r="C32" s="204">
        <v>2</v>
      </c>
      <c r="D32" s="205">
        <f t="shared" si="4"/>
        <v>220610.34196872739</v>
      </c>
      <c r="E32" s="200">
        <f t="shared" si="0"/>
        <v>6998.0278681049649</v>
      </c>
      <c r="F32" s="201">
        <f t="shared" si="1"/>
        <v>2905.3524153070593</v>
      </c>
      <c r="G32" s="200">
        <f t="shared" si="2"/>
        <v>4092.6754527979056</v>
      </c>
      <c r="H32" s="200">
        <f t="shared" si="3"/>
        <v>216517.66651592948</v>
      </c>
      <c r="I32" s="208">
        <f t="shared" si="5"/>
        <v>20</v>
      </c>
      <c r="J32" s="2"/>
      <c r="K32" s="2"/>
      <c r="L32" s="2"/>
      <c r="M32" s="2"/>
      <c r="N32" s="2"/>
      <c r="O32" s="2"/>
    </row>
    <row r="33" spans="3:15" ht="15.75" customHeight="1">
      <c r="C33" s="199">
        <v>2</v>
      </c>
      <c r="D33" s="205">
        <f t="shared" si="4"/>
        <v>216517.66651592948</v>
      </c>
      <c r="E33" s="200">
        <f t="shared" si="0"/>
        <v>6998.0278681049649</v>
      </c>
      <c r="F33" s="201">
        <f t="shared" si="1"/>
        <v>2851.4534711064293</v>
      </c>
      <c r="G33" s="200">
        <f t="shared" si="2"/>
        <v>4146.574396998536</v>
      </c>
      <c r="H33" s="200">
        <f t="shared" si="3"/>
        <v>212371.09211893094</v>
      </c>
      <c r="I33" s="202">
        <f t="shared" si="5"/>
        <v>21</v>
      </c>
      <c r="J33" s="2"/>
      <c r="K33" s="2"/>
      <c r="L33" s="2"/>
      <c r="M33" s="2"/>
      <c r="N33" s="2"/>
      <c r="O33" s="2"/>
    </row>
    <row r="34" spans="3:15" ht="15.75" customHeight="1">
      <c r="C34" s="204">
        <v>2</v>
      </c>
      <c r="D34" s="205">
        <f t="shared" si="4"/>
        <v>212371.09211893094</v>
      </c>
      <c r="E34" s="200">
        <f t="shared" si="0"/>
        <v>6998.0278681049649</v>
      </c>
      <c r="F34" s="201">
        <f t="shared" si="1"/>
        <v>2796.844698770281</v>
      </c>
      <c r="G34" s="200">
        <f t="shared" si="2"/>
        <v>4201.183169334684</v>
      </c>
      <c r="H34" s="200">
        <f t="shared" si="3"/>
        <v>208169.90894959625</v>
      </c>
      <c r="I34" s="208">
        <f t="shared" si="5"/>
        <v>22</v>
      </c>
      <c r="J34" s="2"/>
      <c r="K34" s="2"/>
      <c r="L34" s="2"/>
      <c r="M34" s="2"/>
      <c r="N34" s="2"/>
      <c r="O34" s="2"/>
    </row>
    <row r="35" spans="3:15" ht="15.75" customHeight="1">
      <c r="C35" s="199">
        <v>2</v>
      </c>
      <c r="D35" s="205">
        <f t="shared" si="4"/>
        <v>208169.90894959625</v>
      </c>
      <c r="E35" s="200">
        <f t="shared" si="0"/>
        <v>6998.0278681049649</v>
      </c>
      <c r="F35" s="201">
        <f t="shared" si="1"/>
        <v>2741.5167501380988</v>
      </c>
      <c r="G35" s="200">
        <f t="shared" si="2"/>
        <v>4256.5111179668656</v>
      </c>
      <c r="H35" s="200">
        <f t="shared" si="3"/>
        <v>203913.39783162938</v>
      </c>
      <c r="I35" s="202">
        <f t="shared" si="5"/>
        <v>23</v>
      </c>
      <c r="J35" s="2"/>
      <c r="K35" s="2"/>
      <c r="L35" s="2"/>
      <c r="M35" s="2"/>
      <c r="N35" s="2"/>
      <c r="O35" s="2"/>
    </row>
    <row r="36" spans="3:15" ht="15.75" customHeight="1">
      <c r="C36" s="204">
        <v>2</v>
      </c>
      <c r="D36" s="205">
        <f t="shared" si="4"/>
        <v>203913.39783162938</v>
      </c>
      <c r="E36" s="200">
        <f t="shared" si="0"/>
        <v>6998.0278681049649</v>
      </c>
      <c r="F36" s="201">
        <f t="shared" si="1"/>
        <v>2685.460153937729</v>
      </c>
      <c r="G36" s="200">
        <f t="shared" si="2"/>
        <v>4312.5677141672359</v>
      </c>
      <c r="H36" s="200">
        <f t="shared" si="3"/>
        <v>199600.83011746214</v>
      </c>
      <c r="I36" s="208">
        <f t="shared" si="5"/>
        <v>24</v>
      </c>
      <c r="J36" s="2"/>
      <c r="K36" s="2"/>
      <c r="L36" s="2"/>
      <c r="M36" s="2"/>
      <c r="N36" s="2"/>
      <c r="O36" s="2"/>
    </row>
    <row r="37" spans="3:15" ht="15.75" customHeight="1">
      <c r="C37" s="199">
        <v>3</v>
      </c>
      <c r="D37" s="205">
        <f t="shared" si="4"/>
        <v>199600.83011746214</v>
      </c>
      <c r="E37" s="200">
        <f t="shared" si="0"/>
        <v>6998.0278681049649</v>
      </c>
      <c r="F37" s="201">
        <f t="shared" si="1"/>
        <v>2628.6653141640472</v>
      </c>
      <c r="G37" s="200">
        <f t="shared" si="2"/>
        <v>4369.3625539409177</v>
      </c>
      <c r="H37" s="200">
        <f t="shared" si="3"/>
        <v>195231.46756352123</v>
      </c>
      <c r="I37" s="202">
        <f>+I36+1</f>
        <v>25</v>
      </c>
      <c r="J37" s="203"/>
      <c r="K37" s="203"/>
      <c r="L37" s="2"/>
      <c r="M37" s="2"/>
      <c r="N37" s="2"/>
      <c r="O37" s="2"/>
    </row>
    <row r="38" spans="3:15" ht="15.75" customHeight="1">
      <c r="C38" s="204">
        <v>3</v>
      </c>
      <c r="D38" s="205">
        <f t="shared" si="4"/>
        <v>195231.46756352123</v>
      </c>
      <c r="E38" s="200">
        <f t="shared" si="0"/>
        <v>6998.0278681049649</v>
      </c>
      <c r="F38" s="201">
        <f t="shared" si="1"/>
        <v>2571.1225084362723</v>
      </c>
      <c r="G38" s="200">
        <f t="shared" si="2"/>
        <v>4426.9053596686927</v>
      </c>
      <c r="H38" s="200">
        <f t="shared" si="3"/>
        <v>190804.56220385255</v>
      </c>
      <c r="I38" s="208">
        <f t="shared" ref="I38:I72" si="8">1+I37</f>
        <v>26</v>
      </c>
      <c r="J38" s="2"/>
      <c r="K38" s="2"/>
      <c r="L38" s="2"/>
      <c r="M38" s="2"/>
      <c r="N38" s="2"/>
      <c r="O38" s="2"/>
    </row>
    <row r="39" spans="3:15" ht="15.75" customHeight="1">
      <c r="C39" s="199">
        <v>3</v>
      </c>
      <c r="D39" s="205">
        <f t="shared" si="4"/>
        <v>190804.56220385255</v>
      </c>
      <c r="E39" s="200">
        <f t="shared" si="0"/>
        <v>6998.0278681049649</v>
      </c>
      <c r="F39" s="201">
        <f t="shared" si="1"/>
        <v>2512.8218863336492</v>
      </c>
      <c r="G39" s="200">
        <f t="shared" si="2"/>
        <v>4485.2059817713161</v>
      </c>
      <c r="H39" s="200">
        <f t="shared" si="3"/>
        <v>186319.35622208123</v>
      </c>
      <c r="I39" s="202">
        <f t="shared" si="8"/>
        <v>27</v>
      </c>
      <c r="J39" s="2"/>
      <c r="K39" s="2"/>
      <c r="L39" s="2"/>
      <c r="M39" s="2"/>
      <c r="N39" s="2"/>
      <c r="O39" s="2"/>
    </row>
    <row r="40" spans="3:15" ht="15.75" customHeight="1">
      <c r="C40" s="204">
        <v>3</v>
      </c>
      <c r="D40" s="205">
        <f t="shared" si="4"/>
        <v>186319.35622208123</v>
      </c>
      <c r="E40" s="200">
        <f t="shared" si="0"/>
        <v>6998.0278681049649</v>
      </c>
      <c r="F40" s="201">
        <f t="shared" si="1"/>
        <v>2453.7534677092126</v>
      </c>
      <c r="G40" s="200">
        <f t="shared" si="2"/>
        <v>4544.2744003957523</v>
      </c>
      <c r="H40" s="200">
        <f t="shared" si="3"/>
        <v>181775.08182168548</v>
      </c>
      <c r="I40" s="208">
        <f t="shared" si="8"/>
        <v>28</v>
      </c>
      <c r="J40" s="2"/>
      <c r="K40" s="2"/>
      <c r="L40" s="2"/>
      <c r="M40" s="2"/>
      <c r="N40" s="2"/>
      <c r="O40" s="2"/>
    </row>
    <row r="41" spans="3:15" ht="15.75" customHeight="1">
      <c r="C41" s="199">
        <v>3</v>
      </c>
      <c r="D41" s="205">
        <f t="shared" si="4"/>
        <v>181775.08182168548</v>
      </c>
      <c r="E41" s="200">
        <f t="shared" si="0"/>
        <v>6998.0278681049649</v>
      </c>
      <c r="F41" s="201">
        <f t="shared" si="1"/>
        <v>2393.9071409813414</v>
      </c>
      <c r="G41" s="200">
        <f t="shared" si="2"/>
        <v>4604.1207271236235</v>
      </c>
      <c r="H41" s="200">
        <f t="shared" si="3"/>
        <v>177170.96109456185</v>
      </c>
      <c r="I41" s="202">
        <f t="shared" si="8"/>
        <v>29</v>
      </c>
      <c r="J41" s="2"/>
      <c r="K41" s="2"/>
      <c r="L41" s="2"/>
      <c r="M41" s="2"/>
      <c r="N41" s="2"/>
      <c r="O41" s="2"/>
    </row>
    <row r="42" spans="3:15" ht="15.75" customHeight="1">
      <c r="C42" s="204">
        <v>3</v>
      </c>
      <c r="D42" s="205">
        <f t="shared" si="4"/>
        <v>177170.96109456185</v>
      </c>
      <c r="E42" s="200">
        <f t="shared" si="0"/>
        <v>6998.0278681049649</v>
      </c>
      <c r="F42" s="201">
        <f t="shared" si="1"/>
        <v>2333.2726614028179</v>
      </c>
      <c r="G42" s="200">
        <f t="shared" si="2"/>
        <v>4664.755206702147</v>
      </c>
      <c r="H42" s="200">
        <f t="shared" si="3"/>
        <v>172506.20588785969</v>
      </c>
      <c r="I42" s="208">
        <f t="shared" si="8"/>
        <v>30</v>
      </c>
      <c r="J42" s="2"/>
      <c r="K42" s="2"/>
      <c r="L42" s="2"/>
      <c r="M42" s="2"/>
      <c r="N42" s="2"/>
      <c r="O42" s="2"/>
    </row>
    <row r="43" spans="3:15" ht="15.75" customHeight="1">
      <c r="C43" s="199">
        <v>3</v>
      </c>
      <c r="D43" s="205">
        <f t="shared" si="4"/>
        <v>172506.20588785969</v>
      </c>
      <c r="E43" s="200">
        <f t="shared" si="0"/>
        <v>6998.0278681049649</v>
      </c>
      <c r="F43" s="201">
        <f t="shared" si="1"/>
        <v>2271.8396493070863</v>
      </c>
      <c r="G43" s="200">
        <f t="shared" si="2"/>
        <v>4726.188218797879</v>
      </c>
      <c r="H43" s="200">
        <f t="shared" si="3"/>
        <v>167780.01766906181</v>
      </c>
      <c r="I43" s="202">
        <f t="shared" si="8"/>
        <v>31</v>
      </c>
      <c r="J43" s="2"/>
      <c r="K43" s="2"/>
      <c r="L43" s="2"/>
      <c r="M43" s="2"/>
      <c r="N43" s="2"/>
      <c r="O43" s="2"/>
    </row>
    <row r="44" spans="3:15" ht="15.75" customHeight="1">
      <c r="C44" s="204">
        <v>3</v>
      </c>
      <c r="D44" s="205">
        <f t="shared" si="4"/>
        <v>167780.01766906181</v>
      </c>
      <c r="E44" s="200">
        <f t="shared" si="0"/>
        <v>6998.0278681049649</v>
      </c>
      <c r="F44" s="201">
        <f t="shared" si="1"/>
        <v>2209.5975883314195</v>
      </c>
      <c r="G44" s="200">
        <f t="shared" si="2"/>
        <v>4788.4302797735454</v>
      </c>
      <c r="H44" s="200">
        <f t="shared" si="3"/>
        <v>162991.58738928827</v>
      </c>
      <c r="I44" s="208">
        <f t="shared" si="8"/>
        <v>32</v>
      </c>
      <c r="J44" s="2"/>
      <c r="K44" s="2"/>
      <c r="L44" s="2"/>
      <c r="M44" s="2"/>
      <c r="N44" s="2"/>
      <c r="O44" s="2"/>
    </row>
    <row r="45" spans="3:15" ht="15.75" customHeight="1">
      <c r="C45" s="199">
        <v>3</v>
      </c>
      <c r="D45" s="205">
        <f t="shared" si="4"/>
        <v>162991.58738928827</v>
      </c>
      <c r="E45" s="200">
        <f t="shared" si="0"/>
        <v>6998.0278681049649</v>
      </c>
      <c r="F45" s="201">
        <f t="shared" si="1"/>
        <v>2146.5358236166826</v>
      </c>
      <c r="G45" s="200">
        <f t="shared" si="2"/>
        <v>4851.4920444882828</v>
      </c>
      <c r="H45" s="200">
        <f t="shared" si="3"/>
        <v>158140.09534479998</v>
      </c>
      <c r="I45" s="202">
        <f t="shared" si="8"/>
        <v>33</v>
      </c>
      <c r="J45" s="2"/>
      <c r="K45" s="2"/>
      <c r="L45" s="2"/>
      <c r="M45" s="2"/>
      <c r="N45" s="2"/>
      <c r="O45" s="2"/>
    </row>
    <row r="46" spans="3:15" ht="15.75" customHeight="1">
      <c r="C46" s="204">
        <v>3</v>
      </c>
      <c r="D46" s="205">
        <f t="shared" si="4"/>
        <v>158140.09534479998</v>
      </c>
      <c r="E46" s="200">
        <f t="shared" si="0"/>
        <v>6998.0278681049649</v>
      </c>
      <c r="F46" s="201">
        <f t="shared" si="1"/>
        <v>2082.643559983389</v>
      </c>
      <c r="G46" s="200">
        <f t="shared" si="2"/>
        <v>4915.3843081215764</v>
      </c>
      <c r="H46" s="200">
        <f t="shared" si="3"/>
        <v>153224.7110366784</v>
      </c>
      <c r="I46" s="208">
        <f t="shared" si="8"/>
        <v>34</v>
      </c>
      <c r="J46" s="2"/>
      <c r="K46" s="2"/>
      <c r="L46" s="2"/>
      <c r="M46" s="2"/>
      <c r="N46" s="2"/>
      <c r="O46" s="2"/>
    </row>
    <row r="47" spans="3:15" ht="15.75" customHeight="1">
      <c r="C47" s="199">
        <v>3</v>
      </c>
      <c r="D47" s="205">
        <f t="shared" si="4"/>
        <v>153224.7110366784</v>
      </c>
      <c r="E47" s="200">
        <f t="shared" si="0"/>
        <v>6998.0278681049649</v>
      </c>
      <c r="F47" s="201">
        <f t="shared" si="1"/>
        <v>2017.909860083736</v>
      </c>
      <c r="G47" s="200">
        <f t="shared" si="2"/>
        <v>4980.1180080212289</v>
      </c>
      <c r="H47" s="200">
        <f t="shared" si="3"/>
        <v>148244.59302865717</v>
      </c>
      <c r="I47" s="202">
        <f t="shared" si="8"/>
        <v>35</v>
      </c>
      <c r="J47" s="2"/>
      <c r="K47" s="2"/>
      <c r="L47" s="2"/>
      <c r="M47" s="2"/>
      <c r="N47" s="2"/>
      <c r="O47" s="2"/>
    </row>
    <row r="48" spans="3:15" ht="15.75" customHeight="1">
      <c r="C48" s="204">
        <v>3</v>
      </c>
      <c r="D48" s="205">
        <f t="shared" si="4"/>
        <v>148244.59302865717</v>
      </c>
      <c r="E48" s="200">
        <f t="shared" si="0"/>
        <v>6998.0278681049649</v>
      </c>
      <c r="F48" s="201">
        <f t="shared" si="1"/>
        <v>1952.3236425293035</v>
      </c>
      <c r="G48" s="200">
        <f t="shared" si="2"/>
        <v>5045.7042255756614</v>
      </c>
      <c r="H48" s="200">
        <f t="shared" si="3"/>
        <v>143198.8888030815</v>
      </c>
      <c r="I48" s="208">
        <f t="shared" si="8"/>
        <v>36</v>
      </c>
      <c r="J48" s="2"/>
      <c r="K48" s="2"/>
      <c r="L48" s="2"/>
      <c r="M48" s="2"/>
      <c r="N48" s="2"/>
      <c r="O48" s="2"/>
    </row>
    <row r="49" spans="3:15" ht="15.75" customHeight="1">
      <c r="C49" s="271">
        <v>4</v>
      </c>
      <c r="D49" s="205">
        <f t="shared" si="4"/>
        <v>143198.8888030815</v>
      </c>
      <c r="E49" s="200">
        <f t="shared" si="0"/>
        <v>6998.0278681049649</v>
      </c>
      <c r="F49" s="201">
        <f t="shared" si="1"/>
        <v>1885.8736799940957</v>
      </c>
      <c r="G49" s="200">
        <f t="shared" si="2"/>
        <v>5112.1541881108697</v>
      </c>
      <c r="H49" s="200">
        <f t="shared" si="3"/>
        <v>138086.73461497063</v>
      </c>
      <c r="I49" s="202">
        <f t="shared" si="8"/>
        <v>37</v>
      </c>
      <c r="J49" s="2"/>
      <c r="K49" s="2"/>
      <c r="L49" s="2"/>
      <c r="M49" s="2"/>
      <c r="N49" s="2"/>
      <c r="O49" s="2"/>
    </row>
    <row r="50" spans="3:15" ht="15.75" customHeight="1">
      <c r="C50" s="273">
        <v>4</v>
      </c>
      <c r="D50" s="205">
        <f t="shared" si="4"/>
        <v>138086.73461497063</v>
      </c>
      <c r="E50" s="200">
        <f t="shared" si="0"/>
        <v>6998.0278681049649</v>
      </c>
      <c r="F50" s="201">
        <f t="shared" si="1"/>
        <v>1818.5485972925992</v>
      </c>
      <c r="G50" s="200">
        <f t="shared" si="2"/>
        <v>5179.4792708123659</v>
      </c>
      <c r="H50" s="200">
        <f t="shared" si="3"/>
        <v>132907.25534415827</v>
      </c>
      <c r="I50" s="208">
        <f t="shared" si="8"/>
        <v>38</v>
      </c>
    </row>
    <row r="51" spans="3:15" ht="15.75" customHeight="1">
      <c r="C51" s="271">
        <v>4</v>
      </c>
      <c r="D51" s="205">
        <f t="shared" si="4"/>
        <v>132907.25534415827</v>
      </c>
      <c r="E51" s="200">
        <f t="shared" si="0"/>
        <v>6998.0278681049649</v>
      </c>
      <c r="F51" s="201">
        <f t="shared" si="1"/>
        <v>1750.3368694325304</v>
      </c>
      <c r="G51" s="200">
        <f t="shared" si="2"/>
        <v>5247.6909986724349</v>
      </c>
      <c r="H51" s="200">
        <f t="shared" si="3"/>
        <v>127659.56434548584</v>
      </c>
      <c r="I51" s="202">
        <f t="shared" si="8"/>
        <v>39</v>
      </c>
    </row>
    <row r="52" spans="3:15" ht="15.75" customHeight="1">
      <c r="C52" s="273">
        <v>4</v>
      </c>
      <c r="D52" s="205">
        <f t="shared" si="4"/>
        <v>127659.56434548584</v>
      </c>
      <c r="E52" s="200">
        <f t="shared" si="0"/>
        <v>6998.0278681049649</v>
      </c>
      <c r="F52" s="201">
        <f t="shared" si="1"/>
        <v>1681.2268196419395</v>
      </c>
      <c r="G52" s="200">
        <f t="shared" si="2"/>
        <v>5316.8010484630249</v>
      </c>
      <c r="H52" s="200">
        <f t="shared" si="3"/>
        <v>122342.76329702282</v>
      </c>
      <c r="I52" s="208">
        <f t="shared" si="8"/>
        <v>40</v>
      </c>
    </row>
    <row r="53" spans="3:15" ht="15.75" customHeight="1">
      <c r="C53" s="271">
        <v>4</v>
      </c>
      <c r="D53" s="205">
        <f t="shared" si="4"/>
        <v>122342.76329702282</v>
      </c>
      <c r="E53" s="200">
        <f t="shared" si="0"/>
        <v>6998.0278681049649</v>
      </c>
      <c r="F53" s="201">
        <f t="shared" si="1"/>
        <v>1611.2066173703304</v>
      </c>
      <c r="G53" s="200">
        <f t="shared" si="2"/>
        <v>5386.8212507346343</v>
      </c>
      <c r="H53" s="200">
        <f t="shared" si="3"/>
        <v>116955.94204628818</v>
      </c>
      <c r="I53" s="202">
        <f t="shared" si="8"/>
        <v>41</v>
      </c>
    </row>
    <row r="54" spans="3:15" ht="15.75" customHeight="1">
      <c r="C54" s="273">
        <v>4</v>
      </c>
      <c r="D54" s="205">
        <f t="shared" si="4"/>
        <v>116955.94204628818</v>
      </c>
      <c r="E54" s="200">
        <f t="shared" si="0"/>
        <v>6998.0278681049649</v>
      </c>
      <c r="F54" s="201">
        <f t="shared" si="1"/>
        <v>1540.2642762634578</v>
      </c>
      <c r="G54" s="200">
        <f t="shared" si="2"/>
        <v>5457.7635918415072</v>
      </c>
      <c r="H54" s="200">
        <f t="shared" si="3"/>
        <v>111498.17845444668</v>
      </c>
      <c r="I54" s="208">
        <f t="shared" si="8"/>
        <v>42</v>
      </c>
    </row>
    <row r="55" spans="3:15" ht="15.75" customHeight="1">
      <c r="C55" s="271">
        <v>4</v>
      </c>
      <c r="D55" s="205">
        <f t="shared" si="4"/>
        <v>111498.17845444668</v>
      </c>
      <c r="E55" s="200">
        <f t="shared" si="0"/>
        <v>6998.0278681049649</v>
      </c>
      <c r="F55" s="201">
        <f t="shared" si="1"/>
        <v>1468.3876521114521</v>
      </c>
      <c r="G55" s="200">
        <f t="shared" si="2"/>
        <v>5529.6402159935133</v>
      </c>
      <c r="H55" s="200">
        <f t="shared" si="3"/>
        <v>105968.53823845317</v>
      </c>
      <c r="I55" s="202">
        <f t="shared" si="8"/>
        <v>43</v>
      </c>
    </row>
    <row r="56" spans="3:15" ht="15.75" customHeight="1">
      <c r="C56" s="273">
        <v>4</v>
      </c>
      <c r="D56" s="205">
        <f t="shared" si="4"/>
        <v>105968.53823845317</v>
      </c>
      <c r="E56" s="200">
        <f t="shared" si="0"/>
        <v>6998.0278681049649</v>
      </c>
      <c r="F56" s="201">
        <f t="shared" si="1"/>
        <v>1395.5644407699224</v>
      </c>
      <c r="G56" s="200">
        <f t="shared" si="2"/>
        <v>5602.4634273350421</v>
      </c>
      <c r="H56" s="200">
        <f t="shared" si="3"/>
        <v>100366.07481111813</v>
      </c>
      <c r="I56" s="208">
        <f t="shared" si="8"/>
        <v>44</v>
      </c>
    </row>
    <row r="57" spans="3:15" ht="15.75" customHeight="1">
      <c r="C57" s="271">
        <v>4</v>
      </c>
      <c r="D57" s="205">
        <f t="shared" si="4"/>
        <v>100366.07481111813</v>
      </c>
      <c r="E57" s="200">
        <f t="shared" si="0"/>
        <v>6998.0278681049649</v>
      </c>
      <c r="F57" s="201">
        <f t="shared" si="1"/>
        <v>1321.7821760536804</v>
      </c>
      <c r="G57" s="200">
        <f t="shared" si="2"/>
        <v>5676.245692051285</v>
      </c>
      <c r="H57" s="200">
        <f t="shared" si="3"/>
        <v>94689.829119066853</v>
      </c>
      <c r="I57" s="202">
        <f t="shared" si="8"/>
        <v>45</v>
      </c>
    </row>
    <row r="58" spans="3:15" ht="15.75" customHeight="1">
      <c r="C58" s="273">
        <v>4</v>
      </c>
      <c r="D58" s="205">
        <f t="shared" si="4"/>
        <v>94689.829119066853</v>
      </c>
      <c r="E58" s="200">
        <f t="shared" si="0"/>
        <v>6998.0278681049649</v>
      </c>
      <c r="F58" s="201">
        <f t="shared" si="1"/>
        <v>1247.0282276027269</v>
      </c>
      <c r="G58" s="200">
        <f t="shared" si="2"/>
        <v>5750.9996405022375</v>
      </c>
      <c r="H58" s="200">
        <f t="shared" si="3"/>
        <v>88938.829478564614</v>
      </c>
      <c r="I58" s="208">
        <f t="shared" si="8"/>
        <v>46</v>
      </c>
    </row>
    <row r="59" spans="3:15" ht="15.75" customHeight="1">
      <c r="C59" s="271">
        <v>4</v>
      </c>
      <c r="D59" s="205">
        <f t="shared" si="4"/>
        <v>88938.829478564614</v>
      </c>
      <c r="E59" s="200">
        <f t="shared" si="0"/>
        <v>6998.0278681049649</v>
      </c>
      <c r="F59" s="201">
        <f t="shared" si="1"/>
        <v>1171.2897987201329</v>
      </c>
      <c r="G59" s="200">
        <f t="shared" si="2"/>
        <v>5826.7380693848318</v>
      </c>
      <c r="H59" s="200">
        <f t="shared" si="3"/>
        <v>83112.091409179789</v>
      </c>
      <c r="I59" s="202">
        <f t="shared" si="8"/>
        <v>47</v>
      </c>
    </row>
    <row r="60" spans="3:15" ht="15.75" customHeight="1">
      <c r="C60" s="273">
        <v>4</v>
      </c>
      <c r="D60" s="205">
        <f t="shared" si="4"/>
        <v>83112.091409179789</v>
      </c>
      <c r="E60" s="200">
        <f t="shared" si="0"/>
        <v>6998.0278681049649</v>
      </c>
      <c r="F60" s="201">
        <f t="shared" si="1"/>
        <v>1094.5539241814472</v>
      </c>
      <c r="G60" s="200">
        <f t="shared" si="2"/>
        <v>5903.4739439235182</v>
      </c>
      <c r="H60" s="200">
        <f t="shared" si="3"/>
        <v>77208.617465256277</v>
      </c>
      <c r="I60" s="208">
        <f t="shared" si="8"/>
        <v>48</v>
      </c>
    </row>
    <row r="61" spans="3:15" ht="15.75" customHeight="1">
      <c r="C61" s="271">
        <v>5</v>
      </c>
      <c r="D61" s="205">
        <f t="shared" si="4"/>
        <v>77208.617465256277</v>
      </c>
      <c r="E61" s="200">
        <f t="shared" si="0"/>
        <v>6998.0278681049649</v>
      </c>
      <c r="F61" s="201">
        <f t="shared" si="1"/>
        <v>1016.8074680152545</v>
      </c>
      <c r="G61" s="200">
        <f t="shared" si="2"/>
        <v>5981.2204000897109</v>
      </c>
      <c r="H61" s="200">
        <f t="shared" si="3"/>
        <v>71227.397065166559</v>
      </c>
      <c r="I61" s="202">
        <f t="shared" si="8"/>
        <v>49</v>
      </c>
    </row>
    <row r="62" spans="3:15" ht="15.75" customHeight="1">
      <c r="C62" s="273">
        <v>5</v>
      </c>
      <c r="D62" s="205">
        <f t="shared" si="4"/>
        <v>71227.397065166559</v>
      </c>
      <c r="E62" s="200">
        <f t="shared" si="0"/>
        <v>6998.0278681049649</v>
      </c>
      <c r="F62" s="201">
        <f t="shared" si="1"/>
        <v>938.0371212545034</v>
      </c>
      <c r="G62" s="200">
        <f t="shared" si="2"/>
        <v>6059.9907468504616</v>
      </c>
      <c r="H62" s="200">
        <f t="shared" si="3"/>
        <v>65167.406318316098</v>
      </c>
      <c r="I62" s="208">
        <f t="shared" si="8"/>
        <v>50</v>
      </c>
    </row>
    <row r="63" spans="3:15" ht="15.75" customHeight="1">
      <c r="C63" s="271">
        <v>5</v>
      </c>
      <c r="D63" s="205">
        <f t="shared" si="4"/>
        <v>65167.406318316098</v>
      </c>
      <c r="E63" s="200">
        <f t="shared" si="0"/>
        <v>6998.0278681049649</v>
      </c>
      <c r="F63" s="201">
        <f t="shared" si="1"/>
        <v>858.22939965822297</v>
      </c>
      <c r="G63" s="200">
        <f t="shared" si="2"/>
        <v>6139.7984684467419</v>
      </c>
      <c r="H63" s="200">
        <f t="shared" si="3"/>
        <v>59027.607849869353</v>
      </c>
      <c r="I63" s="202">
        <f t="shared" si="8"/>
        <v>51</v>
      </c>
    </row>
    <row r="64" spans="3:15" ht="15.75" customHeight="1">
      <c r="C64" s="273">
        <v>5</v>
      </c>
      <c r="D64" s="205">
        <f t="shared" si="4"/>
        <v>59027.607849869353</v>
      </c>
      <c r="E64" s="200">
        <f t="shared" si="0"/>
        <v>6998.0278681049649</v>
      </c>
      <c r="F64" s="201">
        <f t="shared" si="1"/>
        <v>777.3706414032315</v>
      </c>
      <c r="G64" s="200">
        <f t="shared" si="2"/>
        <v>6220.6572267017336</v>
      </c>
      <c r="H64" s="200">
        <f t="shared" si="3"/>
        <v>52806.950623167621</v>
      </c>
      <c r="I64" s="208">
        <f t="shared" si="8"/>
        <v>52</v>
      </c>
    </row>
    <row r="65" spans="3:9" ht="15.75" customHeight="1">
      <c r="C65" s="271">
        <v>5</v>
      </c>
      <c r="D65" s="205">
        <f t="shared" si="4"/>
        <v>52806.950623167621</v>
      </c>
      <c r="E65" s="200">
        <f t="shared" si="0"/>
        <v>6998.0278681049649</v>
      </c>
      <c r="F65" s="201">
        <f t="shared" si="1"/>
        <v>695.44700474544891</v>
      </c>
      <c r="G65" s="200">
        <f t="shared" si="2"/>
        <v>6302.5808633595161</v>
      </c>
      <c r="H65" s="200">
        <f t="shared" si="3"/>
        <v>46504.369759808105</v>
      </c>
      <c r="I65" s="202">
        <f t="shared" si="8"/>
        <v>53</v>
      </c>
    </row>
    <row r="66" spans="3:9" ht="15.75" customHeight="1">
      <c r="C66" s="273">
        <v>5</v>
      </c>
      <c r="D66" s="205">
        <f t="shared" si="4"/>
        <v>46504.369759808105</v>
      </c>
      <c r="E66" s="200">
        <f t="shared" si="0"/>
        <v>6998.0278681049649</v>
      </c>
      <c r="F66" s="201">
        <f t="shared" si="1"/>
        <v>612.44446565040812</v>
      </c>
      <c r="G66" s="200">
        <f t="shared" si="2"/>
        <v>6385.5834024545566</v>
      </c>
      <c r="H66" s="200">
        <f t="shared" si="3"/>
        <v>40118.786357353551</v>
      </c>
      <c r="I66" s="208">
        <f t="shared" si="8"/>
        <v>54</v>
      </c>
    </row>
    <row r="67" spans="3:9" ht="15.75" customHeight="1">
      <c r="C67" s="271">
        <v>5</v>
      </c>
      <c r="D67" s="205">
        <f t="shared" si="4"/>
        <v>40118.786357353551</v>
      </c>
      <c r="E67" s="200">
        <f t="shared" si="0"/>
        <v>6998.0278681049649</v>
      </c>
      <c r="F67" s="201">
        <f t="shared" si="1"/>
        <v>528.34881539256162</v>
      </c>
      <c r="G67" s="200">
        <f t="shared" si="2"/>
        <v>6469.6790527124031</v>
      </c>
      <c r="H67" s="200">
        <f t="shared" si="3"/>
        <v>33649.107304641147</v>
      </c>
      <c r="I67" s="202">
        <f t="shared" si="8"/>
        <v>55</v>
      </c>
    </row>
    <row r="68" spans="3:9" ht="15.75" customHeight="1">
      <c r="C68" s="273">
        <v>5</v>
      </c>
      <c r="D68" s="205">
        <f t="shared" si="4"/>
        <v>33649.107304641147</v>
      </c>
      <c r="E68" s="200">
        <f t="shared" si="0"/>
        <v>6998.0278681049649</v>
      </c>
      <c r="F68" s="201">
        <f t="shared" si="1"/>
        <v>443.14565812297184</v>
      </c>
      <c r="G68" s="200">
        <f t="shared" si="2"/>
        <v>6554.8822099819927</v>
      </c>
      <c r="H68" s="200">
        <f t="shared" si="3"/>
        <v>27094.225094659156</v>
      </c>
      <c r="I68" s="208">
        <f t="shared" si="8"/>
        <v>56</v>
      </c>
    </row>
    <row r="69" spans="3:9" ht="15.75" customHeight="1">
      <c r="C69" s="271">
        <v>5</v>
      </c>
      <c r="D69" s="205">
        <f t="shared" si="4"/>
        <v>27094.225094659156</v>
      </c>
      <c r="E69" s="200">
        <f t="shared" si="0"/>
        <v>6998.0278681049649</v>
      </c>
      <c r="F69" s="201">
        <f t="shared" si="1"/>
        <v>356.8204084049687</v>
      </c>
      <c r="G69" s="200">
        <f t="shared" si="2"/>
        <v>6641.2074596999964</v>
      </c>
      <c r="H69" s="200">
        <f t="shared" si="3"/>
        <v>20453.01763495916</v>
      </c>
      <c r="I69" s="202">
        <f t="shared" si="8"/>
        <v>57</v>
      </c>
    </row>
    <row r="70" spans="3:9" ht="15.75" customHeight="1">
      <c r="C70" s="273">
        <v>5</v>
      </c>
      <c r="D70" s="205">
        <f t="shared" si="4"/>
        <v>20453.01763495916</v>
      </c>
      <c r="E70" s="200">
        <f t="shared" si="0"/>
        <v>6998.0278681049649</v>
      </c>
      <c r="F70" s="201">
        <f t="shared" si="1"/>
        <v>269.3582887173531</v>
      </c>
      <c r="G70" s="200">
        <f t="shared" si="2"/>
        <v>6728.6695793876115</v>
      </c>
      <c r="H70" s="200">
        <f t="shared" si="3"/>
        <v>13724.348055571549</v>
      </c>
      <c r="I70" s="208">
        <f t="shared" si="8"/>
        <v>58</v>
      </c>
    </row>
    <row r="71" spans="3:9" ht="15.75" customHeight="1">
      <c r="C71" s="271">
        <v>5</v>
      </c>
      <c r="D71" s="205">
        <f t="shared" si="4"/>
        <v>13724.348055571549</v>
      </c>
      <c r="E71" s="200">
        <f t="shared" si="0"/>
        <v>6998.0278681049649</v>
      </c>
      <c r="F71" s="201">
        <f t="shared" si="1"/>
        <v>180.74432692471819</v>
      </c>
      <c r="G71" s="200">
        <f t="shared" si="2"/>
        <v>6817.2835411802471</v>
      </c>
      <c r="H71" s="200">
        <f t="shared" si="3"/>
        <v>6907.0645143913016</v>
      </c>
      <c r="I71" s="202">
        <f t="shared" si="8"/>
        <v>59</v>
      </c>
    </row>
    <row r="72" spans="3:9" ht="15.75" customHeight="1">
      <c r="C72" s="310">
        <v>5</v>
      </c>
      <c r="D72" s="312">
        <f t="shared" si="4"/>
        <v>6907.0645143913016</v>
      </c>
      <c r="E72" s="313">
        <f t="shared" si="0"/>
        <v>6998.0278681049649</v>
      </c>
      <c r="F72" s="314">
        <f t="shared" si="1"/>
        <v>90.963353714456005</v>
      </c>
      <c r="G72" s="313">
        <f t="shared" si="2"/>
        <v>6907.0645143905085</v>
      </c>
      <c r="H72" s="313">
        <f t="shared" si="3"/>
        <v>7.9307937994599342E-10</v>
      </c>
      <c r="I72" s="317">
        <f t="shared" si="8"/>
        <v>60</v>
      </c>
    </row>
    <row r="73" spans="3:9" ht="15.75" customHeight="1">
      <c r="I73" s="318"/>
    </row>
    <row r="74" spans="3:9" ht="15.75" customHeight="1">
      <c r="I74" s="318"/>
    </row>
    <row r="75" spans="3:9" ht="15.75" customHeight="1"/>
    <row r="76" spans="3:9" ht="15.75" customHeight="1"/>
    <row r="77" spans="3:9" ht="15.75" customHeight="1"/>
    <row r="78" spans="3:9" ht="15.75" customHeight="1"/>
    <row r="79" spans="3:9" ht="15.75" customHeight="1"/>
    <row r="80" spans="3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8:I9"/>
    <mergeCell ref="C11:I11"/>
    <mergeCell ref="M13:O13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I995"/>
  <sheetViews>
    <sheetView workbookViewId="0">
      <selection activeCell="K25" sqref="K25"/>
    </sheetView>
  </sheetViews>
  <sheetFormatPr baseColWidth="10" defaultColWidth="12.6640625" defaultRowHeight="15" customHeight="1"/>
  <cols>
    <col min="1" max="3" width="9.33203125" customWidth="1"/>
    <col min="4" max="4" width="17.6640625" customWidth="1"/>
    <col min="5" max="26" width="9.33203125" customWidth="1"/>
  </cols>
  <sheetData>
    <row r="3" spans="3:9" ht="16">
      <c r="D3" s="206" t="s">
        <v>237</v>
      </c>
      <c r="E3" s="207"/>
      <c r="F3" s="207"/>
    </row>
    <row r="10" spans="3:9" ht="14">
      <c r="C10" s="387" t="s">
        <v>145</v>
      </c>
      <c r="D10" s="377"/>
      <c r="E10" s="377"/>
      <c r="F10" s="377"/>
      <c r="G10" s="377"/>
      <c r="H10" s="377"/>
      <c r="I10" s="378"/>
    </row>
    <row r="11" spans="3:9" ht="14">
      <c r="C11" s="379"/>
      <c r="D11" s="380"/>
      <c r="E11" s="380"/>
      <c r="F11" s="380"/>
      <c r="G11" s="380"/>
      <c r="H11" s="380"/>
      <c r="I11" s="381"/>
    </row>
    <row r="12" spans="3:9">
      <c r="C12" s="2"/>
      <c r="D12" s="2"/>
      <c r="E12" s="2"/>
      <c r="F12" s="2"/>
      <c r="G12" s="2"/>
      <c r="H12" s="2"/>
      <c r="I12" s="2"/>
    </row>
    <row r="13" spans="3:9">
      <c r="C13" s="388" t="s">
        <v>238</v>
      </c>
      <c r="D13" s="334"/>
      <c r="E13" s="334"/>
      <c r="F13" s="334"/>
      <c r="G13" s="334"/>
      <c r="H13" s="334"/>
      <c r="I13" s="332"/>
    </row>
    <row r="14" spans="3:9">
      <c r="C14" s="210"/>
      <c r="D14" s="212"/>
      <c r="E14" s="389" t="s">
        <v>230</v>
      </c>
      <c r="F14" s="337"/>
      <c r="G14" s="337"/>
      <c r="H14" s="337"/>
      <c r="I14" s="390"/>
    </row>
    <row r="15" spans="3:9">
      <c r="C15" s="214"/>
      <c r="D15" s="215"/>
      <c r="E15" s="216">
        <v>2020</v>
      </c>
      <c r="F15" s="218">
        <f t="shared" ref="F15:I15" si="0">+E15+1</f>
        <v>2021</v>
      </c>
      <c r="G15" s="218">
        <f t="shared" si="0"/>
        <v>2022</v>
      </c>
      <c r="H15" s="218">
        <f t="shared" si="0"/>
        <v>2023</v>
      </c>
      <c r="I15" s="220">
        <f t="shared" si="0"/>
        <v>2024</v>
      </c>
    </row>
    <row r="16" spans="3:9" ht="15.75" customHeight="1">
      <c r="C16" s="222"/>
      <c r="D16" s="223"/>
      <c r="E16" s="224"/>
      <c r="F16" s="224"/>
      <c r="G16" s="224"/>
      <c r="H16" s="224"/>
      <c r="I16" s="225"/>
    </row>
    <row r="17" spans="3:9" ht="15.75" customHeight="1">
      <c r="C17" s="226" t="s">
        <v>241</v>
      </c>
      <c r="D17" s="227"/>
      <c r="E17" s="228"/>
      <c r="F17" s="228"/>
      <c r="G17" s="228"/>
      <c r="H17" s="228"/>
      <c r="I17" s="230"/>
    </row>
    <row r="18" spans="3:9" ht="15.75" customHeight="1">
      <c r="C18" s="231"/>
      <c r="D18" s="223"/>
      <c r="E18" s="224"/>
      <c r="F18" s="233"/>
      <c r="G18" s="233"/>
      <c r="H18" s="233"/>
      <c r="I18" s="225"/>
    </row>
    <row r="19" spans="3:9" ht="15.75" customHeight="1">
      <c r="C19" s="234"/>
      <c r="D19" s="235" t="s">
        <v>243</v>
      </c>
      <c r="E19" s="237">
        <v>7908</v>
      </c>
      <c r="F19" s="237">
        <f t="shared" ref="F19:I19" si="1">E19+($E$19*9%)</f>
        <v>8619.7199999999993</v>
      </c>
      <c r="G19" s="237">
        <f t="shared" si="1"/>
        <v>9331.4399999999987</v>
      </c>
      <c r="H19" s="237">
        <f t="shared" si="1"/>
        <v>10043.159999999998</v>
      </c>
      <c r="I19" s="239">
        <f t="shared" si="1"/>
        <v>10754.879999999997</v>
      </c>
    </row>
    <row r="20" spans="3:9" ht="15.75" customHeight="1">
      <c r="C20" s="222"/>
      <c r="D20" s="242" t="s">
        <v>150</v>
      </c>
      <c r="E20" s="243">
        <v>200</v>
      </c>
      <c r="F20" s="244">
        <f t="shared" ref="F20:G20" si="2">E20+3</f>
        <v>203</v>
      </c>
      <c r="G20" s="244">
        <f t="shared" si="2"/>
        <v>206</v>
      </c>
      <c r="H20" s="244">
        <f>G20+4</f>
        <v>210</v>
      </c>
      <c r="I20" s="245">
        <f>H20+3</f>
        <v>213</v>
      </c>
    </row>
    <row r="21" spans="3:9" ht="15.75" customHeight="1">
      <c r="C21" s="234"/>
      <c r="D21" s="235"/>
      <c r="E21" s="246"/>
      <c r="F21" s="246"/>
      <c r="G21" s="246"/>
      <c r="H21" s="246"/>
      <c r="I21" s="247"/>
    </row>
    <row r="22" spans="3:9" ht="15.75" customHeight="1">
      <c r="C22" s="222"/>
      <c r="D22" s="242" t="s">
        <v>245</v>
      </c>
      <c r="E22" s="98">
        <f t="shared" ref="E22:I22" si="3">+E19*E20</f>
        <v>1581600</v>
      </c>
      <c r="F22" s="98">
        <f t="shared" si="3"/>
        <v>1749803.16</v>
      </c>
      <c r="G22" s="98">
        <f t="shared" si="3"/>
        <v>1922276.6399999997</v>
      </c>
      <c r="H22" s="98">
        <f t="shared" si="3"/>
        <v>2109063.5999999996</v>
      </c>
      <c r="I22" s="130">
        <f t="shared" si="3"/>
        <v>2290789.4399999995</v>
      </c>
    </row>
    <row r="23" spans="3:9" ht="15.75" customHeight="1">
      <c r="C23" s="234"/>
      <c r="D23" s="235" t="s">
        <v>246</v>
      </c>
      <c r="E23" s="246">
        <f>+'INGRESOS ADICIONALES'!D24</f>
        <v>102420</v>
      </c>
      <c r="F23" s="246">
        <f>+E23*(1+'SUPESTOS EXTERNOS'!$F$9)</f>
        <v>106516.8</v>
      </c>
      <c r="G23" s="246">
        <f>+F23*(1+'SUPESTOS EXTERNOS'!$F$9)</f>
        <v>110777.47200000001</v>
      </c>
      <c r="H23" s="246">
        <f>+G23*(1+'SUPESTOS EXTERNOS'!$F$9)</f>
        <v>115208.57088000001</v>
      </c>
      <c r="I23" s="247">
        <f>+H23*(1+'SUPESTOS EXTERNOS'!$F$9)</f>
        <v>119816.91371520002</v>
      </c>
    </row>
    <row r="24" spans="3:9" ht="15.75" customHeight="1">
      <c r="C24" s="222"/>
      <c r="D24" s="242"/>
      <c r="E24" s="98"/>
      <c r="F24" s="98"/>
      <c r="G24" s="98"/>
      <c r="H24" s="98"/>
      <c r="I24" s="130"/>
    </row>
    <row r="25" spans="3:9" ht="15.75" customHeight="1">
      <c r="C25" s="251"/>
      <c r="D25" s="252" t="s">
        <v>124</v>
      </c>
      <c r="E25" s="469">
        <f>E22+E23</f>
        <v>1684020</v>
      </c>
      <c r="F25" s="469">
        <f t="shared" ref="E25:I25" si="4">+F22+F23</f>
        <v>1856319.96</v>
      </c>
      <c r="G25" s="469">
        <f t="shared" si="4"/>
        <v>2033054.1119999997</v>
      </c>
      <c r="H25" s="469">
        <f t="shared" si="4"/>
        <v>2224272.1708799996</v>
      </c>
      <c r="I25" s="470">
        <f t="shared" si="4"/>
        <v>2410606.3537151995</v>
      </c>
    </row>
    <row r="26" spans="3:9" ht="15.75" customHeight="1">
      <c r="C26" s="2"/>
      <c r="D26" s="2"/>
      <c r="E26" s="2"/>
      <c r="F26" s="2"/>
      <c r="G26" s="2"/>
      <c r="H26" s="2"/>
      <c r="I26" s="2"/>
    </row>
    <row r="27" spans="3:9" ht="15.75" customHeight="1">
      <c r="C27" s="2"/>
      <c r="D27" s="2"/>
      <c r="E27" s="2"/>
      <c r="F27" s="2"/>
      <c r="G27" s="2"/>
      <c r="H27" s="2"/>
      <c r="I27" s="2"/>
    </row>
    <row r="28" spans="3:9" ht="15.75" customHeight="1">
      <c r="C28" s="388" t="s">
        <v>251</v>
      </c>
      <c r="D28" s="334"/>
      <c r="E28" s="334"/>
      <c r="F28" s="334"/>
      <c r="G28" s="334"/>
      <c r="H28" s="334"/>
      <c r="I28" s="332"/>
    </row>
    <row r="29" spans="3:9" ht="15.75" customHeight="1">
      <c r="C29" s="210"/>
      <c r="D29" s="212"/>
      <c r="E29" s="389" t="s">
        <v>230</v>
      </c>
      <c r="F29" s="337"/>
      <c r="G29" s="337"/>
      <c r="H29" s="337"/>
      <c r="I29" s="390"/>
    </row>
    <row r="30" spans="3:9" ht="15.75" customHeight="1">
      <c r="C30" s="214"/>
      <c r="D30" s="215"/>
      <c r="E30" s="216">
        <v>2020</v>
      </c>
      <c r="F30" s="218">
        <f t="shared" ref="F30:I30" si="5">+E30+1</f>
        <v>2021</v>
      </c>
      <c r="G30" s="218">
        <f t="shared" si="5"/>
        <v>2022</v>
      </c>
      <c r="H30" s="218">
        <f t="shared" si="5"/>
        <v>2023</v>
      </c>
      <c r="I30" s="220">
        <f t="shared" si="5"/>
        <v>2024</v>
      </c>
    </row>
    <row r="31" spans="3:9" ht="15.75" customHeight="1">
      <c r="C31" s="253"/>
      <c r="D31" s="212"/>
      <c r="E31" s="254"/>
      <c r="F31" s="254"/>
      <c r="G31" s="254"/>
      <c r="H31" s="254"/>
      <c r="I31" s="255"/>
    </row>
    <row r="32" spans="3:9" ht="15.75" customHeight="1">
      <c r="C32" s="226" t="s">
        <v>252</v>
      </c>
      <c r="D32" s="215"/>
      <c r="E32" s="218"/>
      <c r="F32" s="218"/>
      <c r="G32" s="218"/>
      <c r="H32" s="218"/>
      <c r="I32" s="220"/>
    </row>
    <row r="33" spans="3:9" ht="15.75" customHeight="1">
      <c r="C33" s="253"/>
      <c r="D33" s="212"/>
      <c r="E33" s="254"/>
      <c r="F33" s="254"/>
      <c r="G33" s="254"/>
      <c r="H33" s="254"/>
      <c r="I33" s="255"/>
    </row>
    <row r="34" spans="3:9" ht="15.75" customHeight="1">
      <c r="C34" s="256"/>
      <c r="D34" s="235" t="s">
        <v>243</v>
      </c>
      <c r="E34" s="258">
        <f t="shared" ref="E34:I34" si="6">E19</f>
        <v>7908</v>
      </c>
      <c r="F34" s="258">
        <f t="shared" si="6"/>
        <v>8619.7199999999993</v>
      </c>
      <c r="G34" s="258">
        <f t="shared" si="6"/>
        <v>9331.4399999999987</v>
      </c>
      <c r="H34" s="258">
        <f t="shared" si="6"/>
        <v>10043.159999999998</v>
      </c>
      <c r="I34" s="259">
        <f t="shared" si="6"/>
        <v>10754.879999999997</v>
      </c>
    </row>
    <row r="35" spans="3:9" ht="15.75" customHeight="1">
      <c r="C35" s="27"/>
      <c r="D35" s="242" t="s">
        <v>253</v>
      </c>
      <c r="E35" s="260">
        <f>'COSTO UNITARIO (PONDERADO)'!H29</f>
        <v>45.301233381276745</v>
      </c>
      <c r="F35" s="260">
        <f>+E35*(1+'SUPESTOS EXTERNOS'!$F$9)</f>
        <v>47.11328271652782</v>
      </c>
      <c r="G35" s="260">
        <f>+F35*(1+'SUPESTOS EXTERNOS'!$F$9)</f>
        <v>48.997814025188937</v>
      </c>
      <c r="H35" s="260">
        <f>+G35*(1+'SUPESTOS EXTERNOS'!$F$9)</f>
        <v>50.957726586196493</v>
      </c>
      <c r="I35" s="261">
        <f>+H35*(1+'SUPESTOS EXTERNOS'!$F$9)</f>
        <v>52.996035649644355</v>
      </c>
    </row>
    <row r="36" spans="3:9" ht="15.75" customHeight="1">
      <c r="C36" s="256"/>
      <c r="D36" s="235"/>
      <c r="E36" s="246"/>
      <c r="F36" s="246"/>
      <c r="G36" s="246"/>
      <c r="H36" s="246"/>
      <c r="I36" s="247"/>
    </row>
    <row r="37" spans="3:9" ht="15.75" customHeight="1">
      <c r="C37" s="27"/>
      <c r="D37" s="242" t="s">
        <v>245</v>
      </c>
      <c r="E37" s="262">
        <f t="shared" ref="E37:I37" si="7">+E34*E35</f>
        <v>358242.15357913647</v>
      </c>
      <c r="F37" s="262">
        <f t="shared" si="7"/>
        <v>406103.30529730913</v>
      </c>
      <c r="G37" s="262">
        <f t="shared" si="7"/>
        <v>457220.16170720902</v>
      </c>
      <c r="H37" s="262">
        <f t="shared" si="7"/>
        <v>511776.60134142509</v>
      </c>
      <c r="I37" s="263">
        <f t="shared" si="7"/>
        <v>569966.00388764695</v>
      </c>
    </row>
    <row r="38" spans="3:9" ht="15.75" customHeight="1">
      <c r="C38" s="256"/>
      <c r="D38" s="235" t="s">
        <v>257</v>
      </c>
      <c r="E38" s="258">
        <f>+'INGRESOS ADICIONALES'!I26</f>
        <v>81444</v>
      </c>
      <c r="F38" s="258">
        <f>+E38*(1+'SUPESTOS EXTERNOS'!$F$9)</f>
        <v>84701.760000000009</v>
      </c>
      <c r="G38" s="258">
        <f>+F38*(1+'SUPESTOS EXTERNOS'!$F$9)</f>
        <v>88089.830400000006</v>
      </c>
      <c r="H38" s="258">
        <f>+G38*(1+'SUPESTOS EXTERNOS'!$F$9)</f>
        <v>91613.423616000015</v>
      </c>
      <c r="I38" s="259">
        <f>+H38*(1+'SUPESTOS EXTERNOS'!$F$9)</f>
        <v>95277.960560640015</v>
      </c>
    </row>
    <row r="39" spans="3:9" ht="15.75" customHeight="1">
      <c r="C39" s="27"/>
      <c r="D39" s="242"/>
      <c r="E39" s="140"/>
      <c r="F39" s="140"/>
      <c r="G39" s="140"/>
      <c r="H39" s="140"/>
      <c r="I39" s="156"/>
    </row>
    <row r="40" spans="3:9" ht="15.75" customHeight="1">
      <c r="C40" s="264"/>
      <c r="D40" s="235" t="s">
        <v>124</v>
      </c>
      <c r="E40" s="265">
        <f t="shared" ref="E40:I40" si="8">+E37+E38</f>
        <v>439686.15357913647</v>
      </c>
      <c r="F40" s="265">
        <f t="shared" si="8"/>
        <v>490805.06529730913</v>
      </c>
      <c r="G40" s="265">
        <f t="shared" si="8"/>
        <v>545309.99210720905</v>
      </c>
      <c r="H40" s="265">
        <f t="shared" si="8"/>
        <v>603390.02495742508</v>
      </c>
      <c r="I40" s="266">
        <f t="shared" si="8"/>
        <v>665243.96444828692</v>
      </c>
    </row>
    <row r="41" spans="3:9" ht="15.75" customHeight="1">
      <c r="C41" s="267"/>
      <c r="D41" s="268"/>
      <c r="E41" s="269"/>
      <c r="F41" s="269"/>
      <c r="G41" s="269"/>
      <c r="H41" s="269"/>
      <c r="I41" s="270"/>
    </row>
    <row r="42" spans="3:9" ht="15.75" customHeight="1"/>
    <row r="43" spans="3:9" ht="15.75" customHeight="1"/>
    <row r="44" spans="3:9" ht="15.75" customHeight="1"/>
    <row r="45" spans="3:9" ht="15.75" customHeight="1"/>
    <row r="46" spans="3:9" ht="15.75" customHeight="1"/>
    <row r="47" spans="3:9" ht="15.75" customHeight="1"/>
    <row r="48" spans="3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">
    <mergeCell ref="C10:I11"/>
    <mergeCell ref="C13:I13"/>
    <mergeCell ref="E14:I14"/>
    <mergeCell ref="C28:I28"/>
    <mergeCell ref="E29:I29"/>
  </mergeCells>
  <pageMargins left="0.7" right="0.7" top="0.75" bottom="0.75" header="0" footer="0"/>
  <pageSetup orientation="landscape"/>
  <ignoredErrors>
    <ignoredError sqref="H20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C3:K44"/>
  <sheetViews>
    <sheetView workbookViewId="0">
      <selection activeCell="C3" sqref="C3"/>
    </sheetView>
  </sheetViews>
  <sheetFormatPr baseColWidth="10" defaultColWidth="12.6640625" defaultRowHeight="15" customHeight="1"/>
  <cols>
    <col min="3" max="3" width="29.5" customWidth="1"/>
  </cols>
  <sheetData>
    <row r="3" spans="3:11" ht="16">
      <c r="C3" s="183" t="s">
        <v>239</v>
      </c>
    </row>
    <row r="8" spans="3:11" ht="15" customHeight="1">
      <c r="C8" s="391" t="s">
        <v>240</v>
      </c>
      <c r="D8" s="392"/>
      <c r="E8" s="392"/>
      <c r="F8" s="392"/>
      <c r="G8" s="392"/>
      <c r="H8" s="392"/>
      <c r="I8" s="392"/>
      <c r="J8" s="393"/>
    </row>
    <row r="9" spans="3:11" ht="15" customHeight="1">
      <c r="C9" s="394"/>
      <c r="D9" s="395"/>
      <c r="E9" s="395"/>
      <c r="F9" s="395"/>
      <c r="G9" s="395"/>
      <c r="H9" s="395"/>
      <c r="I9" s="395"/>
      <c r="J9" s="396"/>
    </row>
    <row r="10" spans="3:11" ht="15" customHeight="1">
      <c r="C10" s="221"/>
      <c r="D10" s="221"/>
      <c r="E10" s="221"/>
      <c r="F10" s="221"/>
      <c r="G10" s="221"/>
      <c r="H10" s="221"/>
      <c r="I10" s="221"/>
      <c r="J10" s="221"/>
    </row>
    <row r="11" spans="3:11" ht="15" customHeight="1">
      <c r="C11" s="397" t="s">
        <v>239</v>
      </c>
      <c r="D11" s="334"/>
      <c r="E11" s="334"/>
      <c r="F11" s="334"/>
      <c r="G11" s="334"/>
      <c r="H11" s="334"/>
      <c r="I11" s="334"/>
      <c r="J11" s="332"/>
    </row>
    <row r="12" spans="3:11" ht="14">
      <c r="C12" s="398" t="s">
        <v>155</v>
      </c>
      <c r="D12" s="400" t="s">
        <v>156</v>
      </c>
      <c r="E12" s="334"/>
      <c r="F12" s="334"/>
      <c r="G12" s="334"/>
      <c r="H12" s="334"/>
      <c r="I12" s="334"/>
      <c r="J12" s="332"/>
    </row>
    <row r="13" spans="3:11" ht="14">
      <c r="C13" s="399"/>
      <c r="D13" s="229">
        <v>0</v>
      </c>
      <c r="E13" s="229">
        <v>1</v>
      </c>
      <c r="F13" s="229">
        <v>2</v>
      </c>
      <c r="G13" s="229">
        <v>3</v>
      </c>
      <c r="H13" s="229">
        <v>4</v>
      </c>
      <c r="I13" s="229">
        <v>5</v>
      </c>
      <c r="J13" s="229" t="s">
        <v>106</v>
      </c>
    </row>
    <row r="14" spans="3:11" ht="15" customHeight="1">
      <c r="C14" s="232"/>
      <c r="D14" s="221"/>
      <c r="E14" s="221"/>
      <c r="F14" s="221"/>
      <c r="G14" s="221"/>
      <c r="H14" s="221"/>
      <c r="I14" s="221"/>
      <c r="J14" s="443"/>
      <c r="K14" s="445"/>
    </row>
    <row r="15" spans="3:11" ht="14">
      <c r="C15" s="236" t="s">
        <v>242</v>
      </c>
      <c r="D15" s="446">
        <v>0</v>
      </c>
      <c r="E15" s="446">
        <f>'PRESUPUESTO DE VENTAS'!E25</f>
        <v>1684020</v>
      </c>
      <c r="F15" s="446">
        <f>'PRESUPUESTO DE VENTAS'!F25</f>
        <v>1856319.96</v>
      </c>
      <c r="G15" s="446">
        <f>'PRESUPUESTO DE VENTAS'!G25</f>
        <v>2033054.1119999997</v>
      </c>
      <c r="H15" s="446">
        <f>'PRESUPUESTO DE VENTAS'!H25</f>
        <v>2224272.1708799996</v>
      </c>
      <c r="I15" s="446">
        <f>'PRESUPUESTO DE VENTAS'!I25</f>
        <v>2410606.3537151995</v>
      </c>
      <c r="J15" s="447">
        <f>SUM(D15:I15)</f>
        <v>10208272.5965952</v>
      </c>
      <c r="K15" s="445"/>
    </row>
    <row r="16" spans="3:11" ht="14">
      <c r="C16" s="241" t="s">
        <v>244</v>
      </c>
      <c r="D16" s="448">
        <v>0</v>
      </c>
      <c r="E16" s="449">
        <f>'PRESUPUESTO DE VENTAS'!E40</f>
        <v>439686.15357913647</v>
      </c>
      <c r="F16" s="450">
        <f>'PRESUPUESTO DE VENTAS'!F40</f>
        <v>490805.06529730913</v>
      </c>
      <c r="G16" s="450">
        <f>'PRESUPUESTO DE VENTAS'!G40</f>
        <v>545309.99210720905</v>
      </c>
      <c r="H16" s="450">
        <f>'PRESUPUESTO DE VENTAS'!H40</f>
        <v>603390.02495742508</v>
      </c>
      <c r="I16" s="450">
        <f>'PRESUPUESTO DE VENTAS'!I40</f>
        <v>665243.96444828692</v>
      </c>
      <c r="J16" s="451">
        <f>SUM(E16:I16)</f>
        <v>2744435.2003893666</v>
      </c>
      <c r="K16" s="445"/>
    </row>
    <row r="17" spans="3:11" ht="15" customHeight="1">
      <c r="C17" s="248"/>
      <c r="D17" s="452"/>
      <c r="E17" s="452"/>
      <c r="F17" s="452"/>
      <c r="G17" s="452"/>
      <c r="H17" s="452"/>
      <c r="I17" s="452"/>
      <c r="J17" s="453"/>
      <c r="K17" s="445"/>
    </row>
    <row r="18" spans="3:11" ht="14">
      <c r="C18" s="249" t="s">
        <v>247</v>
      </c>
      <c r="D18" s="446">
        <v>0</v>
      </c>
      <c r="E18" s="454">
        <f t="shared" ref="E18:J18" si="0">E15-E16</f>
        <v>1244333.8464208636</v>
      </c>
      <c r="F18" s="454">
        <f t="shared" si="0"/>
        <v>1365514.8947026909</v>
      </c>
      <c r="G18" s="454">
        <f t="shared" si="0"/>
        <v>1487744.1198927907</v>
      </c>
      <c r="H18" s="454">
        <f t="shared" si="0"/>
        <v>1620882.1459225747</v>
      </c>
      <c r="I18" s="454">
        <f t="shared" si="0"/>
        <v>1745362.3892669126</v>
      </c>
      <c r="J18" s="455">
        <f t="shared" si="0"/>
        <v>7463837.3962058332</v>
      </c>
      <c r="K18" s="445"/>
    </row>
    <row r="19" spans="3:11" ht="15" customHeight="1">
      <c r="C19" s="248"/>
      <c r="D19" s="446"/>
      <c r="E19" s="446"/>
      <c r="F19" s="446"/>
      <c r="G19" s="446"/>
      <c r="H19" s="446"/>
      <c r="I19" s="446"/>
      <c r="J19" s="456"/>
      <c r="K19" s="445"/>
    </row>
    <row r="20" spans="3:11" ht="14">
      <c r="C20" s="236" t="s">
        <v>248</v>
      </c>
      <c r="D20" s="446"/>
      <c r="E20" s="446"/>
      <c r="F20" s="446"/>
      <c r="G20" s="446"/>
      <c r="H20" s="446"/>
      <c r="I20" s="446"/>
      <c r="J20" s="456"/>
      <c r="K20" s="445"/>
    </row>
    <row r="21" spans="3:11" ht="14">
      <c r="C21" s="250" t="s">
        <v>249</v>
      </c>
      <c r="D21" s="446">
        <v>0</v>
      </c>
      <c r="E21" s="446">
        <f>'FLUJOS DE EFECTIVO'!E42</f>
        <v>300000</v>
      </c>
      <c r="F21" s="446">
        <f>'FLUJOS DE EFECTIVO'!F42</f>
        <v>312000</v>
      </c>
      <c r="G21" s="446">
        <f>'FLUJOS DE EFECTIVO'!G42</f>
        <v>324480</v>
      </c>
      <c r="H21" s="446">
        <f>'FLUJOS DE EFECTIVO'!H42</f>
        <v>337459.20000000001</v>
      </c>
      <c r="I21" s="446">
        <f>'FLUJOS DE EFECTIVO'!I42</f>
        <v>350957.56800000003</v>
      </c>
      <c r="J21" s="456">
        <f t="shared" ref="J21:J23" si="1">SUM(D21:I21)</f>
        <v>1624896.7679999999</v>
      </c>
      <c r="K21" s="445"/>
    </row>
    <row r="22" spans="3:11" ht="14">
      <c r="C22" s="250" t="s">
        <v>250</v>
      </c>
      <c r="D22" s="446">
        <v>0</v>
      </c>
      <c r="E22" s="446">
        <f>'FLUJOS DE EFECTIVO'!E43</f>
        <v>7279.92</v>
      </c>
      <c r="F22" s="446">
        <f>'FLUJOS DE EFECTIVO'!F43</f>
        <v>7571.1168000000007</v>
      </c>
      <c r="G22" s="446">
        <f>'FLUJOS DE EFECTIVO'!G43</f>
        <v>7873.9614720000009</v>
      </c>
      <c r="H22" s="446">
        <f>'FLUJOS DE EFECTIVO'!H43</f>
        <v>8188.9199308800016</v>
      </c>
      <c r="I22" s="446">
        <f>'FLUJOS DE EFECTIVO'!I43</f>
        <v>8516.4767281152017</v>
      </c>
      <c r="J22" s="456">
        <f t="shared" si="1"/>
        <v>39430.394930995208</v>
      </c>
      <c r="K22" s="445"/>
    </row>
    <row r="23" spans="3:11" ht="14">
      <c r="C23" s="250" t="s">
        <v>168</v>
      </c>
      <c r="D23" s="457">
        <f>'FLUJOS DE EFECTIVO'!D44</f>
        <v>4000</v>
      </c>
      <c r="E23" s="457">
        <f>'FLUJOS DE EFECTIVO'!E44</f>
        <v>4160</v>
      </c>
      <c r="F23" s="457">
        <f>'FLUJOS DE EFECTIVO'!F44</f>
        <v>4326.4000000000005</v>
      </c>
      <c r="G23" s="457">
        <f>'FLUJOS DE EFECTIVO'!G44</f>
        <v>4499.456000000001</v>
      </c>
      <c r="H23" s="457">
        <f>'FLUJOS DE EFECTIVO'!H44</f>
        <v>4679.4342400000014</v>
      </c>
      <c r="I23" s="457">
        <f>'FLUJOS DE EFECTIVO'!I44</f>
        <v>4866.6116096000014</v>
      </c>
      <c r="J23" s="456">
        <f t="shared" si="1"/>
        <v>26531.901849600006</v>
      </c>
      <c r="K23" s="445"/>
    </row>
    <row r="24" spans="3:11" ht="14">
      <c r="C24" s="257" t="s">
        <v>245</v>
      </c>
      <c r="D24" s="454">
        <f t="shared" ref="D24:J24" si="2">SUM(D21:D23)</f>
        <v>4000</v>
      </c>
      <c r="E24" s="454">
        <f t="shared" si="2"/>
        <v>311439.92</v>
      </c>
      <c r="F24" s="454">
        <f t="shared" si="2"/>
        <v>323897.51680000004</v>
      </c>
      <c r="G24" s="454">
        <f t="shared" si="2"/>
        <v>336853.417472</v>
      </c>
      <c r="H24" s="454">
        <f t="shared" si="2"/>
        <v>350327.55417088</v>
      </c>
      <c r="I24" s="454">
        <f t="shared" si="2"/>
        <v>364340.65633771522</v>
      </c>
      <c r="J24" s="455">
        <f t="shared" si="2"/>
        <v>1690859.0647805952</v>
      </c>
      <c r="K24" s="445"/>
    </row>
    <row r="25" spans="3:11" ht="14">
      <c r="C25" s="248"/>
      <c r="D25" s="446"/>
      <c r="E25" s="446"/>
      <c r="F25" s="446"/>
      <c r="G25" s="446"/>
      <c r="H25" s="446"/>
      <c r="I25" s="446"/>
      <c r="J25" s="456"/>
      <c r="K25" s="445"/>
    </row>
    <row r="26" spans="3:11" ht="14">
      <c r="C26" s="236" t="s">
        <v>254</v>
      </c>
      <c r="D26" s="446"/>
      <c r="E26" s="446"/>
      <c r="F26" s="446"/>
      <c r="G26" s="446"/>
      <c r="H26" s="446"/>
      <c r="I26" s="446"/>
      <c r="J26" s="456"/>
      <c r="K26" s="445"/>
    </row>
    <row r="27" spans="3:11" ht="14">
      <c r="C27" s="250" t="s">
        <v>249</v>
      </c>
      <c r="D27" s="446">
        <v>0</v>
      </c>
      <c r="E27" s="446">
        <f>'FLUJOS DE EFECTIVO'!E47</f>
        <v>80000</v>
      </c>
      <c r="F27" s="446">
        <f>'FLUJOS DE EFECTIVO'!F47</f>
        <v>84000</v>
      </c>
      <c r="G27" s="446">
        <f>'FLUJOS DE EFECTIVO'!G47</f>
        <v>88200</v>
      </c>
      <c r="H27" s="446">
        <f>'FLUJOS DE EFECTIVO'!H47</f>
        <v>92610</v>
      </c>
      <c r="I27" s="446">
        <f>'FLUJOS DE EFECTIVO'!I47</f>
        <v>97240.5</v>
      </c>
      <c r="J27" s="456">
        <f t="shared" ref="J27:J29" si="3">SUM(D27:I27)</f>
        <v>442050.5</v>
      </c>
      <c r="K27" s="445"/>
    </row>
    <row r="28" spans="3:11" ht="14">
      <c r="C28" s="250" t="s">
        <v>255</v>
      </c>
      <c r="D28" s="446">
        <v>0</v>
      </c>
      <c r="E28" s="446">
        <f>DEPRECIACION!E23</f>
        <v>19216.6666664</v>
      </c>
      <c r="F28" s="446">
        <f>DEPRECIACION!F23</f>
        <v>19216.6666664</v>
      </c>
      <c r="G28" s="446">
        <f>DEPRECIACION!G23</f>
        <v>19216.6666664</v>
      </c>
      <c r="H28" s="446">
        <f>DEPRECIACION!H23</f>
        <v>16550</v>
      </c>
      <c r="I28" s="446">
        <f>DEPRECIACION!I23</f>
        <v>16550</v>
      </c>
      <c r="J28" s="456">
        <f t="shared" si="3"/>
        <v>90749.999999199994</v>
      </c>
      <c r="K28" s="445"/>
    </row>
    <row r="29" spans="3:11" ht="14">
      <c r="C29" s="250" t="s">
        <v>256</v>
      </c>
      <c r="D29" s="458">
        <v>0</v>
      </c>
      <c r="E29" s="458">
        <v>150000</v>
      </c>
      <c r="F29" s="458">
        <v>156000</v>
      </c>
      <c r="G29" s="458">
        <v>162240</v>
      </c>
      <c r="H29" s="458">
        <v>168730</v>
      </c>
      <c r="I29" s="458">
        <v>175479</v>
      </c>
      <c r="J29" s="456">
        <f t="shared" si="3"/>
        <v>812449</v>
      </c>
      <c r="K29" s="445"/>
    </row>
    <row r="30" spans="3:11" ht="14">
      <c r="C30" s="257" t="s">
        <v>245</v>
      </c>
      <c r="D30" s="459">
        <v>0</v>
      </c>
      <c r="E30" s="460">
        <f t="shared" ref="E30:J30" si="4">SUM(E27:E29)</f>
        <v>249216.66666640001</v>
      </c>
      <c r="F30" s="460">
        <f t="shared" si="4"/>
        <v>259216.66666640001</v>
      </c>
      <c r="G30" s="460">
        <f t="shared" si="4"/>
        <v>269656.66666640004</v>
      </c>
      <c r="H30" s="460">
        <f t="shared" si="4"/>
        <v>277890</v>
      </c>
      <c r="I30" s="460">
        <f t="shared" si="4"/>
        <v>289269.5</v>
      </c>
      <c r="J30" s="461">
        <f t="shared" si="4"/>
        <v>1345249.4999992</v>
      </c>
      <c r="K30" s="445"/>
    </row>
    <row r="31" spans="3:11" ht="14">
      <c r="C31" s="248"/>
      <c r="D31" s="446"/>
      <c r="E31" s="446"/>
      <c r="F31" s="446"/>
      <c r="G31" s="446"/>
      <c r="H31" s="446"/>
      <c r="I31" s="446"/>
      <c r="J31" s="456"/>
      <c r="K31" s="445"/>
    </row>
    <row r="32" spans="3:11" ht="14">
      <c r="C32" s="249" t="s">
        <v>261</v>
      </c>
      <c r="D32" s="462">
        <f t="shared" ref="D32:J32" si="5">D18-D24-D230</f>
        <v>-4000</v>
      </c>
      <c r="E32" s="446">
        <f t="shared" si="5"/>
        <v>932893.92642086372</v>
      </c>
      <c r="F32" s="446">
        <f t="shared" si="5"/>
        <v>1041617.3779026908</v>
      </c>
      <c r="G32" s="446">
        <f t="shared" si="5"/>
        <v>1150890.7024207907</v>
      </c>
      <c r="H32" s="446">
        <f t="shared" si="5"/>
        <v>1270554.5917516947</v>
      </c>
      <c r="I32" s="446">
        <f t="shared" si="5"/>
        <v>1381021.7329291974</v>
      </c>
      <c r="J32" s="456">
        <f t="shared" si="5"/>
        <v>5772978.3314252384</v>
      </c>
      <c r="K32" s="445"/>
    </row>
    <row r="33" spans="3:11" ht="14">
      <c r="C33" s="232"/>
      <c r="D33" s="446"/>
      <c r="E33" s="446"/>
      <c r="F33" s="446"/>
      <c r="G33" s="446"/>
      <c r="H33" s="446"/>
      <c r="I33" s="446"/>
      <c r="J33" s="456"/>
      <c r="K33" s="445"/>
    </row>
    <row r="34" spans="3:11" ht="14">
      <c r="C34" s="288" t="s">
        <v>264</v>
      </c>
      <c r="D34" s="458">
        <v>0</v>
      </c>
      <c r="E34" s="457">
        <f>'FLUJOS DE EFECTIVO'!E51</f>
        <v>42773.951982910301</v>
      </c>
      <c r="F34" s="457">
        <f>'FLUJOS DE EFECTIVO'!F51</f>
        <v>35769.546969070972</v>
      </c>
      <c r="G34" s="457">
        <f>'FLUJOS DE EFECTIVO'!G51</f>
        <v>27574.393102878959</v>
      </c>
      <c r="H34" s="457">
        <f>'FLUJOS DE EFECTIVO'!H51</f>
        <v>17986.063079434316</v>
      </c>
      <c r="I34" s="457">
        <f>'FLUJOS DE EFECTIVO'!I51</f>
        <v>6767.7169520040998</v>
      </c>
      <c r="J34" s="456">
        <f>SUM(E34:I34)</f>
        <v>130871.67208629867</v>
      </c>
      <c r="K34" s="445"/>
    </row>
    <row r="35" spans="3:11" ht="14">
      <c r="C35" s="232"/>
      <c r="D35" s="446"/>
      <c r="E35" s="446"/>
      <c r="F35" s="446"/>
      <c r="G35" s="446"/>
      <c r="H35" s="446"/>
      <c r="I35" s="446"/>
      <c r="J35" s="456"/>
      <c r="K35" s="445"/>
    </row>
    <row r="36" spans="3:11" ht="14">
      <c r="C36" s="288" t="s">
        <v>265</v>
      </c>
      <c r="D36" s="462">
        <f t="shared" ref="D36:J36" si="6">D32-D34</f>
        <v>-4000</v>
      </c>
      <c r="E36" s="446">
        <f t="shared" si="6"/>
        <v>890119.97443795344</v>
      </c>
      <c r="F36" s="446">
        <f t="shared" si="6"/>
        <v>1005847.8309336198</v>
      </c>
      <c r="G36" s="446">
        <f t="shared" si="6"/>
        <v>1123316.3093179117</v>
      </c>
      <c r="H36" s="446">
        <f t="shared" si="6"/>
        <v>1252568.5286722605</v>
      </c>
      <c r="I36" s="446">
        <f t="shared" si="6"/>
        <v>1374254.0159771934</v>
      </c>
      <c r="J36" s="456">
        <f t="shared" si="6"/>
        <v>5642106.6593389399</v>
      </c>
      <c r="K36" s="445"/>
    </row>
    <row r="37" spans="3:11" ht="14">
      <c r="C37" s="232"/>
      <c r="D37" s="446"/>
      <c r="E37" s="446"/>
      <c r="F37" s="446"/>
      <c r="G37" s="446"/>
      <c r="H37" s="446"/>
      <c r="I37" s="446"/>
      <c r="J37" s="456"/>
      <c r="K37" s="445"/>
    </row>
    <row r="38" spans="3:11" ht="14">
      <c r="C38" s="288" t="s">
        <v>30</v>
      </c>
      <c r="D38" s="446">
        <v>0</v>
      </c>
      <c r="E38" s="462">
        <f t="shared" ref="E38:J38" si="7">-E36*40%</f>
        <v>-356047.9897751814</v>
      </c>
      <c r="F38" s="462">
        <f t="shared" si="7"/>
        <v>-402339.13237344794</v>
      </c>
      <c r="G38" s="462">
        <f t="shared" si="7"/>
        <v>-449326.52372716472</v>
      </c>
      <c r="H38" s="462">
        <f t="shared" si="7"/>
        <v>-501027.41146890423</v>
      </c>
      <c r="I38" s="462">
        <f t="shared" si="7"/>
        <v>-549701.60639087739</v>
      </c>
      <c r="J38" s="463">
        <f t="shared" si="7"/>
        <v>-2256842.663735576</v>
      </c>
      <c r="K38" s="445"/>
    </row>
    <row r="39" spans="3:11" ht="14">
      <c r="C39" s="288" t="s">
        <v>31</v>
      </c>
      <c r="D39" s="458">
        <v>0</v>
      </c>
      <c r="E39" s="464">
        <f t="shared" ref="E39:J39" si="8">-E36*10%</f>
        <v>-89011.99744379535</v>
      </c>
      <c r="F39" s="464">
        <f t="shared" si="8"/>
        <v>-100584.78309336198</v>
      </c>
      <c r="G39" s="464">
        <f t="shared" si="8"/>
        <v>-112331.63093179118</v>
      </c>
      <c r="H39" s="464">
        <f t="shared" si="8"/>
        <v>-125256.85286722606</v>
      </c>
      <c r="I39" s="464">
        <f t="shared" si="8"/>
        <v>-137425.40159771935</v>
      </c>
      <c r="J39" s="465">
        <f t="shared" si="8"/>
        <v>-564210.66593389399</v>
      </c>
      <c r="K39" s="445"/>
    </row>
    <row r="40" spans="3:11" ht="14">
      <c r="C40" s="232"/>
      <c r="D40" s="458">
        <v>0</v>
      </c>
      <c r="E40" s="464">
        <f t="shared" ref="E40:J40" si="9">SUM(E38:E39)</f>
        <v>-445059.98721897672</v>
      </c>
      <c r="F40" s="464">
        <f t="shared" si="9"/>
        <v>-502923.91546680994</v>
      </c>
      <c r="G40" s="464">
        <f t="shared" si="9"/>
        <v>-561658.15465895587</v>
      </c>
      <c r="H40" s="464">
        <f t="shared" si="9"/>
        <v>-626284.26433613035</v>
      </c>
      <c r="I40" s="464">
        <f t="shared" si="9"/>
        <v>-687127.0079885968</v>
      </c>
      <c r="J40" s="465">
        <f t="shared" si="9"/>
        <v>-2821053.32966947</v>
      </c>
      <c r="K40" s="445"/>
    </row>
    <row r="41" spans="3:11" ht="14">
      <c r="C41" s="232"/>
      <c r="D41" s="446"/>
      <c r="E41" s="446"/>
      <c r="F41" s="446"/>
      <c r="G41" s="446"/>
      <c r="H41" s="446"/>
      <c r="I41" s="446"/>
      <c r="J41" s="456"/>
      <c r="K41" s="445"/>
    </row>
    <row r="42" spans="3:11" ht="14">
      <c r="C42" s="298" t="s">
        <v>269</v>
      </c>
      <c r="D42" s="466">
        <f t="shared" ref="D42:J42" si="10">D36-D38-D39</f>
        <v>-4000</v>
      </c>
      <c r="E42" s="467">
        <f t="shared" si="10"/>
        <v>1335179.9616569302</v>
      </c>
      <c r="F42" s="467">
        <f t="shared" si="10"/>
        <v>1508771.7464004296</v>
      </c>
      <c r="G42" s="467">
        <f t="shared" si="10"/>
        <v>1684974.4639768677</v>
      </c>
      <c r="H42" s="467">
        <f t="shared" si="10"/>
        <v>1878852.7930083908</v>
      </c>
      <c r="I42" s="467">
        <f t="shared" si="10"/>
        <v>2061381.0239657902</v>
      </c>
      <c r="J42" s="468">
        <f t="shared" si="10"/>
        <v>8463159.9890084099</v>
      </c>
      <c r="K42" s="445"/>
    </row>
    <row r="43" spans="3:11" ht="14">
      <c r="C43" s="232"/>
      <c r="D43" s="221"/>
      <c r="E43" s="221"/>
      <c r="F43" s="221"/>
      <c r="G43" s="221"/>
      <c r="H43" s="221"/>
      <c r="I43" s="221"/>
      <c r="J43" s="443"/>
      <c r="K43" s="445"/>
    </row>
    <row r="44" spans="3:11" ht="14">
      <c r="C44" s="302"/>
      <c r="D44" s="303"/>
      <c r="E44" s="303"/>
      <c r="F44" s="303"/>
      <c r="G44" s="303"/>
      <c r="H44" s="303"/>
      <c r="I44" s="303"/>
      <c r="J44" s="444"/>
      <c r="K44" s="445"/>
    </row>
  </sheetData>
  <mergeCells count="4">
    <mergeCell ref="C8:J9"/>
    <mergeCell ref="C11:J11"/>
    <mergeCell ref="C12:C13"/>
    <mergeCell ref="D12:J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N314"/>
  <sheetViews>
    <sheetView topLeftCell="A56" workbookViewId="0">
      <selection activeCell="C3" sqref="C3"/>
    </sheetView>
  </sheetViews>
  <sheetFormatPr baseColWidth="10" defaultColWidth="12.6640625" defaultRowHeight="15" customHeight="1"/>
  <cols>
    <col min="3" max="3" width="29.33203125" customWidth="1"/>
    <col min="7" max="7" width="13.33203125" customWidth="1"/>
    <col min="9" max="9" width="13.6640625" style="408" bestFit="1" customWidth="1"/>
  </cols>
  <sheetData>
    <row r="1" spans="1:14">
      <c r="A1" s="95" t="s">
        <v>258</v>
      </c>
    </row>
    <row r="2" spans="1:14" ht="14"/>
    <row r="3" spans="1:14" ht="15" customHeight="1">
      <c r="C3" s="477" t="s">
        <v>296</v>
      </c>
    </row>
    <row r="7" spans="1:14">
      <c r="C7" s="402" t="s">
        <v>240</v>
      </c>
      <c r="D7" s="337"/>
      <c r="E7" s="337"/>
      <c r="F7" s="337"/>
      <c r="G7" s="337"/>
      <c r="H7" s="337"/>
      <c r="I7" s="337"/>
      <c r="J7" s="272"/>
      <c r="K7" s="85"/>
      <c r="L7" s="85"/>
      <c r="M7" s="85"/>
      <c r="N7" s="85"/>
    </row>
    <row r="8" spans="1:14">
      <c r="C8" s="395"/>
      <c r="D8" s="395"/>
      <c r="E8" s="395"/>
      <c r="F8" s="395"/>
      <c r="G8" s="395"/>
      <c r="H8" s="395"/>
      <c r="I8" s="395"/>
      <c r="J8" s="272"/>
      <c r="K8" s="85"/>
      <c r="L8" s="85"/>
      <c r="M8" s="85"/>
      <c r="N8" s="85"/>
    </row>
    <row r="9" spans="1:14">
      <c r="C9" s="85"/>
      <c r="D9" s="85"/>
      <c r="E9" s="85"/>
      <c r="F9" s="85"/>
      <c r="G9" s="85"/>
      <c r="H9" s="85"/>
      <c r="I9" s="409"/>
      <c r="J9" s="85"/>
      <c r="K9" s="85"/>
      <c r="L9" s="85"/>
      <c r="M9" s="85"/>
      <c r="N9" s="85"/>
    </row>
    <row r="10" spans="1:14" ht="15" customHeight="1">
      <c r="C10" s="403" t="s">
        <v>259</v>
      </c>
      <c r="D10" s="350"/>
      <c r="E10" s="350"/>
      <c r="F10" s="350"/>
      <c r="G10" s="350"/>
      <c r="H10" s="350"/>
      <c r="I10" s="340"/>
      <c r="J10" s="272"/>
      <c r="K10" s="85"/>
      <c r="L10" s="85"/>
      <c r="M10" s="85"/>
      <c r="N10" s="85"/>
    </row>
    <row r="11" spans="1:14">
      <c r="C11" s="274"/>
      <c r="D11" s="274"/>
      <c r="E11" s="274"/>
      <c r="F11" s="274"/>
      <c r="G11" s="274"/>
      <c r="H11" s="274"/>
      <c r="I11" s="410"/>
      <c r="J11" s="272"/>
      <c r="K11" s="85"/>
      <c r="L11" s="85"/>
      <c r="M11" s="85"/>
      <c r="N11" s="85"/>
    </row>
    <row r="12" spans="1:14">
      <c r="C12" s="275" t="s">
        <v>155</v>
      </c>
      <c r="D12" s="275">
        <v>0</v>
      </c>
      <c r="E12" s="275">
        <v>1</v>
      </c>
      <c r="F12" s="275">
        <v>2</v>
      </c>
      <c r="G12" s="275">
        <v>3</v>
      </c>
      <c r="H12" s="275">
        <v>4</v>
      </c>
      <c r="I12" s="411">
        <v>5</v>
      </c>
      <c r="J12" s="272"/>
      <c r="K12" s="85"/>
      <c r="L12" s="85"/>
      <c r="M12" s="85"/>
      <c r="N12" s="85"/>
    </row>
    <row r="13" spans="1:14">
      <c r="C13" s="276"/>
      <c r="D13" s="276"/>
      <c r="E13" s="276"/>
      <c r="F13" s="276"/>
      <c r="G13" s="276"/>
      <c r="H13" s="276"/>
      <c r="I13" s="412"/>
      <c r="J13" s="85"/>
      <c r="K13" s="85"/>
      <c r="L13" s="85"/>
      <c r="M13" s="85"/>
      <c r="N13" s="85"/>
    </row>
    <row r="14" spans="1:14">
      <c r="C14" s="277"/>
      <c r="D14" s="278"/>
      <c r="E14" s="278"/>
      <c r="F14" s="278"/>
      <c r="G14" s="278"/>
      <c r="H14" s="278"/>
      <c r="I14" s="413"/>
      <c r="J14" s="272"/>
      <c r="K14" s="85"/>
      <c r="L14" s="85"/>
      <c r="M14" s="85"/>
      <c r="N14" s="85"/>
    </row>
    <row r="15" spans="1:14" ht="16">
      <c r="C15" s="279" t="s">
        <v>260</v>
      </c>
      <c r="D15" s="280">
        <v>0</v>
      </c>
      <c r="E15" s="281">
        <f t="shared" ref="E15:I15" si="0">D61</f>
        <v>351540</v>
      </c>
      <c r="F15" s="281">
        <f t="shared" si="0"/>
        <v>482623.65280171717</v>
      </c>
      <c r="G15" s="281">
        <f t="shared" si="0"/>
        <v>661571.23385126749</v>
      </c>
      <c r="H15" s="281">
        <f t="shared" si="0"/>
        <v>888813.05409296392</v>
      </c>
      <c r="I15" s="414">
        <f t="shared" si="0"/>
        <v>1169780.984011834</v>
      </c>
      <c r="J15" s="272"/>
      <c r="K15" s="85"/>
      <c r="L15" s="85"/>
      <c r="M15" s="85"/>
      <c r="N15" s="85"/>
    </row>
    <row r="16" spans="1:14">
      <c r="C16" s="282"/>
      <c r="D16" s="283"/>
      <c r="E16" s="283"/>
      <c r="F16" s="283"/>
      <c r="G16" s="283"/>
      <c r="H16" s="283"/>
      <c r="I16" s="415"/>
      <c r="J16" s="85"/>
      <c r="K16" s="85"/>
      <c r="L16" s="85"/>
      <c r="M16" s="85"/>
      <c r="N16" s="85"/>
    </row>
    <row r="17" spans="3:14">
      <c r="C17" s="284" t="s">
        <v>262</v>
      </c>
      <c r="D17" s="285"/>
      <c r="E17" s="285"/>
      <c r="F17" s="285"/>
      <c r="G17" s="285"/>
      <c r="H17" s="285"/>
      <c r="I17" s="415"/>
      <c r="J17" s="272"/>
      <c r="K17" s="85"/>
      <c r="L17" s="85"/>
      <c r="M17" s="85"/>
      <c r="N17" s="85"/>
    </row>
    <row r="18" spans="3:14">
      <c r="C18" s="282"/>
      <c r="D18" s="283"/>
      <c r="E18" s="283"/>
      <c r="F18" s="283"/>
      <c r="G18" s="283"/>
      <c r="H18" s="283"/>
      <c r="I18" s="415"/>
      <c r="J18" s="85"/>
      <c r="K18" s="85"/>
      <c r="L18" s="85"/>
      <c r="M18" s="85"/>
      <c r="N18" s="85"/>
    </row>
    <row r="19" spans="3:14">
      <c r="C19" s="286" t="s">
        <v>263</v>
      </c>
      <c r="D19" s="287">
        <v>0</v>
      </c>
      <c r="E19" s="289">
        <f>'PRESUPUESTO DE VENTAS'!E25</f>
        <v>1684020</v>
      </c>
      <c r="F19" s="289">
        <f>'PRESUPUESTO DE VENTAS'!F25</f>
        <v>1856319.96</v>
      </c>
      <c r="G19" s="289">
        <f>'PRESUPUESTO DE VENTAS'!G25</f>
        <v>2033054.1119999997</v>
      </c>
      <c r="H19" s="289">
        <f>'PRESUPUESTO DE VENTAS'!H25</f>
        <v>2224272.1708799996</v>
      </c>
      <c r="I19" s="416">
        <f>'PRESUPUESTO DE VENTAS'!I25</f>
        <v>2410606.3537151995</v>
      </c>
      <c r="J19" s="85"/>
      <c r="K19" s="85"/>
      <c r="L19" s="85"/>
      <c r="M19" s="85"/>
      <c r="N19" s="85"/>
    </row>
    <row r="20" spans="3:14">
      <c r="C20" s="286" t="s">
        <v>215</v>
      </c>
      <c r="D20" s="289">
        <f>'%DEUDA'!C11</f>
        <v>289010</v>
      </c>
      <c r="E20" s="287">
        <v>0</v>
      </c>
      <c r="F20" s="287">
        <v>0</v>
      </c>
      <c r="G20" s="287">
        <v>0</v>
      </c>
      <c r="H20" s="287">
        <v>0</v>
      </c>
      <c r="I20" s="417">
        <v>0</v>
      </c>
      <c r="J20" s="272"/>
      <c r="K20" s="85"/>
      <c r="L20" s="85"/>
      <c r="M20" s="85"/>
      <c r="N20" s="85"/>
    </row>
    <row r="21" spans="3:14">
      <c r="C21" s="286" t="s">
        <v>266</v>
      </c>
      <c r="D21" s="290">
        <f>'%DEUDA'!C10</f>
        <v>867030</v>
      </c>
      <c r="E21" s="291">
        <v>0</v>
      </c>
      <c r="F21" s="291">
        <v>0</v>
      </c>
      <c r="G21" s="291">
        <v>0</v>
      </c>
      <c r="H21" s="291">
        <v>0</v>
      </c>
      <c r="I21" s="418">
        <v>0</v>
      </c>
      <c r="J21" s="272"/>
      <c r="K21" s="85"/>
      <c r="L21" s="85"/>
      <c r="M21" s="85"/>
      <c r="N21" s="85"/>
    </row>
    <row r="22" spans="3:14">
      <c r="C22" s="292"/>
      <c r="D22" s="293"/>
      <c r="E22" s="294"/>
      <c r="F22" s="294"/>
      <c r="G22" s="294"/>
      <c r="H22" s="294"/>
      <c r="I22" s="419"/>
      <c r="J22" s="272"/>
      <c r="K22" s="85"/>
      <c r="L22" s="85"/>
      <c r="M22" s="85"/>
      <c r="N22" s="85"/>
    </row>
    <row r="23" spans="3:14">
      <c r="C23" s="295" t="s">
        <v>267</v>
      </c>
      <c r="D23" s="296">
        <f>D20+D21</f>
        <v>1156040</v>
      </c>
      <c r="E23" s="296">
        <f t="shared" ref="E23:I23" si="1">E19+E15</f>
        <v>2035560</v>
      </c>
      <c r="F23" s="296">
        <f t="shared" si="1"/>
        <v>2338943.6128017171</v>
      </c>
      <c r="G23" s="296">
        <f t="shared" si="1"/>
        <v>2694625.3458512672</v>
      </c>
      <c r="H23" s="296">
        <f t="shared" si="1"/>
        <v>3113085.2249729633</v>
      </c>
      <c r="I23" s="420">
        <f t="shared" si="1"/>
        <v>3580387.3377270335</v>
      </c>
      <c r="J23" s="272"/>
      <c r="K23" s="85"/>
      <c r="L23" s="85"/>
      <c r="M23" s="85"/>
      <c r="N23" s="85"/>
    </row>
    <row r="24" spans="3:14">
      <c r="C24" s="282"/>
      <c r="D24" s="293"/>
      <c r="E24" s="294"/>
      <c r="F24" s="294"/>
      <c r="G24" s="294"/>
      <c r="H24" s="294"/>
      <c r="I24" s="419"/>
      <c r="J24" s="85"/>
      <c r="K24" s="85"/>
      <c r="L24" s="85"/>
      <c r="M24" s="85"/>
      <c r="N24" s="85"/>
    </row>
    <row r="25" spans="3:14">
      <c r="C25" s="284" t="s">
        <v>268</v>
      </c>
      <c r="D25" s="293"/>
      <c r="E25" s="294"/>
      <c r="F25" s="294"/>
      <c r="G25" s="294"/>
      <c r="H25" s="294"/>
      <c r="I25" s="419"/>
      <c r="J25" s="85"/>
      <c r="K25" s="85"/>
      <c r="L25" s="85"/>
      <c r="M25" s="85"/>
      <c r="N25" s="85"/>
    </row>
    <row r="26" spans="3:14">
      <c r="C26" s="297"/>
      <c r="D26" s="293"/>
      <c r="E26" s="294"/>
      <c r="F26" s="294"/>
      <c r="G26" s="294"/>
      <c r="H26" s="294"/>
      <c r="I26" s="419"/>
      <c r="J26" s="272"/>
      <c r="K26" s="85"/>
      <c r="L26" s="85"/>
      <c r="M26" s="85"/>
      <c r="N26" s="85"/>
    </row>
    <row r="27" spans="3:14">
      <c r="C27" s="299" t="s">
        <v>270</v>
      </c>
      <c r="D27" s="300">
        <v>0</v>
      </c>
      <c r="E27" s="301">
        <f>'PRESUPUESTO DE VENTAS'!E40</f>
        <v>439686.15357913647</v>
      </c>
      <c r="F27" s="301">
        <f>'PRESUPUESTO DE VENTAS'!F40</f>
        <v>490805.06529730913</v>
      </c>
      <c r="G27" s="301">
        <f>'PRESUPUESTO DE VENTAS'!G40</f>
        <v>545309.99210720905</v>
      </c>
      <c r="H27" s="301">
        <f>'PRESUPUESTO DE VENTAS'!H40</f>
        <v>603390.02495742508</v>
      </c>
      <c r="I27" s="421">
        <f>'PRESUPUESTO DE VENTAS'!I40</f>
        <v>665243.96444828692</v>
      </c>
      <c r="J27" s="272"/>
      <c r="K27" s="85"/>
      <c r="L27" s="85"/>
      <c r="M27" s="85"/>
      <c r="N27" s="85"/>
    </row>
    <row r="28" spans="3:14">
      <c r="C28" s="292"/>
      <c r="D28" s="293"/>
      <c r="E28" s="294"/>
      <c r="F28" s="294"/>
      <c r="G28" s="294"/>
      <c r="H28" s="294"/>
      <c r="I28" s="419"/>
      <c r="J28" s="272"/>
      <c r="K28" s="85"/>
      <c r="L28" s="85"/>
      <c r="M28" s="85"/>
      <c r="N28" s="85"/>
    </row>
    <row r="29" spans="3:14">
      <c r="C29" s="304" t="s">
        <v>174</v>
      </c>
      <c r="D29" s="293"/>
      <c r="E29" s="294"/>
      <c r="F29" s="294"/>
      <c r="G29" s="294"/>
      <c r="H29" s="294"/>
      <c r="I29" s="419"/>
      <c r="J29" s="272"/>
      <c r="K29" s="85"/>
      <c r="L29" s="85"/>
      <c r="M29" s="85"/>
      <c r="N29" s="85"/>
    </row>
    <row r="30" spans="3:14">
      <c r="C30" s="282"/>
      <c r="D30" s="293"/>
      <c r="E30" s="293"/>
      <c r="F30" s="293"/>
      <c r="G30" s="293"/>
      <c r="H30" s="293"/>
      <c r="I30" s="417"/>
      <c r="J30" s="85"/>
      <c r="K30" s="85"/>
      <c r="L30" s="85"/>
      <c r="M30" s="85"/>
      <c r="N30" s="85"/>
    </row>
    <row r="31" spans="3:14">
      <c r="C31" s="286" t="s">
        <v>148</v>
      </c>
      <c r="D31" s="289">
        <f>'INVERSION INICIAL'!E22</f>
        <v>64100</v>
      </c>
      <c r="E31" s="287">
        <v>0</v>
      </c>
      <c r="F31" s="287">
        <v>0</v>
      </c>
      <c r="G31" s="287">
        <v>0</v>
      </c>
      <c r="H31" s="287">
        <v>0</v>
      </c>
      <c r="I31" s="417">
        <v>0</v>
      </c>
      <c r="J31" s="272"/>
      <c r="K31" s="85"/>
      <c r="L31" s="85"/>
      <c r="M31" s="85"/>
      <c r="N31" s="85"/>
    </row>
    <row r="32" spans="3:14">
      <c r="C32" s="286" t="s">
        <v>271</v>
      </c>
      <c r="D32" s="289">
        <f>'INVERSION INICIAL'!E30</f>
        <v>75800</v>
      </c>
      <c r="E32" s="287">
        <v>0</v>
      </c>
      <c r="F32" s="287">
        <v>0</v>
      </c>
      <c r="G32" s="287">
        <v>0</v>
      </c>
      <c r="H32" s="287">
        <v>0</v>
      </c>
      <c r="I32" s="417">
        <v>0</v>
      </c>
      <c r="J32" s="85"/>
      <c r="K32" s="85"/>
      <c r="L32" s="85"/>
      <c r="M32" s="85"/>
      <c r="N32" s="85"/>
    </row>
    <row r="33" spans="3:14">
      <c r="C33" s="286" t="s">
        <v>177</v>
      </c>
      <c r="D33" s="289">
        <f>'INVERSION INICIAL'!E35</f>
        <v>8000</v>
      </c>
      <c r="E33" s="287">
        <v>0</v>
      </c>
      <c r="F33" s="287">
        <v>0</v>
      </c>
      <c r="G33" s="287">
        <v>0</v>
      </c>
      <c r="H33" s="287">
        <v>0</v>
      </c>
      <c r="I33" s="417">
        <v>0</v>
      </c>
      <c r="J33" s="272"/>
      <c r="K33" s="85"/>
      <c r="L33" s="85"/>
      <c r="M33" s="85"/>
      <c r="N33" s="85"/>
    </row>
    <row r="34" spans="3:14">
      <c r="C34" s="286" t="s">
        <v>181</v>
      </c>
      <c r="D34" s="289">
        <f>'INVERSION INICIAL'!D42</f>
        <v>25600</v>
      </c>
      <c r="E34" s="287">
        <v>0</v>
      </c>
      <c r="F34" s="287">
        <v>0</v>
      </c>
      <c r="G34" s="287">
        <v>0</v>
      </c>
      <c r="H34" s="287">
        <v>0</v>
      </c>
      <c r="I34" s="417">
        <v>0</v>
      </c>
      <c r="J34" s="85"/>
      <c r="K34" s="85"/>
      <c r="L34" s="85"/>
      <c r="M34" s="85"/>
      <c r="N34" s="85"/>
    </row>
    <row r="35" spans="3:14">
      <c r="C35" s="286" t="s">
        <v>191</v>
      </c>
      <c r="D35" s="289">
        <f>'INVERSION INICIAL'!E46</f>
        <v>600000</v>
      </c>
      <c r="E35" s="287">
        <v>0</v>
      </c>
      <c r="F35" s="287">
        <v>0</v>
      </c>
      <c r="G35" s="287">
        <v>0</v>
      </c>
      <c r="H35" s="287">
        <v>0</v>
      </c>
      <c r="I35" s="417">
        <v>0</v>
      </c>
      <c r="J35" s="272"/>
      <c r="K35" s="85"/>
      <c r="L35" s="85"/>
      <c r="M35" s="85"/>
      <c r="N35" s="85"/>
    </row>
    <row r="36" spans="3:14">
      <c r="C36" s="305" t="s">
        <v>245</v>
      </c>
      <c r="D36" s="301">
        <f>SUM(D31:D35)</f>
        <v>773500</v>
      </c>
      <c r="E36" s="300">
        <v>0</v>
      </c>
      <c r="F36" s="300">
        <v>0</v>
      </c>
      <c r="G36" s="300">
        <v>0</v>
      </c>
      <c r="H36" s="300">
        <v>0</v>
      </c>
      <c r="I36" s="422">
        <v>0</v>
      </c>
      <c r="J36" s="85"/>
      <c r="K36" s="85"/>
      <c r="L36" s="85"/>
      <c r="M36" s="85"/>
      <c r="N36" s="85"/>
    </row>
    <row r="37" spans="3:14">
      <c r="C37" s="304" t="s">
        <v>178</v>
      </c>
      <c r="D37" s="294"/>
      <c r="E37" s="294"/>
      <c r="F37" s="294"/>
      <c r="G37" s="294"/>
      <c r="H37" s="294"/>
      <c r="I37" s="419"/>
      <c r="J37" s="272"/>
      <c r="K37" s="85"/>
      <c r="L37" s="85"/>
      <c r="M37" s="85"/>
      <c r="N37" s="85"/>
    </row>
    <row r="38" spans="3:14">
      <c r="C38" s="286" t="s">
        <v>152</v>
      </c>
      <c r="D38" s="306">
        <v>0</v>
      </c>
      <c r="E38" s="287">
        <v>150000</v>
      </c>
      <c r="F38" s="287">
        <v>156000</v>
      </c>
      <c r="G38" s="287">
        <v>162240</v>
      </c>
      <c r="H38" s="287">
        <v>168730</v>
      </c>
      <c r="I38" s="417">
        <v>175479</v>
      </c>
      <c r="J38" s="272"/>
      <c r="K38" s="85"/>
      <c r="L38" s="85"/>
      <c r="M38" s="85"/>
      <c r="N38" s="85"/>
    </row>
    <row r="39" spans="3:14">
      <c r="C39" s="286" t="s">
        <v>157</v>
      </c>
      <c r="D39" s="287">
        <v>27000</v>
      </c>
      <c r="E39" s="287">
        <v>0</v>
      </c>
      <c r="F39" s="287">
        <v>0</v>
      </c>
      <c r="G39" s="287">
        <v>0</v>
      </c>
      <c r="H39" s="287">
        <v>0</v>
      </c>
      <c r="I39" s="417">
        <v>0</v>
      </c>
      <c r="J39" s="272"/>
      <c r="K39" s="85"/>
      <c r="L39" s="85"/>
      <c r="M39" s="85"/>
      <c r="N39" s="85"/>
    </row>
    <row r="40" spans="3:14">
      <c r="C40" s="305" t="s">
        <v>245</v>
      </c>
      <c r="D40" s="301">
        <f t="shared" ref="D40:I40" si="2">SUM(D38:D39)</f>
        <v>27000</v>
      </c>
      <c r="E40" s="301">
        <f t="shared" si="2"/>
        <v>150000</v>
      </c>
      <c r="F40" s="301">
        <f t="shared" si="2"/>
        <v>156000</v>
      </c>
      <c r="G40" s="301">
        <f t="shared" si="2"/>
        <v>162240</v>
      </c>
      <c r="H40" s="301">
        <f t="shared" si="2"/>
        <v>168730</v>
      </c>
      <c r="I40" s="421">
        <f t="shared" si="2"/>
        <v>175479</v>
      </c>
      <c r="J40" s="85"/>
      <c r="K40" s="85"/>
      <c r="L40" s="85"/>
      <c r="M40" s="85"/>
      <c r="N40" s="85"/>
    </row>
    <row r="41" spans="3:14">
      <c r="C41" s="304" t="s">
        <v>248</v>
      </c>
      <c r="D41" s="294"/>
      <c r="E41" s="294"/>
      <c r="F41" s="294"/>
      <c r="G41" s="294"/>
      <c r="H41" s="294"/>
      <c r="I41" s="419"/>
      <c r="J41" s="272"/>
      <c r="K41" s="85"/>
      <c r="L41" s="85"/>
      <c r="M41" s="85"/>
      <c r="N41" s="85"/>
    </row>
    <row r="42" spans="3:14">
      <c r="C42" s="286" t="s">
        <v>249</v>
      </c>
      <c r="D42" s="287">
        <v>0</v>
      </c>
      <c r="E42" s="287">
        <v>300000</v>
      </c>
      <c r="F42" s="289">
        <f>E42*(1+'SUPESTOS EXTERNOS'!$F$9)</f>
        <v>312000</v>
      </c>
      <c r="G42" s="289">
        <f>F42*(1+'SUPESTOS EXTERNOS'!$F$9)</f>
        <v>324480</v>
      </c>
      <c r="H42" s="289">
        <f>G42*(1+'SUPESTOS EXTERNOS'!$F$9)</f>
        <v>337459.20000000001</v>
      </c>
      <c r="I42" s="416">
        <f>H42*(1+'SUPESTOS EXTERNOS'!$F$9)</f>
        <v>350957.56800000003</v>
      </c>
      <c r="J42" s="85"/>
      <c r="K42" s="85"/>
      <c r="L42" s="85"/>
      <c r="M42" s="85"/>
      <c r="N42" s="85"/>
    </row>
    <row r="43" spans="3:14">
      <c r="C43" s="286" t="s">
        <v>250</v>
      </c>
      <c r="D43" s="287">
        <v>0</v>
      </c>
      <c r="E43" s="289">
        <f>MANTENIMIENTO!D15*12</f>
        <v>7279.92</v>
      </c>
      <c r="F43" s="289">
        <f>E43*(1+'SUPESTOS EXTERNOS'!$F$9)</f>
        <v>7571.1168000000007</v>
      </c>
      <c r="G43" s="289">
        <f t="shared" ref="G43:I43" si="3">F43*104%</f>
        <v>7873.9614720000009</v>
      </c>
      <c r="H43" s="289">
        <f t="shared" si="3"/>
        <v>8188.9199308800016</v>
      </c>
      <c r="I43" s="416">
        <f t="shared" si="3"/>
        <v>8516.4767281152017</v>
      </c>
      <c r="J43" s="85"/>
      <c r="K43" s="85"/>
      <c r="L43" s="85"/>
      <c r="M43" s="85"/>
      <c r="N43" s="85"/>
    </row>
    <row r="44" spans="3:14">
      <c r="C44" s="286" t="s">
        <v>168</v>
      </c>
      <c r="D44" s="289">
        <f>'INVERSION INICIAL'!K26</f>
        <v>4000</v>
      </c>
      <c r="E44" s="289">
        <f>+D44*(1+'SUPESTOS EXTERNOS'!$F$9)</f>
        <v>4160</v>
      </c>
      <c r="F44" s="289">
        <f>+E44*(1+'SUPESTOS EXTERNOS'!$F$9)</f>
        <v>4326.4000000000005</v>
      </c>
      <c r="G44" s="289">
        <f>+F44*(1+'SUPESTOS EXTERNOS'!$F$9)</f>
        <v>4499.456000000001</v>
      </c>
      <c r="H44" s="289">
        <f>+G44*(1+'SUPESTOS EXTERNOS'!$F$9)</f>
        <v>4679.4342400000014</v>
      </c>
      <c r="I44" s="416">
        <f>+H44*(1+'SUPESTOS EXTERNOS'!$F$9)</f>
        <v>4866.6116096000014</v>
      </c>
      <c r="J44" s="85"/>
      <c r="K44" s="85"/>
      <c r="L44" s="85"/>
      <c r="M44" s="85"/>
      <c r="N44" s="85"/>
    </row>
    <row r="45" spans="3:14">
      <c r="C45" s="305" t="s">
        <v>245</v>
      </c>
      <c r="D45" s="301">
        <f t="shared" ref="D45:H45" si="4">SUM(D42:D44)</f>
        <v>4000</v>
      </c>
      <c r="E45" s="301">
        <f t="shared" si="4"/>
        <v>311439.92</v>
      </c>
      <c r="F45" s="301">
        <f t="shared" si="4"/>
        <v>323897.51680000004</v>
      </c>
      <c r="G45" s="301">
        <f t="shared" si="4"/>
        <v>336853.417472</v>
      </c>
      <c r="H45" s="301">
        <f t="shared" si="4"/>
        <v>350327.55417088</v>
      </c>
      <c r="I45" s="421">
        <f>SUM(I41:I44)</f>
        <v>364340.65633771522</v>
      </c>
      <c r="J45" s="85"/>
      <c r="K45" s="85"/>
      <c r="L45" s="85"/>
      <c r="M45" s="85"/>
      <c r="N45" s="85"/>
    </row>
    <row r="46" spans="3:14">
      <c r="C46" s="304" t="s">
        <v>254</v>
      </c>
      <c r="D46" s="294"/>
      <c r="E46" s="294"/>
      <c r="F46" s="294"/>
      <c r="G46" s="294"/>
      <c r="H46" s="294"/>
      <c r="I46" s="419"/>
      <c r="J46" s="85"/>
      <c r="K46" s="85"/>
      <c r="L46" s="85"/>
      <c r="M46" s="85"/>
      <c r="N46" s="85"/>
    </row>
    <row r="47" spans="3:14">
      <c r="C47" s="286" t="s">
        <v>272</v>
      </c>
      <c r="D47" s="287">
        <v>0</v>
      </c>
      <c r="E47" s="287">
        <v>80000</v>
      </c>
      <c r="F47" s="289">
        <f>E47*(1+'SUPESTOS EXTERNOS'!$F$10)</f>
        <v>84000</v>
      </c>
      <c r="G47" s="289">
        <f>F47*(1+'SUPESTOS EXTERNOS'!$F$10)</f>
        <v>88200</v>
      </c>
      <c r="H47" s="289">
        <f>G47*(1+'SUPESTOS EXTERNOS'!$F$10)</f>
        <v>92610</v>
      </c>
      <c r="I47" s="416">
        <f>H47*(1+'SUPESTOS EXTERNOS'!$F$10)</f>
        <v>97240.5</v>
      </c>
      <c r="J47" s="85"/>
      <c r="K47" s="85"/>
      <c r="L47" s="85"/>
      <c r="M47" s="85"/>
      <c r="N47" s="85"/>
    </row>
    <row r="48" spans="3:14">
      <c r="C48" s="305" t="s">
        <v>245</v>
      </c>
      <c r="D48" s="300">
        <v>0</v>
      </c>
      <c r="E48" s="301">
        <f t="shared" ref="E48:I48" si="5">SUM(E47)</f>
        <v>80000</v>
      </c>
      <c r="F48" s="301">
        <f t="shared" si="5"/>
        <v>84000</v>
      </c>
      <c r="G48" s="301">
        <f t="shared" si="5"/>
        <v>88200</v>
      </c>
      <c r="H48" s="301">
        <f t="shared" si="5"/>
        <v>92610</v>
      </c>
      <c r="I48" s="421">
        <f t="shared" si="5"/>
        <v>97240.5</v>
      </c>
      <c r="J48" s="85"/>
      <c r="K48" s="85"/>
      <c r="L48" s="85"/>
      <c r="M48" s="85"/>
      <c r="N48" s="85"/>
    </row>
    <row r="49" spans="2:14">
      <c r="C49" s="304" t="s">
        <v>273</v>
      </c>
      <c r="D49" s="293"/>
      <c r="E49" s="294"/>
      <c r="F49" s="294"/>
      <c r="G49" s="294"/>
      <c r="H49" s="294"/>
      <c r="I49" s="419"/>
      <c r="J49" s="85"/>
      <c r="K49" s="85"/>
      <c r="L49" s="85"/>
      <c r="M49" s="85"/>
      <c r="N49" s="85"/>
    </row>
    <row r="50" spans="2:14">
      <c r="C50" s="286" t="s">
        <v>274</v>
      </c>
      <c r="D50" s="287">
        <v>0</v>
      </c>
      <c r="E50" s="289">
        <f>AMORTIZACION!N15</f>
        <v>83976.334417259597</v>
      </c>
      <c r="F50" s="289">
        <f>AMORTIZACION!N16</f>
        <v>83976.334417259597</v>
      </c>
      <c r="G50" s="289">
        <f>AMORTIZACION!N17</f>
        <v>83976.334417259597</v>
      </c>
      <c r="H50" s="289">
        <f>AMORTIZACION!N18</f>
        <v>83976.334417259597</v>
      </c>
      <c r="I50" s="416">
        <f>AMORTIZACION!N19</f>
        <v>83976.334417259597</v>
      </c>
      <c r="J50" s="85"/>
      <c r="K50" s="85"/>
      <c r="L50" s="85"/>
      <c r="M50" s="85"/>
      <c r="N50" s="85"/>
    </row>
    <row r="51" spans="2:14">
      <c r="C51" s="286" t="s">
        <v>275</v>
      </c>
      <c r="D51" s="291">
        <v>0</v>
      </c>
      <c r="E51" s="290">
        <f>AMORTIZACION!O15</f>
        <v>42773.951982910301</v>
      </c>
      <c r="F51" s="290">
        <f>AMORTIZACION!O16</f>
        <v>35769.546969070972</v>
      </c>
      <c r="G51" s="290">
        <f>AMORTIZACION!O17</f>
        <v>27574.393102878959</v>
      </c>
      <c r="H51" s="290">
        <f>AMORTIZACION!O18</f>
        <v>17986.063079434316</v>
      </c>
      <c r="I51" s="423">
        <f>AMORTIZACION!O19</f>
        <v>6767.7169520040998</v>
      </c>
      <c r="J51" s="85"/>
      <c r="K51" s="85"/>
      <c r="L51" s="85"/>
      <c r="M51" s="85"/>
      <c r="N51" s="85"/>
    </row>
    <row r="52" spans="2:14">
      <c r="C52" s="305" t="s">
        <v>245</v>
      </c>
      <c r="D52" s="300">
        <v>0</v>
      </c>
      <c r="E52" s="301">
        <f t="shared" ref="E52:I52" si="6">E50+E51</f>
        <v>126750.28640016989</v>
      </c>
      <c r="F52" s="301">
        <f t="shared" si="6"/>
        <v>119745.88138633057</v>
      </c>
      <c r="G52" s="301">
        <f t="shared" si="6"/>
        <v>111550.72752013855</v>
      </c>
      <c r="H52" s="301">
        <f t="shared" si="6"/>
        <v>101962.39749669391</v>
      </c>
      <c r="I52" s="421">
        <f t="shared" si="6"/>
        <v>90744.051369263703</v>
      </c>
      <c r="J52" s="85"/>
      <c r="K52" s="85"/>
      <c r="L52" s="85"/>
      <c r="M52" s="85"/>
      <c r="N52" s="85"/>
    </row>
    <row r="53" spans="2:14">
      <c r="C53" s="282"/>
      <c r="D53" s="293"/>
      <c r="E53" s="294"/>
      <c r="F53" s="294"/>
      <c r="G53" s="294"/>
      <c r="H53" s="294"/>
      <c r="I53" s="419"/>
      <c r="J53" s="85"/>
      <c r="K53" s="85"/>
      <c r="L53" s="85"/>
      <c r="M53" s="85"/>
      <c r="N53" s="85"/>
    </row>
    <row r="54" spans="2:14">
      <c r="C54" s="299" t="s">
        <v>276</v>
      </c>
      <c r="D54" s="287">
        <v>0</v>
      </c>
      <c r="E54" s="287">
        <v>0</v>
      </c>
      <c r="F54" s="287">
        <v>0</v>
      </c>
      <c r="G54" s="287">
        <v>0</v>
      </c>
      <c r="H54" s="287">
        <v>0</v>
      </c>
      <c r="I54" s="417">
        <v>0</v>
      </c>
      <c r="J54" s="85"/>
      <c r="K54" s="85"/>
      <c r="L54" s="85"/>
      <c r="M54" s="85"/>
      <c r="N54" s="85"/>
    </row>
    <row r="55" spans="2:14">
      <c r="C55" s="307"/>
      <c r="D55" s="293"/>
      <c r="E55" s="294"/>
      <c r="F55" s="294"/>
      <c r="G55" s="294"/>
      <c r="H55" s="294"/>
      <c r="I55" s="419"/>
      <c r="J55" s="85"/>
      <c r="K55" s="85"/>
      <c r="L55" s="85"/>
      <c r="M55" s="85"/>
      <c r="N55" s="85"/>
    </row>
    <row r="56" spans="2:14">
      <c r="C56" s="299" t="s">
        <v>277</v>
      </c>
      <c r="D56" s="290">
        <f>-'ESTADO DE RESULTADOS'!D40</f>
        <v>0</v>
      </c>
      <c r="E56" s="290">
        <f>-'ESTADO DE RESULTADOS'!E40</f>
        <v>445059.98721897672</v>
      </c>
      <c r="F56" s="290">
        <f>-'ESTADO DE RESULTADOS'!F40</f>
        <v>502923.91546680994</v>
      </c>
      <c r="G56" s="290">
        <f>-'ESTADO DE RESULTADOS'!G40</f>
        <v>561658.15465895587</v>
      </c>
      <c r="H56" s="290">
        <f>-'ESTADO DE RESULTADOS'!H40</f>
        <v>626284.26433613035</v>
      </c>
      <c r="I56" s="424">
        <f>-'ESTADO DE RESULTADOS'!I40</f>
        <v>687127.0079885968</v>
      </c>
      <c r="J56" s="85"/>
      <c r="K56" s="85"/>
      <c r="L56" s="85"/>
      <c r="M56" s="85"/>
      <c r="N56" s="85"/>
    </row>
    <row r="57" spans="2:14">
      <c r="C57" s="282"/>
      <c r="D57" s="294"/>
      <c r="E57" s="294"/>
      <c r="F57" s="294"/>
      <c r="G57" s="294"/>
      <c r="H57" s="294"/>
      <c r="I57" s="419"/>
      <c r="J57" s="85"/>
      <c r="K57" s="85"/>
      <c r="L57" s="85"/>
      <c r="M57" s="85"/>
      <c r="N57" s="85"/>
    </row>
    <row r="58" spans="2:14">
      <c r="C58" s="295" t="s">
        <v>278</v>
      </c>
      <c r="D58" s="308">
        <f t="shared" ref="D58:I58" si="7">D36+D40+D45+D48+D52+D54+D56+D27</f>
        <v>804500</v>
      </c>
      <c r="E58" s="308">
        <f t="shared" si="7"/>
        <v>1552936.3471982828</v>
      </c>
      <c r="F58" s="308">
        <f t="shared" si="7"/>
        <v>1677372.3789504496</v>
      </c>
      <c r="G58" s="308">
        <f t="shared" si="7"/>
        <v>1805812.2917583033</v>
      </c>
      <c r="H58" s="308">
        <f t="shared" si="7"/>
        <v>1943304.2409611293</v>
      </c>
      <c r="I58" s="425">
        <f t="shared" si="7"/>
        <v>2080175.1801438627</v>
      </c>
      <c r="J58" s="85"/>
      <c r="K58" s="85"/>
      <c r="L58" s="85"/>
      <c r="M58" s="85"/>
      <c r="N58" s="85"/>
    </row>
    <row r="59" spans="2:14">
      <c r="C59" s="282"/>
      <c r="D59" s="294"/>
      <c r="E59" s="294"/>
      <c r="F59" s="294"/>
      <c r="G59" s="294"/>
      <c r="H59" s="294"/>
      <c r="I59" s="419"/>
      <c r="J59" s="85"/>
      <c r="K59" s="85"/>
      <c r="L59" s="85"/>
      <c r="M59" s="85"/>
      <c r="N59" s="85"/>
    </row>
    <row r="60" spans="2:14">
      <c r="C60" s="282"/>
      <c r="D60" s="294"/>
      <c r="E60" s="294"/>
      <c r="F60" s="294"/>
      <c r="G60" s="294"/>
      <c r="H60" s="294"/>
      <c r="I60" s="419"/>
      <c r="J60" s="85"/>
      <c r="K60" s="85"/>
      <c r="L60" s="85"/>
      <c r="M60" s="85"/>
      <c r="N60" s="85"/>
    </row>
    <row r="61" spans="2:14">
      <c r="C61" s="309" t="s">
        <v>279</v>
      </c>
      <c r="D61" s="311">
        <f t="shared" ref="D61:H61" si="8">D23-D58</f>
        <v>351540</v>
      </c>
      <c r="E61" s="311">
        <f t="shared" si="8"/>
        <v>482623.65280171717</v>
      </c>
      <c r="F61" s="311">
        <f t="shared" si="8"/>
        <v>661571.23385126749</v>
      </c>
      <c r="G61" s="311">
        <f t="shared" si="8"/>
        <v>888813.05409296392</v>
      </c>
      <c r="H61" s="311">
        <f t="shared" si="8"/>
        <v>1169780.984011834</v>
      </c>
      <c r="I61" s="426">
        <f>SUM(D61:H61)</f>
        <v>3554328.9247577828</v>
      </c>
      <c r="J61" s="315"/>
      <c r="K61" s="85"/>
      <c r="L61" s="85"/>
      <c r="M61" s="85"/>
      <c r="N61" s="85"/>
    </row>
    <row r="62" spans="2:14">
      <c r="C62" s="316"/>
      <c r="D62" s="319"/>
      <c r="E62" s="319"/>
      <c r="F62" s="319"/>
      <c r="G62" s="319"/>
      <c r="H62" s="319"/>
      <c r="I62" s="427"/>
      <c r="J62" s="85"/>
      <c r="K62" s="85"/>
      <c r="L62" s="85"/>
      <c r="M62" s="85"/>
      <c r="N62" s="85"/>
    </row>
    <row r="63" spans="2:14">
      <c r="B63" s="428"/>
      <c r="C63" s="429"/>
      <c r="D63" s="85"/>
      <c r="E63" s="85"/>
      <c r="F63" s="85"/>
      <c r="G63" s="85"/>
      <c r="H63" s="85"/>
      <c r="I63" s="429"/>
      <c r="J63" s="429"/>
      <c r="K63" s="85"/>
      <c r="L63" s="85"/>
      <c r="M63" s="85"/>
      <c r="N63" s="85"/>
    </row>
    <row r="64" spans="2:14">
      <c r="B64" s="428"/>
      <c r="C64" s="429"/>
      <c r="D64" s="321"/>
      <c r="E64" s="85"/>
      <c r="F64" s="85"/>
      <c r="G64" s="85"/>
      <c r="H64" s="85"/>
      <c r="I64" s="429"/>
      <c r="J64" s="429"/>
      <c r="K64" s="85"/>
      <c r="L64" s="85"/>
      <c r="M64" s="85"/>
      <c r="N64" s="85"/>
    </row>
    <row r="65" spans="2:14" ht="18">
      <c r="B65" s="428"/>
      <c r="C65" s="429"/>
      <c r="D65" s="404" t="s">
        <v>280</v>
      </c>
      <c r="E65" s="405"/>
      <c r="F65" s="405"/>
      <c r="G65" s="405"/>
      <c r="H65" s="405"/>
      <c r="I65" s="406"/>
      <c r="J65" s="85"/>
      <c r="K65" s="85"/>
      <c r="L65" s="85"/>
      <c r="M65" s="85"/>
      <c r="N65" s="85"/>
    </row>
    <row r="66" spans="2:14">
      <c r="C66" s="431"/>
      <c r="D66" s="320"/>
      <c r="E66" s="85"/>
      <c r="F66" s="85"/>
      <c r="G66" s="85"/>
      <c r="H66" s="85"/>
      <c r="I66" s="409"/>
      <c r="J66" s="85"/>
      <c r="K66" s="85"/>
      <c r="L66" s="85"/>
      <c r="M66" s="85"/>
      <c r="N66" s="85"/>
    </row>
    <row r="67" spans="2:14">
      <c r="C67" s="320"/>
      <c r="D67" s="322" t="s">
        <v>281</v>
      </c>
      <c r="E67" s="323" t="s">
        <v>282</v>
      </c>
      <c r="F67" s="323" t="s">
        <v>283</v>
      </c>
      <c r="G67" s="323" t="s">
        <v>292</v>
      </c>
      <c r="H67" s="85"/>
      <c r="I67" s="409"/>
      <c r="J67" s="85"/>
      <c r="K67" s="85"/>
      <c r="L67" s="85"/>
      <c r="M67" s="85"/>
      <c r="N67" s="85"/>
    </row>
    <row r="68" spans="2:14" ht="19">
      <c r="C68" s="320"/>
      <c r="D68" s="324">
        <v>0</v>
      </c>
      <c r="E68" s="433">
        <f>-'%DEUDA'!C12</f>
        <v>-1156040</v>
      </c>
      <c r="F68" s="433">
        <f>E68</f>
        <v>-1156040</v>
      </c>
      <c r="G68" s="435">
        <f>F68</f>
        <v>-1156040</v>
      </c>
      <c r="H68" s="325" t="s">
        <v>284</v>
      </c>
      <c r="I68" s="439">
        <f>IRR(E68:E73)</f>
        <v>0.66252289337678372</v>
      </c>
      <c r="J68" s="85"/>
      <c r="K68" s="85"/>
      <c r="L68" s="85"/>
      <c r="M68" s="85"/>
      <c r="N68" s="85"/>
    </row>
    <row r="69" spans="2:14" ht="19">
      <c r="C69" s="324">
        <v>2020</v>
      </c>
      <c r="D69" s="324">
        <v>1</v>
      </c>
      <c r="E69" s="434">
        <f>E61</f>
        <v>482623.65280171717</v>
      </c>
      <c r="F69" s="434">
        <f>E69*(1+'SUPESTOS EXTERNOS'!$D$8)^-D69</f>
        <v>419672.74156671064</v>
      </c>
      <c r="G69" s="436">
        <f>F69</f>
        <v>419672.74156671064</v>
      </c>
      <c r="H69" s="438" t="s">
        <v>285</v>
      </c>
      <c r="I69" s="440">
        <f>SUM(F68:F73)</f>
        <v>2784240.3764017764</v>
      </c>
      <c r="J69" s="85"/>
      <c r="K69" s="85"/>
      <c r="L69" s="85"/>
      <c r="M69" s="85"/>
      <c r="N69" s="85"/>
    </row>
    <row r="70" spans="2:14">
      <c r="C70" s="324">
        <v>2021</v>
      </c>
      <c r="D70" s="324">
        <v>2</v>
      </c>
      <c r="E70" s="434">
        <f>F61</f>
        <v>661571.23385126749</v>
      </c>
      <c r="F70" s="434">
        <f>E70*(1+'SUPESTOS EXTERNOS'!$D$8)^-D70</f>
        <v>500242.89894235734</v>
      </c>
      <c r="G70" s="436">
        <f>F69+F70</f>
        <v>919915.64050906803</v>
      </c>
      <c r="H70" s="85"/>
      <c r="I70" s="409"/>
      <c r="J70" s="85"/>
      <c r="K70" s="85"/>
      <c r="L70" s="85"/>
      <c r="M70" s="85"/>
      <c r="N70" s="85"/>
    </row>
    <row r="71" spans="2:14">
      <c r="C71" s="324">
        <v>2022</v>
      </c>
      <c r="D71" s="324">
        <v>3</v>
      </c>
      <c r="E71" s="434">
        <f>G61</f>
        <v>888813.05409296392</v>
      </c>
      <c r="F71" s="434">
        <f>E71*(1+'SUPESTOS EXTERNOS'!$D$8)^-D71</f>
        <v>584409.01066357468</v>
      </c>
      <c r="G71" s="437">
        <f>SUM(F69:F71)</f>
        <v>1504324.6511726426</v>
      </c>
      <c r="H71" s="85"/>
      <c r="J71" s="85"/>
      <c r="K71" s="85"/>
      <c r="L71" s="85"/>
      <c r="M71" s="85"/>
      <c r="N71" s="85"/>
    </row>
    <row r="72" spans="2:14">
      <c r="C72" s="324">
        <v>2023</v>
      </c>
      <c r="D72" s="324">
        <v>4</v>
      </c>
      <c r="E72" s="434">
        <f>H61</f>
        <v>1169780.984011834</v>
      </c>
      <c r="F72" s="434">
        <f>E72*(1+'SUPESTOS EXTERNOS'!$D$8)^-D72</f>
        <v>668826.07424177846</v>
      </c>
      <c r="G72" s="437">
        <f>SUM(F69:F72)</f>
        <v>2173150.7254144209</v>
      </c>
      <c r="H72" s="93" t="s">
        <v>286</v>
      </c>
      <c r="I72" s="432">
        <f>-E68</f>
        <v>1156040</v>
      </c>
      <c r="J72" s="85"/>
      <c r="K72" s="85"/>
      <c r="L72" s="85"/>
      <c r="M72" s="85"/>
      <c r="N72" s="85"/>
    </row>
    <row r="73" spans="2:14">
      <c r="C73" s="324">
        <v>2024</v>
      </c>
      <c r="D73" s="324">
        <v>5</v>
      </c>
      <c r="E73" s="442">
        <f>I61</f>
        <v>3554328.9247577828</v>
      </c>
      <c r="F73" s="434">
        <f>E73*(1+'SUPESTOS EXTERNOS'!$D$8)^-D73</f>
        <v>1767129.6509873555</v>
      </c>
      <c r="G73" s="437">
        <f>SUM(F69:F73)</f>
        <v>3940280.3764017764</v>
      </c>
      <c r="H73" s="85"/>
      <c r="I73" s="432">
        <f>E70</f>
        <v>661571.23385126749</v>
      </c>
      <c r="J73" s="85"/>
      <c r="K73" s="85"/>
      <c r="L73" s="85"/>
      <c r="M73" s="85"/>
      <c r="N73" s="85"/>
    </row>
    <row r="74" spans="2:14">
      <c r="C74" s="320"/>
      <c r="D74" s="320"/>
      <c r="E74" s="85"/>
      <c r="F74" s="85"/>
      <c r="G74" s="85"/>
      <c r="H74" s="85"/>
      <c r="I74" s="432">
        <f>I72-I73</f>
        <v>494468.76614873251</v>
      </c>
      <c r="J74" s="85"/>
      <c r="K74" s="85"/>
      <c r="L74" s="85"/>
      <c r="M74" s="85"/>
      <c r="N74" s="85"/>
    </row>
    <row r="75" spans="2:14">
      <c r="C75" s="326"/>
      <c r="D75" s="326"/>
      <c r="E75" s="327"/>
      <c r="F75" s="327"/>
      <c r="G75" s="327"/>
      <c r="H75" s="328" t="s">
        <v>287</v>
      </c>
      <c r="I75" s="430">
        <f>2+(I74/I73)</f>
        <v>2.7474157594039186</v>
      </c>
      <c r="J75" s="85"/>
      <c r="K75" s="85"/>
      <c r="L75" s="85"/>
      <c r="M75" s="85"/>
      <c r="N75" s="85"/>
    </row>
    <row r="76" spans="2:14">
      <c r="C76" s="85"/>
      <c r="D76" s="85"/>
      <c r="E76" s="85"/>
      <c r="F76" s="85"/>
      <c r="G76" s="85"/>
      <c r="H76" s="441" t="s">
        <v>294</v>
      </c>
      <c r="I76" s="429"/>
      <c r="J76" s="85"/>
      <c r="K76" s="85"/>
      <c r="L76" s="85"/>
      <c r="M76" s="85"/>
      <c r="N76" s="85"/>
    </row>
    <row r="77" spans="2:14" s="329" customFormat="1">
      <c r="C77" s="330"/>
      <c r="D77" s="330"/>
      <c r="E77" s="330"/>
      <c r="F77" s="330"/>
      <c r="G77" s="330"/>
      <c r="H77" s="441"/>
      <c r="I77" s="429"/>
      <c r="J77" s="330"/>
      <c r="K77" s="330"/>
      <c r="L77" s="330"/>
      <c r="M77" s="330"/>
      <c r="N77" s="330"/>
    </row>
    <row r="78" spans="2:14">
      <c r="C78" s="85"/>
      <c r="D78" s="407" t="s">
        <v>288</v>
      </c>
      <c r="E78" s="337"/>
      <c r="F78" s="337"/>
      <c r="G78" s="93" t="s">
        <v>289</v>
      </c>
      <c r="H78" s="85"/>
      <c r="I78" s="429"/>
      <c r="J78" s="85"/>
      <c r="K78" s="85"/>
      <c r="L78" s="85"/>
      <c r="M78" s="85"/>
      <c r="N78" s="85"/>
    </row>
    <row r="79" spans="2:14">
      <c r="C79" s="85"/>
      <c r="D79" s="85"/>
      <c r="E79" s="85"/>
      <c r="F79" s="85"/>
      <c r="G79" s="85"/>
      <c r="H79" s="85"/>
      <c r="I79" s="429"/>
      <c r="J79" s="85"/>
      <c r="K79" s="85"/>
      <c r="L79" s="85"/>
      <c r="M79" s="85"/>
      <c r="N79" s="85"/>
    </row>
    <row r="80" spans="2:14">
      <c r="C80" s="85"/>
      <c r="D80" s="407" t="s">
        <v>290</v>
      </c>
      <c r="E80" s="337"/>
      <c r="F80" s="337"/>
      <c r="G80" s="337"/>
      <c r="H80" s="337"/>
      <c r="I80" s="429" t="s">
        <v>289</v>
      </c>
      <c r="J80" s="85"/>
      <c r="K80" s="85"/>
      <c r="L80" s="85"/>
      <c r="M80" s="85"/>
      <c r="N80" s="85"/>
    </row>
    <row r="81" spans="3:14">
      <c r="C81" s="85"/>
      <c r="D81" s="85"/>
      <c r="E81" s="85"/>
      <c r="F81" s="85"/>
      <c r="G81" s="85"/>
      <c r="H81" s="85"/>
      <c r="I81" s="429"/>
      <c r="J81" s="85"/>
      <c r="K81" s="85"/>
      <c r="L81" s="85"/>
      <c r="M81" s="85"/>
      <c r="N81" s="85"/>
    </row>
    <row r="82" spans="3:14">
      <c r="C82" s="85"/>
      <c r="D82" s="401" t="s">
        <v>291</v>
      </c>
      <c r="E82" s="337"/>
      <c r="F82" s="337"/>
      <c r="G82" s="441" t="s">
        <v>293</v>
      </c>
      <c r="H82" s="85"/>
      <c r="I82" s="429"/>
      <c r="J82" s="85"/>
      <c r="K82" s="85"/>
      <c r="L82" s="85"/>
      <c r="M82" s="85"/>
      <c r="N82" s="85"/>
    </row>
    <row r="83" spans="3:14" ht="15" customHeight="1">
      <c r="G83" s="428"/>
      <c r="H83" s="428"/>
      <c r="I83" s="428"/>
    </row>
    <row r="84" spans="3:14" ht="15" customHeight="1">
      <c r="G84" s="428"/>
      <c r="H84" s="428"/>
      <c r="I84" s="428"/>
    </row>
    <row r="85" spans="3:14" ht="15" customHeight="1">
      <c r="G85" s="428"/>
      <c r="H85" s="428"/>
      <c r="I85" s="428"/>
    </row>
    <row r="86" spans="3:14" ht="15" customHeight="1">
      <c r="G86" s="428"/>
      <c r="H86" s="428"/>
      <c r="I86" s="428"/>
    </row>
    <row r="87" spans="3:14" ht="15" customHeight="1">
      <c r="G87" s="428"/>
      <c r="H87" s="428"/>
      <c r="I87" s="428"/>
    </row>
    <row r="88" spans="3:14" ht="15" customHeight="1">
      <c r="G88" s="428"/>
      <c r="H88" s="428"/>
      <c r="I88" s="428"/>
    </row>
    <row r="89" spans="3:14" ht="15" customHeight="1">
      <c r="G89" s="428"/>
      <c r="H89" s="428"/>
      <c r="I89" s="428"/>
    </row>
    <row r="90" spans="3:14" ht="15" customHeight="1">
      <c r="G90" s="428"/>
      <c r="H90" s="428"/>
      <c r="I90" s="428"/>
    </row>
    <row r="91" spans="3:14" ht="15" customHeight="1">
      <c r="G91" s="428"/>
      <c r="H91" s="428"/>
      <c r="I91" s="428"/>
    </row>
    <row r="92" spans="3:14" ht="15" customHeight="1">
      <c r="G92" s="428"/>
      <c r="H92" s="428"/>
      <c r="I92" s="428"/>
    </row>
    <row r="93" spans="3:14" ht="15" customHeight="1">
      <c r="G93" s="428"/>
      <c r="H93" s="428"/>
      <c r="I93" s="428"/>
    </row>
    <row r="94" spans="3:14" ht="15" customHeight="1">
      <c r="G94" s="428"/>
      <c r="H94" s="428"/>
      <c r="I94" s="428"/>
    </row>
    <row r="95" spans="3:14" ht="15" customHeight="1">
      <c r="G95" s="428"/>
      <c r="H95" s="428"/>
      <c r="I95" s="428"/>
    </row>
    <row r="96" spans="3:14" ht="15" customHeight="1">
      <c r="G96" s="428"/>
      <c r="H96" s="428"/>
      <c r="I96" s="428"/>
    </row>
    <row r="97" spans="7:9" ht="15" customHeight="1">
      <c r="G97" s="428"/>
      <c r="H97" s="428"/>
      <c r="I97" s="428"/>
    </row>
    <row r="98" spans="7:9" ht="15" customHeight="1">
      <c r="G98" s="428"/>
      <c r="H98" s="428"/>
      <c r="I98" s="428"/>
    </row>
    <row r="99" spans="7:9" ht="15" customHeight="1">
      <c r="G99" s="428"/>
      <c r="H99" s="428"/>
      <c r="I99" s="428"/>
    </row>
    <row r="100" spans="7:9" ht="15" customHeight="1">
      <c r="G100" s="428"/>
      <c r="H100" s="428"/>
      <c r="I100" s="428"/>
    </row>
    <row r="101" spans="7:9" ht="15" customHeight="1">
      <c r="G101" s="428"/>
      <c r="H101" s="428"/>
      <c r="I101" s="428"/>
    </row>
    <row r="102" spans="7:9" ht="15" customHeight="1">
      <c r="G102" s="428"/>
      <c r="H102" s="428"/>
      <c r="I102" s="428"/>
    </row>
    <row r="103" spans="7:9" ht="15" customHeight="1">
      <c r="G103" s="428"/>
      <c r="H103" s="428"/>
      <c r="I103" s="428"/>
    </row>
    <row r="104" spans="7:9" ht="15" customHeight="1">
      <c r="G104" s="428"/>
      <c r="H104" s="428"/>
      <c r="I104" s="428"/>
    </row>
    <row r="105" spans="7:9" ht="15" customHeight="1">
      <c r="G105" s="428"/>
      <c r="H105" s="428"/>
      <c r="I105" s="428"/>
    </row>
    <row r="106" spans="7:9" ht="15" customHeight="1">
      <c r="G106" s="428"/>
      <c r="H106" s="428"/>
      <c r="I106" s="428"/>
    </row>
    <row r="107" spans="7:9" ht="15" customHeight="1">
      <c r="G107" s="428"/>
      <c r="H107" s="428"/>
      <c r="I107" s="428"/>
    </row>
    <row r="108" spans="7:9" ht="15" customHeight="1">
      <c r="G108" s="428"/>
      <c r="H108" s="428"/>
      <c r="I108" s="428"/>
    </row>
    <row r="109" spans="7:9" ht="15" customHeight="1">
      <c r="G109" s="428"/>
      <c r="H109" s="428"/>
      <c r="I109" s="428"/>
    </row>
    <row r="110" spans="7:9" ht="15" customHeight="1">
      <c r="G110" s="428"/>
      <c r="H110" s="428"/>
      <c r="I110" s="428"/>
    </row>
    <row r="111" spans="7:9" ht="15" customHeight="1">
      <c r="G111" s="428"/>
      <c r="H111" s="428"/>
      <c r="I111" s="428"/>
    </row>
    <row r="112" spans="7:9" ht="15" customHeight="1">
      <c r="G112" s="428"/>
      <c r="H112" s="428"/>
      <c r="I112" s="428"/>
    </row>
    <row r="113" spans="7:9" ht="15" customHeight="1">
      <c r="G113" s="428"/>
      <c r="H113" s="428"/>
      <c r="I113" s="428"/>
    </row>
    <row r="114" spans="7:9" ht="15" customHeight="1">
      <c r="G114" s="428"/>
      <c r="H114" s="428"/>
      <c r="I114" s="428"/>
    </row>
    <row r="115" spans="7:9" ht="15" customHeight="1">
      <c r="G115" s="428"/>
      <c r="H115" s="428"/>
      <c r="I115" s="428"/>
    </row>
    <row r="116" spans="7:9" ht="15" customHeight="1">
      <c r="G116" s="428"/>
      <c r="H116" s="428"/>
      <c r="I116" s="428"/>
    </row>
    <row r="117" spans="7:9" ht="15" customHeight="1">
      <c r="G117" s="428"/>
      <c r="H117" s="428"/>
      <c r="I117" s="428"/>
    </row>
    <row r="118" spans="7:9" ht="15" customHeight="1">
      <c r="G118" s="428"/>
      <c r="H118" s="428"/>
      <c r="I118" s="428"/>
    </row>
    <row r="119" spans="7:9" ht="15" customHeight="1">
      <c r="G119" s="428"/>
      <c r="H119" s="428"/>
      <c r="I119" s="428"/>
    </row>
    <row r="120" spans="7:9" ht="15" customHeight="1">
      <c r="G120" s="428"/>
      <c r="H120" s="428"/>
      <c r="I120" s="428"/>
    </row>
    <row r="121" spans="7:9" ht="15" customHeight="1">
      <c r="G121" s="428"/>
      <c r="H121" s="428"/>
      <c r="I121" s="428"/>
    </row>
    <row r="122" spans="7:9" ht="15" customHeight="1">
      <c r="G122" s="428"/>
      <c r="H122" s="428"/>
      <c r="I122" s="428"/>
    </row>
    <row r="123" spans="7:9" ht="15" customHeight="1">
      <c r="G123" s="428"/>
      <c r="H123" s="428"/>
      <c r="I123" s="428"/>
    </row>
    <row r="124" spans="7:9" ht="15" customHeight="1">
      <c r="G124" s="428"/>
      <c r="H124" s="428"/>
      <c r="I124" s="428"/>
    </row>
    <row r="125" spans="7:9" ht="15" customHeight="1">
      <c r="G125" s="428"/>
      <c r="H125" s="428"/>
      <c r="I125" s="428"/>
    </row>
    <row r="126" spans="7:9" ht="15" customHeight="1">
      <c r="G126" s="428"/>
      <c r="H126" s="428"/>
      <c r="I126" s="428"/>
    </row>
    <row r="127" spans="7:9" ht="15" customHeight="1">
      <c r="G127" s="428"/>
      <c r="H127" s="428"/>
      <c r="I127" s="428"/>
    </row>
    <row r="128" spans="7:9" ht="15" customHeight="1">
      <c r="G128" s="428"/>
      <c r="H128" s="428"/>
      <c r="I128" s="428"/>
    </row>
    <row r="129" spans="7:9" ht="15" customHeight="1">
      <c r="G129" s="428"/>
      <c r="H129" s="428"/>
      <c r="I129" s="428"/>
    </row>
    <row r="130" spans="7:9" ht="15" customHeight="1">
      <c r="G130" s="428"/>
      <c r="H130" s="428"/>
      <c r="I130" s="428"/>
    </row>
    <row r="131" spans="7:9" ht="15" customHeight="1">
      <c r="G131" s="428"/>
      <c r="H131" s="428"/>
      <c r="I131" s="428"/>
    </row>
    <row r="132" spans="7:9" ht="15" customHeight="1">
      <c r="G132" s="428"/>
      <c r="H132" s="428"/>
      <c r="I132" s="428"/>
    </row>
    <row r="133" spans="7:9" ht="15" customHeight="1">
      <c r="G133" s="428"/>
      <c r="H133" s="428"/>
      <c r="I133" s="428"/>
    </row>
    <row r="134" spans="7:9" ht="15" customHeight="1">
      <c r="G134" s="428"/>
      <c r="H134" s="428"/>
      <c r="I134" s="428"/>
    </row>
    <row r="135" spans="7:9" ht="15" customHeight="1">
      <c r="G135" s="428"/>
      <c r="H135" s="428"/>
      <c r="I135" s="428"/>
    </row>
    <row r="136" spans="7:9" ht="15" customHeight="1">
      <c r="G136" s="428"/>
      <c r="H136" s="428"/>
      <c r="I136" s="428"/>
    </row>
    <row r="137" spans="7:9" ht="15" customHeight="1">
      <c r="G137" s="428"/>
      <c r="H137" s="428"/>
      <c r="I137" s="428"/>
    </row>
    <row r="138" spans="7:9" ht="15" customHeight="1">
      <c r="G138" s="428"/>
      <c r="H138" s="428"/>
      <c r="I138" s="428"/>
    </row>
    <row r="139" spans="7:9" ht="15" customHeight="1">
      <c r="G139" s="428"/>
      <c r="H139" s="428"/>
      <c r="I139" s="428"/>
    </row>
    <row r="140" spans="7:9" ht="15" customHeight="1">
      <c r="G140" s="428"/>
      <c r="H140" s="428"/>
      <c r="I140" s="428"/>
    </row>
    <row r="141" spans="7:9" ht="15" customHeight="1">
      <c r="G141" s="428"/>
      <c r="H141" s="428"/>
      <c r="I141" s="428"/>
    </row>
    <row r="142" spans="7:9" ht="15" customHeight="1">
      <c r="G142" s="428"/>
      <c r="H142" s="428"/>
      <c r="I142" s="428"/>
    </row>
    <row r="143" spans="7:9" ht="15" customHeight="1">
      <c r="G143" s="428"/>
      <c r="H143" s="428"/>
      <c r="I143" s="428"/>
    </row>
    <row r="144" spans="7:9" ht="15" customHeight="1">
      <c r="G144" s="428"/>
      <c r="H144" s="428"/>
      <c r="I144" s="428"/>
    </row>
    <row r="145" spans="7:9" ht="15" customHeight="1">
      <c r="G145" s="428"/>
      <c r="H145" s="428"/>
      <c r="I145" s="428"/>
    </row>
    <row r="146" spans="7:9" ht="15" customHeight="1">
      <c r="G146" s="428"/>
      <c r="H146" s="428"/>
      <c r="I146" s="428"/>
    </row>
    <row r="147" spans="7:9" ht="15" customHeight="1">
      <c r="G147" s="428"/>
      <c r="H147" s="428"/>
      <c r="I147" s="428"/>
    </row>
    <row r="148" spans="7:9" ht="15" customHeight="1">
      <c r="G148" s="428"/>
      <c r="H148" s="428"/>
      <c r="I148" s="428"/>
    </row>
    <row r="149" spans="7:9" ht="15" customHeight="1">
      <c r="G149" s="428"/>
      <c r="H149" s="428"/>
      <c r="I149" s="428"/>
    </row>
    <row r="150" spans="7:9" ht="15" customHeight="1">
      <c r="G150" s="428"/>
      <c r="H150" s="428"/>
      <c r="I150" s="428"/>
    </row>
    <row r="151" spans="7:9" ht="15" customHeight="1">
      <c r="G151" s="428"/>
      <c r="H151" s="428"/>
      <c r="I151" s="428"/>
    </row>
    <row r="152" spans="7:9" ht="15" customHeight="1">
      <c r="G152" s="428"/>
      <c r="H152" s="428"/>
      <c r="I152" s="428"/>
    </row>
    <row r="153" spans="7:9" ht="15" customHeight="1">
      <c r="G153" s="428"/>
      <c r="H153" s="428"/>
      <c r="I153" s="428"/>
    </row>
    <row r="154" spans="7:9" ht="15" customHeight="1">
      <c r="G154" s="428"/>
      <c r="H154" s="428"/>
      <c r="I154" s="428"/>
    </row>
    <row r="155" spans="7:9" ht="15" customHeight="1">
      <c r="G155" s="428"/>
      <c r="H155" s="428"/>
      <c r="I155" s="428"/>
    </row>
    <row r="156" spans="7:9" ht="15" customHeight="1">
      <c r="G156" s="428"/>
      <c r="H156" s="428"/>
      <c r="I156" s="428"/>
    </row>
    <row r="157" spans="7:9" ht="15" customHeight="1">
      <c r="G157" s="428"/>
      <c r="H157" s="428"/>
      <c r="I157" s="428"/>
    </row>
    <row r="158" spans="7:9" ht="15" customHeight="1">
      <c r="G158" s="428"/>
      <c r="H158" s="428"/>
      <c r="I158" s="428"/>
    </row>
    <row r="159" spans="7:9" ht="15" customHeight="1">
      <c r="G159" s="428"/>
      <c r="H159" s="428"/>
      <c r="I159" s="428"/>
    </row>
    <row r="160" spans="7:9" ht="15" customHeight="1">
      <c r="G160" s="428"/>
      <c r="H160" s="428"/>
      <c r="I160" s="428"/>
    </row>
    <row r="161" spans="7:9" ht="15" customHeight="1">
      <c r="G161" s="428"/>
      <c r="H161" s="428"/>
      <c r="I161" s="428"/>
    </row>
    <row r="162" spans="7:9" ht="15" customHeight="1">
      <c r="G162" s="428"/>
      <c r="H162" s="428"/>
      <c r="I162" s="428"/>
    </row>
    <row r="163" spans="7:9" ht="15" customHeight="1">
      <c r="G163" s="428"/>
      <c r="H163" s="428"/>
      <c r="I163" s="428"/>
    </row>
    <row r="164" spans="7:9" ht="15" customHeight="1">
      <c r="G164" s="428"/>
      <c r="H164" s="428"/>
      <c r="I164" s="428"/>
    </row>
    <row r="165" spans="7:9" ht="15" customHeight="1">
      <c r="G165" s="428"/>
      <c r="H165" s="428"/>
      <c r="I165" s="428"/>
    </row>
    <row r="166" spans="7:9" ht="15" customHeight="1">
      <c r="G166" s="428"/>
      <c r="H166" s="428"/>
      <c r="I166" s="428"/>
    </row>
    <row r="167" spans="7:9" ht="15" customHeight="1">
      <c r="G167" s="428"/>
      <c r="H167" s="428"/>
      <c r="I167" s="428"/>
    </row>
    <row r="168" spans="7:9" ht="15" customHeight="1">
      <c r="G168" s="428"/>
      <c r="H168" s="428"/>
      <c r="I168" s="428"/>
    </row>
    <row r="169" spans="7:9" ht="15" customHeight="1">
      <c r="G169" s="428"/>
      <c r="H169" s="428"/>
      <c r="I169" s="428"/>
    </row>
    <row r="170" spans="7:9" ht="15" customHeight="1">
      <c r="G170" s="428"/>
      <c r="H170" s="428"/>
      <c r="I170" s="428"/>
    </row>
    <row r="171" spans="7:9" ht="15" customHeight="1">
      <c r="G171" s="428"/>
      <c r="H171" s="428"/>
      <c r="I171" s="428"/>
    </row>
    <row r="172" spans="7:9" ht="15" customHeight="1">
      <c r="G172" s="428"/>
      <c r="H172" s="428"/>
      <c r="I172" s="428"/>
    </row>
    <row r="173" spans="7:9" ht="15" customHeight="1">
      <c r="G173" s="428"/>
      <c r="H173" s="428"/>
      <c r="I173" s="428"/>
    </row>
    <row r="174" spans="7:9" ht="15" customHeight="1">
      <c r="G174" s="428"/>
      <c r="H174" s="428"/>
      <c r="I174" s="428"/>
    </row>
    <row r="175" spans="7:9" ht="15" customHeight="1">
      <c r="G175" s="428"/>
      <c r="H175" s="428"/>
      <c r="I175" s="428"/>
    </row>
    <row r="176" spans="7:9" ht="15" customHeight="1">
      <c r="G176" s="428"/>
      <c r="H176" s="428"/>
      <c r="I176" s="428"/>
    </row>
    <row r="177" spans="7:9" ht="15" customHeight="1">
      <c r="G177" s="428"/>
      <c r="H177" s="428"/>
      <c r="I177" s="428"/>
    </row>
    <row r="178" spans="7:9" ht="15" customHeight="1">
      <c r="G178" s="428"/>
      <c r="H178" s="428"/>
      <c r="I178" s="428"/>
    </row>
    <row r="179" spans="7:9" ht="15" customHeight="1">
      <c r="G179" s="428"/>
      <c r="H179" s="428"/>
      <c r="I179" s="428"/>
    </row>
    <row r="180" spans="7:9" ht="15" customHeight="1">
      <c r="G180" s="428"/>
      <c r="H180" s="428"/>
      <c r="I180" s="428"/>
    </row>
    <row r="181" spans="7:9" ht="15" customHeight="1">
      <c r="G181" s="428"/>
      <c r="H181" s="428"/>
      <c r="I181" s="428"/>
    </row>
    <row r="182" spans="7:9" ht="15" customHeight="1">
      <c r="G182" s="428"/>
      <c r="H182" s="428"/>
      <c r="I182" s="428"/>
    </row>
    <row r="183" spans="7:9" ht="15" customHeight="1">
      <c r="G183" s="428"/>
      <c r="H183" s="428"/>
      <c r="I183" s="428"/>
    </row>
    <row r="184" spans="7:9" ht="15" customHeight="1">
      <c r="G184" s="428"/>
      <c r="H184" s="428"/>
      <c r="I184" s="428"/>
    </row>
    <row r="185" spans="7:9" ht="15" customHeight="1">
      <c r="G185" s="428"/>
      <c r="H185" s="428"/>
      <c r="I185" s="428"/>
    </row>
    <row r="186" spans="7:9" ht="15" customHeight="1">
      <c r="G186" s="428"/>
      <c r="H186" s="428"/>
      <c r="I186" s="428"/>
    </row>
    <row r="187" spans="7:9" ht="15" customHeight="1">
      <c r="G187" s="428"/>
      <c r="H187" s="428"/>
      <c r="I187" s="428"/>
    </row>
    <row r="188" spans="7:9" ht="15" customHeight="1">
      <c r="G188" s="428"/>
      <c r="H188" s="428"/>
      <c r="I188" s="428"/>
    </row>
    <row r="189" spans="7:9" ht="15" customHeight="1">
      <c r="G189" s="428"/>
      <c r="H189" s="428"/>
      <c r="I189" s="428"/>
    </row>
    <row r="190" spans="7:9" ht="15" customHeight="1">
      <c r="G190" s="428"/>
      <c r="H190" s="428"/>
      <c r="I190" s="428"/>
    </row>
    <row r="191" spans="7:9" ht="15" customHeight="1">
      <c r="G191" s="428"/>
      <c r="H191" s="428"/>
      <c r="I191" s="428"/>
    </row>
    <row r="192" spans="7:9" ht="15" customHeight="1">
      <c r="G192" s="428"/>
      <c r="H192" s="428"/>
      <c r="I192" s="428"/>
    </row>
    <row r="193" spans="7:9" ht="15" customHeight="1">
      <c r="G193" s="428"/>
      <c r="H193" s="428"/>
      <c r="I193" s="428"/>
    </row>
    <row r="194" spans="7:9" ht="15" customHeight="1">
      <c r="G194" s="428"/>
      <c r="H194" s="428"/>
      <c r="I194" s="428"/>
    </row>
    <row r="195" spans="7:9" ht="15" customHeight="1">
      <c r="G195" s="428"/>
      <c r="H195" s="428"/>
      <c r="I195" s="428"/>
    </row>
    <row r="196" spans="7:9" ht="15" customHeight="1">
      <c r="G196" s="428"/>
      <c r="H196" s="428"/>
      <c r="I196" s="428"/>
    </row>
    <row r="197" spans="7:9" ht="15" customHeight="1">
      <c r="G197" s="428"/>
      <c r="H197" s="428"/>
      <c r="I197" s="428"/>
    </row>
    <row r="198" spans="7:9" ht="15" customHeight="1">
      <c r="G198" s="428"/>
      <c r="H198" s="428"/>
      <c r="I198" s="428"/>
    </row>
    <row r="199" spans="7:9" ht="15" customHeight="1">
      <c r="G199" s="428"/>
      <c r="H199" s="428"/>
      <c r="I199" s="428"/>
    </row>
    <row r="200" spans="7:9" ht="15" customHeight="1">
      <c r="G200" s="428"/>
      <c r="H200" s="428"/>
      <c r="I200" s="428"/>
    </row>
    <row r="201" spans="7:9" ht="15" customHeight="1">
      <c r="G201" s="428"/>
      <c r="H201" s="428"/>
      <c r="I201" s="428"/>
    </row>
    <row r="202" spans="7:9" ht="15" customHeight="1">
      <c r="G202" s="428"/>
      <c r="H202" s="428"/>
      <c r="I202" s="428"/>
    </row>
    <row r="203" spans="7:9" ht="15" customHeight="1">
      <c r="G203" s="428"/>
      <c r="H203" s="428"/>
      <c r="I203" s="428"/>
    </row>
    <row r="204" spans="7:9" ht="15" customHeight="1">
      <c r="G204" s="428"/>
      <c r="H204" s="428"/>
      <c r="I204" s="428"/>
    </row>
    <row r="205" spans="7:9" ht="15" customHeight="1">
      <c r="G205" s="428"/>
      <c r="H205" s="428"/>
      <c r="I205" s="428"/>
    </row>
    <row r="206" spans="7:9" ht="15" customHeight="1">
      <c r="G206" s="428"/>
      <c r="H206" s="428"/>
      <c r="I206" s="428"/>
    </row>
    <row r="207" spans="7:9" ht="15" customHeight="1">
      <c r="G207" s="428"/>
      <c r="H207" s="428"/>
      <c r="I207" s="428"/>
    </row>
    <row r="208" spans="7:9" ht="15" customHeight="1">
      <c r="G208" s="428"/>
      <c r="H208" s="428"/>
      <c r="I208" s="428"/>
    </row>
    <row r="209" spans="7:9" ht="15" customHeight="1">
      <c r="G209" s="428"/>
      <c r="H209" s="428"/>
      <c r="I209" s="428"/>
    </row>
    <row r="210" spans="7:9" ht="15" customHeight="1">
      <c r="G210" s="428"/>
      <c r="H210" s="428"/>
      <c r="I210" s="428"/>
    </row>
    <row r="211" spans="7:9" ht="15" customHeight="1">
      <c r="G211" s="428"/>
      <c r="H211" s="428"/>
      <c r="I211" s="428"/>
    </row>
    <row r="212" spans="7:9" ht="15" customHeight="1">
      <c r="G212" s="428"/>
      <c r="H212" s="428"/>
      <c r="I212" s="428"/>
    </row>
    <row r="213" spans="7:9" ht="15" customHeight="1">
      <c r="G213" s="428"/>
      <c r="H213" s="428"/>
      <c r="I213" s="428"/>
    </row>
    <row r="214" spans="7:9" ht="15" customHeight="1">
      <c r="G214" s="428"/>
      <c r="H214" s="428"/>
      <c r="I214" s="428"/>
    </row>
    <row r="215" spans="7:9" ht="15" customHeight="1">
      <c r="G215" s="428"/>
      <c r="H215" s="428"/>
      <c r="I215" s="428"/>
    </row>
    <row r="216" spans="7:9" ht="15" customHeight="1">
      <c r="G216" s="428"/>
      <c r="H216" s="428"/>
      <c r="I216" s="428"/>
    </row>
    <row r="217" spans="7:9" ht="15" customHeight="1">
      <c r="G217" s="428"/>
      <c r="H217" s="428"/>
      <c r="I217" s="428"/>
    </row>
    <row r="218" spans="7:9" ht="15" customHeight="1">
      <c r="G218" s="428"/>
      <c r="H218" s="428"/>
      <c r="I218" s="428"/>
    </row>
    <row r="219" spans="7:9" ht="15" customHeight="1">
      <c r="G219" s="428"/>
      <c r="H219" s="428"/>
      <c r="I219" s="428"/>
    </row>
    <row r="220" spans="7:9" ht="15" customHeight="1">
      <c r="G220" s="428"/>
      <c r="H220" s="428"/>
      <c r="I220" s="428"/>
    </row>
    <row r="221" spans="7:9" ht="15" customHeight="1">
      <c r="G221" s="428"/>
      <c r="H221" s="428"/>
      <c r="I221" s="428"/>
    </row>
    <row r="222" spans="7:9" ht="15" customHeight="1">
      <c r="G222" s="428"/>
      <c r="H222" s="428"/>
      <c r="I222" s="428"/>
    </row>
    <row r="223" spans="7:9" ht="15" customHeight="1">
      <c r="G223" s="428"/>
      <c r="H223" s="428"/>
      <c r="I223" s="428"/>
    </row>
    <row r="224" spans="7:9" ht="15" customHeight="1">
      <c r="G224" s="428"/>
      <c r="H224" s="428"/>
      <c r="I224" s="428"/>
    </row>
    <row r="225" spans="7:9" ht="15" customHeight="1">
      <c r="G225" s="428"/>
      <c r="H225" s="428"/>
      <c r="I225" s="428"/>
    </row>
    <row r="226" spans="7:9" ht="15" customHeight="1">
      <c r="G226" s="428"/>
      <c r="H226" s="428"/>
      <c r="I226" s="428"/>
    </row>
    <row r="227" spans="7:9" ht="15" customHeight="1">
      <c r="G227" s="428"/>
      <c r="H227" s="428"/>
      <c r="I227" s="428"/>
    </row>
    <row r="228" spans="7:9" ht="15" customHeight="1">
      <c r="G228" s="428"/>
      <c r="H228" s="428"/>
      <c r="I228" s="428"/>
    </row>
    <row r="229" spans="7:9" ht="15" customHeight="1">
      <c r="G229" s="428"/>
      <c r="H229" s="428"/>
      <c r="I229" s="428"/>
    </row>
    <row r="230" spans="7:9" ht="15" customHeight="1">
      <c r="G230" s="428"/>
      <c r="H230" s="428"/>
      <c r="I230" s="428"/>
    </row>
    <row r="231" spans="7:9" ht="15" customHeight="1">
      <c r="G231" s="428"/>
      <c r="H231" s="428"/>
      <c r="I231" s="428"/>
    </row>
    <row r="232" spans="7:9" ht="15" customHeight="1">
      <c r="G232" s="428"/>
      <c r="H232" s="428"/>
      <c r="I232" s="428"/>
    </row>
    <row r="233" spans="7:9" ht="15" customHeight="1">
      <c r="G233" s="428"/>
      <c r="H233" s="428"/>
      <c r="I233" s="428"/>
    </row>
    <row r="234" spans="7:9" ht="15" customHeight="1">
      <c r="G234" s="428"/>
      <c r="H234" s="428"/>
      <c r="I234" s="428"/>
    </row>
    <row r="235" spans="7:9" ht="15" customHeight="1">
      <c r="G235" s="428"/>
      <c r="H235" s="428"/>
      <c r="I235" s="428"/>
    </row>
    <row r="236" spans="7:9" ht="15" customHeight="1">
      <c r="G236" s="428"/>
      <c r="H236" s="428"/>
      <c r="I236" s="428"/>
    </row>
    <row r="237" spans="7:9" ht="15" customHeight="1">
      <c r="G237" s="428"/>
      <c r="H237" s="428"/>
      <c r="I237" s="428"/>
    </row>
    <row r="238" spans="7:9" ht="15" customHeight="1">
      <c r="G238" s="428"/>
      <c r="H238" s="428"/>
      <c r="I238" s="428"/>
    </row>
    <row r="239" spans="7:9" ht="15" customHeight="1">
      <c r="G239" s="428"/>
      <c r="H239" s="428"/>
      <c r="I239" s="428"/>
    </row>
    <row r="240" spans="7:9" ht="15" customHeight="1">
      <c r="G240" s="428"/>
      <c r="H240" s="428"/>
      <c r="I240" s="428"/>
    </row>
    <row r="241" spans="7:9" ht="15" customHeight="1">
      <c r="G241" s="428"/>
      <c r="H241" s="428"/>
      <c r="I241" s="428"/>
    </row>
    <row r="242" spans="7:9" ht="15" customHeight="1">
      <c r="G242" s="428"/>
      <c r="H242" s="428"/>
      <c r="I242" s="428"/>
    </row>
    <row r="243" spans="7:9" ht="15" customHeight="1">
      <c r="G243" s="428"/>
      <c r="H243" s="428"/>
      <c r="I243" s="428"/>
    </row>
    <row r="244" spans="7:9" ht="15" customHeight="1">
      <c r="G244" s="428"/>
      <c r="H244" s="428"/>
      <c r="I244" s="428"/>
    </row>
    <row r="245" spans="7:9" ht="15" customHeight="1">
      <c r="G245" s="428"/>
      <c r="H245" s="428"/>
      <c r="I245" s="428"/>
    </row>
    <row r="246" spans="7:9" ht="15" customHeight="1">
      <c r="G246" s="428"/>
      <c r="H246" s="428"/>
      <c r="I246" s="428"/>
    </row>
    <row r="247" spans="7:9" ht="15" customHeight="1">
      <c r="G247" s="428"/>
      <c r="H247" s="428"/>
      <c r="I247" s="428"/>
    </row>
    <row r="248" spans="7:9" ht="15" customHeight="1">
      <c r="G248" s="428"/>
      <c r="H248" s="428"/>
      <c r="I248" s="428"/>
    </row>
    <row r="249" spans="7:9" ht="15" customHeight="1">
      <c r="G249" s="428"/>
      <c r="H249" s="428"/>
      <c r="I249" s="428"/>
    </row>
    <row r="250" spans="7:9" ht="15" customHeight="1">
      <c r="G250" s="428"/>
      <c r="H250" s="428"/>
      <c r="I250" s="428"/>
    </row>
    <row r="251" spans="7:9" ht="15" customHeight="1">
      <c r="G251" s="428"/>
      <c r="H251" s="428"/>
      <c r="I251" s="428"/>
    </row>
    <row r="252" spans="7:9" ht="15" customHeight="1">
      <c r="G252" s="428"/>
      <c r="H252" s="428"/>
      <c r="I252" s="428"/>
    </row>
    <row r="253" spans="7:9" ht="15" customHeight="1">
      <c r="G253" s="428"/>
      <c r="H253" s="428"/>
      <c r="I253" s="428"/>
    </row>
    <row r="254" spans="7:9" ht="15" customHeight="1">
      <c r="G254" s="428"/>
      <c r="H254" s="428"/>
      <c r="I254" s="428"/>
    </row>
    <row r="255" spans="7:9" ht="15" customHeight="1">
      <c r="G255" s="428"/>
      <c r="H255" s="428"/>
      <c r="I255" s="428"/>
    </row>
    <row r="256" spans="7:9" ht="15" customHeight="1">
      <c r="G256" s="428"/>
      <c r="H256" s="428"/>
      <c r="I256" s="428"/>
    </row>
    <row r="257" spans="7:9" ht="15" customHeight="1">
      <c r="G257" s="428"/>
      <c r="H257" s="428"/>
      <c r="I257" s="428"/>
    </row>
    <row r="258" spans="7:9" ht="15" customHeight="1">
      <c r="G258" s="428"/>
      <c r="H258" s="428"/>
      <c r="I258" s="428"/>
    </row>
    <row r="259" spans="7:9" ht="15" customHeight="1">
      <c r="G259" s="428"/>
      <c r="H259" s="428"/>
      <c r="I259" s="428"/>
    </row>
    <row r="260" spans="7:9" ht="15" customHeight="1">
      <c r="G260" s="428"/>
      <c r="H260" s="428"/>
      <c r="I260" s="428"/>
    </row>
    <row r="261" spans="7:9" ht="15" customHeight="1">
      <c r="G261" s="428"/>
      <c r="H261" s="428"/>
      <c r="I261" s="428"/>
    </row>
    <row r="262" spans="7:9" ht="15" customHeight="1">
      <c r="G262" s="428"/>
      <c r="H262" s="428"/>
      <c r="I262" s="428"/>
    </row>
    <row r="263" spans="7:9" ht="15" customHeight="1">
      <c r="G263" s="428"/>
      <c r="H263" s="428"/>
      <c r="I263" s="428"/>
    </row>
    <row r="264" spans="7:9" ht="15" customHeight="1">
      <c r="G264" s="428"/>
      <c r="H264" s="428"/>
      <c r="I264" s="428"/>
    </row>
    <row r="265" spans="7:9" ht="15" customHeight="1">
      <c r="G265" s="428"/>
      <c r="H265" s="428"/>
      <c r="I265" s="428"/>
    </row>
    <row r="266" spans="7:9" ht="15" customHeight="1">
      <c r="G266" s="428"/>
      <c r="H266" s="428"/>
      <c r="I266" s="428"/>
    </row>
    <row r="267" spans="7:9" ht="15" customHeight="1">
      <c r="G267" s="428"/>
      <c r="H267" s="428"/>
      <c r="I267" s="428"/>
    </row>
    <row r="268" spans="7:9" ht="15" customHeight="1">
      <c r="G268" s="428"/>
      <c r="H268" s="428"/>
      <c r="I268" s="428"/>
    </row>
    <row r="269" spans="7:9" ht="15" customHeight="1">
      <c r="G269" s="428"/>
      <c r="H269" s="428"/>
      <c r="I269" s="428"/>
    </row>
    <row r="270" spans="7:9" ht="15" customHeight="1">
      <c r="G270" s="428"/>
      <c r="H270" s="428"/>
      <c r="I270" s="428"/>
    </row>
    <row r="271" spans="7:9" ht="15" customHeight="1">
      <c r="G271" s="428"/>
      <c r="H271" s="428"/>
      <c r="I271" s="428"/>
    </row>
    <row r="272" spans="7:9" ht="15" customHeight="1">
      <c r="G272" s="428"/>
      <c r="H272" s="428"/>
      <c r="I272" s="428"/>
    </row>
    <row r="273" spans="7:9" ht="15" customHeight="1">
      <c r="G273" s="428"/>
      <c r="H273" s="428"/>
      <c r="I273" s="428"/>
    </row>
    <row r="274" spans="7:9" ht="15" customHeight="1">
      <c r="G274" s="428"/>
      <c r="H274" s="428"/>
      <c r="I274" s="428"/>
    </row>
    <row r="275" spans="7:9" ht="15" customHeight="1">
      <c r="G275" s="428"/>
      <c r="H275" s="428"/>
      <c r="I275" s="428"/>
    </row>
    <row r="276" spans="7:9" ht="15" customHeight="1">
      <c r="G276" s="428"/>
      <c r="H276" s="428"/>
      <c r="I276" s="428"/>
    </row>
    <row r="277" spans="7:9" ht="15" customHeight="1">
      <c r="G277" s="428"/>
      <c r="H277" s="428"/>
      <c r="I277" s="428"/>
    </row>
    <row r="278" spans="7:9" ht="15" customHeight="1">
      <c r="G278" s="428"/>
      <c r="H278" s="428"/>
      <c r="I278" s="428"/>
    </row>
    <row r="279" spans="7:9" ht="15" customHeight="1">
      <c r="G279" s="428"/>
      <c r="H279" s="428"/>
      <c r="I279" s="428"/>
    </row>
    <row r="280" spans="7:9" ht="15" customHeight="1">
      <c r="G280" s="428"/>
      <c r="H280" s="428"/>
      <c r="I280" s="428"/>
    </row>
    <row r="281" spans="7:9" ht="15" customHeight="1">
      <c r="G281" s="428"/>
      <c r="H281" s="428"/>
      <c r="I281" s="428"/>
    </row>
    <row r="282" spans="7:9" ht="15" customHeight="1">
      <c r="G282" s="428"/>
      <c r="H282" s="428"/>
      <c r="I282" s="428"/>
    </row>
    <row r="283" spans="7:9" ht="15" customHeight="1">
      <c r="G283" s="428"/>
      <c r="H283" s="428"/>
      <c r="I283" s="428"/>
    </row>
    <row r="284" spans="7:9" ht="15" customHeight="1">
      <c r="G284" s="428"/>
      <c r="H284" s="428"/>
      <c r="I284" s="428"/>
    </row>
    <row r="285" spans="7:9" ht="15" customHeight="1">
      <c r="G285" s="428"/>
      <c r="H285" s="428"/>
      <c r="I285" s="428"/>
    </row>
    <row r="286" spans="7:9" ht="15" customHeight="1">
      <c r="G286" s="428"/>
      <c r="H286" s="428"/>
      <c r="I286" s="428"/>
    </row>
    <row r="287" spans="7:9" ht="15" customHeight="1">
      <c r="G287" s="428"/>
      <c r="H287" s="428"/>
      <c r="I287" s="428"/>
    </row>
    <row r="288" spans="7:9" ht="15" customHeight="1">
      <c r="G288" s="428"/>
      <c r="H288" s="428"/>
      <c r="I288" s="428"/>
    </row>
    <row r="289" spans="7:9" ht="15" customHeight="1">
      <c r="G289" s="428"/>
      <c r="H289" s="428"/>
      <c r="I289" s="428"/>
    </row>
    <row r="290" spans="7:9" ht="15" customHeight="1">
      <c r="G290" s="428"/>
      <c r="H290" s="428"/>
      <c r="I290" s="428"/>
    </row>
    <row r="291" spans="7:9" ht="15" customHeight="1">
      <c r="G291" s="428"/>
      <c r="H291" s="428"/>
      <c r="I291" s="428"/>
    </row>
    <row r="292" spans="7:9" ht="15" customHeight="1">
      <c r="G292" s="428"/>
      <c r="H292" s="428"/>
      <c r="I292" s="428"/>
    </row>
    <row r="293" spans="7:9" ht="15" customHeight="1">
      <c r="G293" s="428"/>
      <c r="H293" s="428"/>
      <c r="I293" s="428"/>
    </row>
    <row r="294" spans="7:9" ht="15" customHeight="1">
      <c r="G294" s="428"/>
      <c r="H294" s="428"/>
      <c r="I294" s="428"/>
    </row>
    <row r="295" spans="7:9" ht="15" customHeight="1">
      <c r="G295" s="428"/>
      <c r="H295" s="428"/>
      <c r="I295" s="428"/>
    </row>
    <row r="296" spans="7:9" ht="15" customHeight="1">
      <c r="G296" s="428"/>
      <c r="H296" s="428"/>
      <c r="I296" s="428"/>
    </row>
    <row r="297" spans="7:9" ht="15" customHeight="1">
      <c r="G297" s="428"/>
      <c r="H297" s="428"/>
      <c r="I297" s="428"/>
    </row>
    <row r="298" spans="7:9" ht="15" customHeight="1">
      <c r="G298" s="428"/>
      <c r="H298" s="428"/>
      <c r="I298" s="428"/>
    </row>
    <row r="299" spans="7:9" ht="15" customHeight="1">
      <c r="G299" s="428"/>
      <c r="H299" s="428"/>
      <c r="I299" s="428"/>
    </row>
    <row r="300" spans="7:9" ht="15" customHeight="1">
      <c r="G300" s="428"/>
      <c r="H300" s="428"/>
      <c r="I300" s="428"/>
    </row>
    <row r="301" spans="7:9" ht="15" customHeight="1">
      <c r="G301" s="428"/>
      <c r="H301" s="428"/>
      <c r="I301" s="428"/>
    </row>
    <row r="302" spans="7:9" ht="15" customHeight="1">
      <c r="G302" s="428"/>
      <c r="H302" s="428"/>
      <c r="I302" s="428"/>
    </row>
    <row r="303" spans="7:9" ht="15" customHeight="1">
      <c r="G303" s="428"/>
      <c r="H303" s="428"/>
      <c r="I303" s="428"/>
    </row>
    <row r="304" spans="7:9" ht="15" customHeight="1">
      <c r="G304" s="428"/>
      <c r="H304" s="428"/>
      <c r="I304" s="428"/>
    </row>
    <row r="305" spans="7:9" ht="15" customHeight="1">
      <c r="G305" s="428"/>
      <c r="H305" s="428"/>
      <c r="I305" s="428"/>
    </row>
    <row r="306" spans="7:9" ht="15" customHeight="1">
      <c r="G306" s="428"/>
      <c r="H306" s="428"/>
      <c r="I306" s="428"/>
    </row>
    <row r="307" spans="7:9" ht="15" customHeight="1">
      <c r="G307" s="428"/>
      <c r="H307" s="428"/>
      <c r="I307" s="428"/>
    </row>
    <row r="308" spans="7:9" ht="15" customHeight="1">
      <c r="G308" s="428"/>
      <c r="H308" s="428"/>
      <c r="I308" s="428"/>
    </row>
    <row r="309" spans="7:9" ht="15" customHeight="1">
      <c r="G309" s="428"/>
      <c r="H309" s="428"/>
      <c r="I309" s="428"/>
    </row>
    <row r="310" spans="7:9" ht="15" customHeight="1">
      <c r="G310" s="428"/>
      <c r="H310" s="428"/>
      <c r="I310" s="428"/>
    </row>
    <row r="311" spans="7:9" ht="15" customHeight="1">
      <c r="G311" s="428"/>
      <c r="H311" s="428"/>
      <c r="I311" s="428"/>
    </row>
    <row r="312" spans="7:9" ht="15" customHeight="1">
      <c r="G312" s="428"/>
      <c r="H312" s="428"/>
      <c r="I312" s="428"/>
    </row>
    <row r="313" spans="7:9" ht="15" customHeight="1">
      <c r="G313" s="428"/>
      <c r="H313" s="428"/>
      <c r="I313" s="428"/>
    </row>
    <row r="314" spans="7:9" ht="15" customHeight="1">
      <c r="G314" s="428"/>
      <c r="H314" s="428"/>
      <c r="I314" s="428"/>
    </row>
  </sheetData>
  <mergeCells count="6">
    <mergeCell ref="D82:F82"/>
    <mergeCell ref="C7:I8"/>
    <mergeCell ref="C10:I10"/>
    <mergeCell ref="D65:I65"/>
    <mergeCell ref="D78:F78"/>
    <mergeCell ref="D80:H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4"/>
  <sheetViews>
    <sheetView workbookViewId="0">
      <selection activeCell="E4" sqref="E4"/>
    </sheetView>
  </sheetViews>
  <sheetFormatPr baseColWidth="10" defaultColWidth="12.6640625" defaultRowHeight="15" customHeight="1"/>
  <cols>
    <col min="1" max="1" width="9.33203125" customWidth="1"/>
    <col min="2" max="2" width="19.83203125" customWidth="1"/>
    <col min="3" max="3" width="24.6640625" customWidth="1"/>
    <col min="4" max="4" width="23.83203125" customWidth="1"/>
    <col min="5" max="5" width="22.5" customWidth="1"/>
    <col min="6" max="6" width="10.1640625" customWidth="1"/>
    <col min="7" max="7" width="12.6640625" customWidth="1"/>
    <col min="8" max="25" width="9.33203125" customWidth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/>
      <c r="B2" s="3"/>
      <c r="C2" s="3"/>
      <c r="D2" s="4"/>
    </row>
    <row r="3" spans="1:7" ht="19">
      <c r="A3" s="2"/>
      <c r="B3" s="2"/>
      <c r="C3" s="477" t="s">
        <v>1</v>
      </c>
      <c r="D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 ht="25" customHeight="1">
      <c r="A9" s="2"/>
      <c r="B9" s="341" t="s">
        <v>3</v>
      </c>
      <c r="C9" s="334"/>
      <c r="D9" s="334"/>
      <c r="E9" s="504"/>
      <c r="F9" s="2"/>
      <c r="G9" s="2"/>
    </row>
    <row r="10" spans="1:7" ht="20">
      <c r="A10" s="2"/>
      <c r="B10" s="10" t="s">
        <v>5</v>
      </c>
      <c r="C10" s="10" t="s">
        <v>7</v>
      </c>
      <c r="D10" s="10" t="s">
        <v>8</v>
      </c>
      <c r="E10" s="2"/>
      <c r="F10" s="2"/>
      <c r="G10" s="2"/>
    </row>
    <row r="11" spans="1:7" ht="20" customHeight="1">
      <c r="A11" s="2"/>
      <c r="B11" s="511" t="s">
        <v>9</v>
      </c>
      <c r="C11" s="512">
        <f>D11*12</f>
        <v>3000</v>
      </c>
      <c r="D11" s="513">
        <v>250</v>
      </c>
      <c r="E11" s="2"/>
      <c r="F11" s="2"/>
      <c r="G11" s="2"/>
    </row>
    <row r="12" spans="1:7" ht="17">
      <c r="A12" s="2"/>
      <c r="B12" s="514" t="s">
        <v>15</v>
      </c>
      <c r="C12" s="515">
        <v>780</v>
      </c>
      <c r="D12" s="515">
        <v>65</v>
      </c>
      <c r="E12" s="2"/>
      <c r="F12" s="2"/>
      <c r="G12" s="2"/>
    </row>
    <row r="13" spans="1:7" ht="17">
      <c r="A13" s="2"/>
      <c r="B13" s="514" t="s">
        <v>16</v>
      </c>
      <c r="C13" s="515">
        <v>1500</v>
      </c>
      <c r="D13" s="515">
        <v>125</v>
      </c>
      <c r="E13" s="2"/>
      <c r="F13" s="2"/>
      <c r="G13" s="2"/>
    </row>
    <row r="14" spans="1:7" ht="17">
      <c r="B14" s="514" t="s">
        <v>17</v>
      </c>
      <c r="C14" s="515">
        <v>2000</v>
      </c>
      <c r="D14" s="515">
        <v>166.66</v>
      </c>
    </row>
    <row r="15" spans="1:7" ht="15.75" customHeight="1">
      <c r="B15" s="518"/>
      <c r="C15" s="516" t="s">
        <v>18</v>
      </c>
      <c r="D15" s="517">
        <f>SUM(D11:D14)</f>
        <v>606.66</v>
      </c>
    </row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B9:D9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P998"/>
  <sheetViews>
    <sheetView workbookViewId="0">
      <selection activeCell="E4" sqref="E4"/>
    </sheetView>
  </sheetViews>
  <sheetFormatPr baseColWidth="10" defaultColWidth="12.6640625" defaultRowHeight="15" customHeight="1"/>
  <cols>
    <col min="1" max="2" width="9.33203125" customWidth="1"/>
    <col min="3" max="3" width="21.5" customWidth="1"/>
    <col min="4" max="4" width="14" customWidth="1"/>
    <col min="5" max="5" width="22.1640625" customWidth="1"/>
    <col min="6" max="26" width="9.33203125" customWidth="1"/>
  </cols>
  <sheetData>
    <row r="3" spans="3:10" ht="21">
      <c r="C3" s="510" t="s">
        <v>0</v>
      </c>
      <c r="D3" s="2"/>
      <c r="E3" s="2"/>
    </row>
    <row r="4" spans="3:10">
      <c r="C4" s="6"/>
      <c r="D4" s="6"/>
      <c r="E4" s="2"/>
    </row>
    <row r="5" spans="3:10">
      <c r="C5" s="6"/>
      <c r="D5" s="6"/>
      <c r="E5" s="2"/>
    </row>
    <row r="6" spans="3:10">
      <c r="C6" s="6"/>
      <c r="D6" s="6"/>
      <c r="E6" s="2"/>
    </row>
    <row r="7" spans="3:10">
      <c r="C7" s="342" t="s">
        <v>4</v>
      </c>
      <c r="D7" s="337"/>
      <c r="E7" s="337"/>
      <c r="F7" s="337"/>
    </row>
    <row r="8" spans="3:10">
      <c r="C8" s="505" t="s">
        <v>6</v>
      </c>
      <c r="D8" s="506">
        <v>0.15</v>
      </c>
      <c r="E8" s="505" t="s">
        <v>6</v>
      </c>
      <c r="F8" s="506">
        <v>0.15</v>
      </c>
    </row>
    <row r="9" spans="3:10">
      <c r="C9" s="505" t="s">
        <v>11</v>
      </c>
      <c r="D9" s="506">
        <v>0.04</v>
      </c>
      <c r="E9" s="505" t="s">
        <v>11</v>
      </c>
      <c r="F9" s="506">
        <v>0.04</v>
      </c>
    </row>
    <row r="10" spans="3:10">
      <c r="C10" s="505" t="s">
        <v>12</v>
      </c>
      <c r="D10" s="506">
        <v>0.05</v>
      </c>
      <c r="E10" s="505" t="s">
        <v>12</v>
      </c>
      <c r="F10" s="506">
        <v>0.05</v>
      </c>
    </row>
    <row r="11" spans="3:10">
      <c r="C11" s="505" t="s">
        <v>13</v>
      </c>
      <c r="D11" s="506">
        <v>0.04</v>
      </c>
      <c r="E11" s="505" t="s">
        <v>13</v>
      </c>
      <c r="F11" s="507">
        <v>0.04</v>
      </c>
      <c r="G11" s="504"/>
      <c r="H11" s="13"/>
      <c r="I11" s="2"/>
      <c r="J11" s="13"/>
    </row>
    <row r="12" spans="3:10">
      <c r="C12" s="2"/>
      <c r="D12" s="2"/>
      <c r="E12" s="2"/>
      <c r="G12" s="2"/>
      <c r="H12" s="13"/>
      <c r="I12" s="2"/>
      <c r="J12" s="13"/>
    </row>
    <row r="13" spans="3:10">
      <c r="C13" s="2"/>
      <c r="D13" s="2"/>
      <c r="E13" s="2"/>
      <c r="G13" s="2"/>
      <c r="H13" s="13"/>
      <c r="I13" s="2"/>
      <c r="J13" s="13"/>
    </row>
    <row r="14" spans="3:10">
      <c r="C14" s="2"/>
      <c r="D14" s="2"/>
      <c r="E14" s="2"/>
      <c r="G14" s="2"/>
      <c r="H14" s="13"/>
      <c r="I14" s="2"/>
      <c r="J14" s="13"/>
    </row>
    <row r="15" spans="3:10">
      <c r="C15" s="343" t="s">
        <v>14</v>
      </c>
      <c r="D15" s="334"/>
      <c r="E15" s="332"/>
      <c r="G15" s="2"/>
      <c r="H15" s="13"/>
      <c r="I15" s="2"/>
      <c r="J15" s="13"/>
    </row>
    <row r="16" spans="3:10">
      <c r="C16" s="17" t="s">
        <v>29</v>
      </c>
      <c r="D16" s="17" t="s">
        <v>30</v>
      </c>
      <c r="E16" s="17" t="s">
        <v>31</v>
      </c>
      <c r="F16" s="2"/>
      <c r="G16" s="2"/>
      <c r="H16" s="13"/>
      <c r="I16" s="2"/>
      <c r="J16" s="13"/>
    </row>
    <row r="17" spans="3:16">
      <c r="C17" s="508">
        <v>2020</v>
      </c>
      <c r="D17" s="509">
        <v>0.4</v>
      </c>
      <c r="E17" s="509">
        <v>0.1</v>
      </c>
      <c r="F17" s="2"/>
    </row>
    <row r="18" spans="3:16">
      <c r="C18" s="508">
        <v>2021</v>
      </c>
      <c r="D18" s="509">
        <v>0.4</v>
      </c>
      <c r="E18" s="509">
        <v>0.1</v>
      </c>
      <c r="F18" s="2"/>
      <c r="N18" s="344"/>
      <c r="O18" s="337"/>
      <c r="P18" s="337"/>
    </row>
    <row r="19" spans="3:16">
      <c r="C19" s="508">
        <v>2022</v>
      </c>
      <c r="D19" s="509">
        <v>0.4</v>
      </c>
      <c r="E19" s="509">
        <v>0.1</v>
      </c>
      <c r="F19" s="2"/>
      <c r="H19" s="344"/>
      <c r="I19" s="337"/>
      <c r="J19" s="337"/>
      <c r="N19" s="18"/>
      <c r="O19" s="18"/>
      <c r="P19" s="18"/>
    </row>
    <row r="20" spans="3:16">
      <c r="C20" s="508">
        <v>2023</v>
      </c>
      <c r="D20" s="509">
        <v>0.4</v>
      </c>
      <c r="E20" s="509">
        <v>0.1</v>
      </c>
      <c r="F20" s="2"/>
      <c r="H20" s="18"/>
      <c r="I20" s="18"/>
      <c r="J20" s="18"/>
      <c r="N20" s="2"/>
      <c r="O20" s="13"/>
      <c r="P20" s="13"/>
    </row>
    <row r="21" spans="3:16">
      <c r="C21" s="508">
        <v>2024</v>
      </c>
      <c r="D21" s="509">
        <v>0.4</v>
      </c>
      <c r="E21" s="509">
        <v>0.1</v>
      </c>
      <c r="F21" s="2"/>
      <c r="H21" s="2"/>
      <c r="I21" s="13"/>
      <c r="J21" s="13"/>
      <c r="N21" s="2"/>
      <c r="O21" s="13"/>
      <c r="P21" s="13"/>
    </row>
    <row r="22" spans="3:16">
      <c r="C22" s="2"/>
      <c r="D22" s="2"/>
      <c r="E22" s="2"/>
      <c r="F22" s="2"/>
      <c r="H22" s="2"/>
      <c r="I22" s="13"/>
      <c r="J22" s="13"/>
      <c r="N22" s="2"/>
      <c r="O22" s="13"/>
      <c r="P22" s="13"/>
    </row>
    <row r="23" spans="3:16">
      <c r="H23" s="2"/>
      <c r="I23" s="13"/>
      <c r="J23" s="13"/>
      <c r="N23" s="2"/>
      <c r="O23" s="13"/>
      <c r="P23" s="13"/>
    </row>
    <row r="24" spans="3:16">
      <c r="H24" s="2"/>
      <c r="I24" s="13"/>
      <c r="J24" s="13"/>
      <c r="N24" s="2"/>
      <c r="O24" s="13"/>
      <c r="P24" s="13"/>
    </row>
    <row r="25" spans="3:16" ht="15.75" customHeight="1">
      <c r="H25" s="2"/>
      <c r="I25" s="13"/>
      <c r="J25" s="13"/>
    </row>
    <row r="26" spans="3:16" ht="15.75" customHeight="1"/>
    <row r="27" spans="3:16" ht="15.75" customHeight="1"/>
    <row r="28" spans="3:16" ht="15.75" customHeight="1"/>
    <row r="29" spans="3:16" ht="15.75" customHeight="1"/>
    <row r="30" spans="3:16" ht="15.75" customHeight="1"/>
    <row r="31" spans="3:16" ht="15.75" customHeight="1"/>
    <row r="32" spans="3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C7:F7"/>
    <mergeCell ref="C15:E15"/>
    <mergeCell ref="N18:P18"/>
    <mergeCell ref="H19:J1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>
      <selection activeCell="D13" sqref="D13"/>
    </sheetView>
  </sheetViews>
  <sheetFormatPr baseColWidth="10" defaultColWidth="12.6640625" defaultRowHeight="15" customHeight="1"/>
  <cols>
    <col min="1" max="3" width="9.33203125" customWidth="1"/>
    <col min="4" max="4" width="12" customWidth="1"/>
    <col min="5" max="5" width="11.6640625" customWidth="1"/>
    <col min="6" max="6" width="9.33203125" customWidth="1"/>
    <col min="7" max="7" width="13.1640625" customWidth="1"/>
    <col min="8" max="8" width="9.33203125" customWidth="1"/>
    <col min="9" max="9" width="12.1640625" customWidth="1"/>
    <col min="10" max="10" width="12" customWidth="1"/>
    <col min="11" max="11" width="9.33203125" customWidth="1"/>
    <col min="12" max="12" width="14.6640625" customWidth="1"/>
    <col min="13" max="13" width="9.33203125" customWidth="1"/>
    <col min="14" max="14" width="12.33203125" customWidth="1"/>
    <col min="15" max="15" width="11.83203125" customWidth="1"/>
    <col min="16" max="16" width="9.33203125" customWidth="1"/>
    <col min="17" max="17" width="14.5" customWidth="1"/>
    <col min="18" max="18" width="9.33203125" customWidth="1"/>
    <col min="19" max="19" width="12.5" customWidth="1"/>
    <col min="20" max="20" width="12" customWidth="1"/>
    <col min="21" max="21" width="9.33203125" customWidth="1"/>
    <col min="22" max="22" width="13.33203125" customWidth="1"/>
    <col min="23" max="23" width="9.33203125" customWidth="1"/>
    <col min="24" max="25" width="11.83203125" customWidth="1"/>
    <col min="26" max="26" width="9.33203125" customWidth="1"/>
    <col min="27" max="27" width="20.6640625" customWidth="1"/>
    <col min="28" max="28" width="9.33203125" customWidth="1"/>
    <col min="29" max="29" width="12.33203125" customWidth="1"/>
    <col min="30" max="30" width="11.6640625" customWidth="1"/>
    <col min="31" max="34" width="9.33203125" customWidth="1"/>
  </cols>
  <sheetData>
    <row r="1" spans="1:3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21">
      <c r="A4" s="2"/>
      <c r="B4" s="2"/>
      <c r="C4" s="2"/>
      <c r="D4" s="503" t="s">
        <v>38</v>
      </c>
      <c r="E4" s="19"/>
      <c r="F4" s="19"/>
      <c r="G4" s="19"/>
      <c r="H4" s="19"/>
      <c r="I4" s="1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>
      <c r="A7" s="2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2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21">
      <c r="A9" s="27"/>
      <c r="B9" s="30" t="s">
        <v>47</v>
      </c>
      <c r="C9" s="3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>
      <c r="A10" s="2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>
      <c r="A11" s="27"/>
      <c r="B11" s="348" t="s">
        <v>64</v>
      </c>
      <c r="C11" s="334"/>
      <c r="D11" s="334"/>
      <c r="E11" s="332"/>
      <c r="F11" s="2"/>
      <c r="G11" s="348" t="s">
        <v>66</v>
      </c>
      <c r="H11" s="334"/>
      <c r="I11" s="334"/>
      <c r="J11" s="332"/>
      <c r="K11" s="2"/>
      <c r="L11" s="348" t="s">
        <v>67</v>
      </c>
      <c r="M11" s="334"/>
      <c r="N11" s="334"/>
      <c r="O11" s="332"/>
      <c r="P11" s="2"/>
      <c r="Q11" s="348" t="s">
        <v>68</v>
      </c>
      <c r="R11" s="334"/>
      <c r="S11" s="334"/>
      <c r="T11" s="332"/>
      <c r="U11" s="2"/>
      <c r="V11" s="348" t="s">
        <v>69</v>
      </c>
      <c r="W11" s="334"/>
      <c r="X11" s="334"/>
      <c r="Y11" s="332"/>
      <c r="Z11" s="2"/>
      <c r="AA11" s="348" t="s">
        <v>71</v>
      </c>
      <c r="AB11" s="334"/>
      <c r="AC11" s="334"/>
      <c r="AD11" s="332"/>
      <c r="AE11" s="2"/>
      <c r="AF11" s="2"/>
      <c r="AG11" s="2"/>
      <c r="AH11" s="2"/>
    </row>
    <row r="12" spans="1:34">
      <c r="A12" s="27"/>
      <c r="B12" s="33" t="s">
        <v>72</v>
      </c>
      <c r="C12" s="33" t="s">
        <v>73</v>
      </c>
      <c r="D12" s="43" t="s">
        <v>74</v>
      </c>
      <c r="E12" s="33" t="s">
        <v>58</v>
      </c>
      <c r="F12" s="2"/>
      <c r="G12" s="33" t="s">
        <v>72</v>
      </c>
      <c r="H12" s="33" t="s">
        <v>73</v>
      </c>
      <c r="I12" s="33" t="s">
        <v>74</v>
      </c>
      <c r="J12" s="33" t="s">
        <v>58</v>
      </c>
      <c r="K12" s="2"/>
      <c r="L12" s="33" t="s">
        <v>72</v>
      </c>
      <c r="M12" s="33" t="s">
        <v>73</v>
      </c>
      <c r="N12" s="33" t="s">
        <v>74</v>
      </c>
      <c r="O12" s="33" t="s">
        <v>58</v>
      </c>
      <c r="P12" s="2"/>
      <c r="Q12" s="33" t="s">
        <v>72</v>
      </c>
      <c r="R12" s="33" t="s">
        <v>73</v>
      </c>
      <c r="S12" s="33" t="s">
        <v>74</v>
      </c>
      <c r="T12" s="33" t="s">
        <v>58</v>
      </c>
      <c r="U12" s="2"/>
      <c r="V12" s="33" t="s">
        <v>72</v>
      </c>
      <c r="W12" s="33" t="s">
        <v>73</v>
      </c>
      <c r="X12" s="33" t="s">
        <v>74</v>
      </c>
      <c r="Y12" s="33" t="s">
        <v>58</v>
      </c>
      <c r="Z12" s="2"/>
      <c r="AA12" s="33" t="s">
        <v>72</v>
      </c>
      <c r="AB12" s="33" t="s">
        <v>73</v>
      </c>
      <c r="AC12" s="33" t="s">
        <v>74</v>
      </c>
      <c r="AD12" s="33" t="s">
        <v>58</v>
      </c>
      <c r="AE12" s="2"/>
      <c r="AF12" s="2"/>
      <c r="AG12" s="2"/>
      <c r="AH12" s="2"/>
    </row>
    <row r="13" spans="1:34">
      <c r="A13" s="27"/>
      <c r="B13" s="49" t="s">
        <v>76</v>
      </c>
      <c r="C13" s="50">
        <v>100</v>
      </c>
      <c r="D13" s="502">
        <f>'MATERIA PRIMA'!F14</f>
        <v>0.20370370370370369</v>
      </c>
      <c r="E13" s="52">
        <f>(C13*D13)</f>
        <v>20.37037037037037</v>
      </c>
      <c r="F13" s="2"/>
      <c r="G13" s="53" t="s">
        <v>82</v>
      </c>
      <c r="H13" s="54">
        <v>10</v>
      </c>
      <c r="I13" s="55">
        <f>'MATERIA PRIMA'!$F$24</f>
        <v>0.19</v>
      </c>
      <c r="J13" s="52">
        <f t="shared" ref="J13:J14" si="0">H13*I13</f>
        <v>1.9</v>
      </c>
      <c r="K13" s="2"/>
      <c r="L13" s="49" t="s">
        <v>88</v>
      </c>
      <c r="M13" s="57"/>
      <c r="N13" s="52"/>
      <c r="O13" s="52">
        <v>25</v>
      </c>
      <c r="P13" s="2"/>
      <c r="Q13" s="49" t="s">
        <v>91</v>
      </c>
      <c r="R13" s="50">
        <v>4</v>
      </c>
      <c r="S13" s="52">
        <f>'MATERIA PRIMA'!F12</f>
        <v>11.28747795414462</v>
      </c>
      <c r="T13" s="52">
        <f>(R13*S13)</f>
        <v>45.149911816578481</v>
      </c>
      <c r="U13" s="2"/>
      <c r="V13" s="49" t="s">
        <v>82</v>
      </c>
      <c r="W13" s="54">
        <v>30</v>
      </c>
      <c r="X13" s="60">
        <f>'MATERIA PRIMA'!$F$24</f>
        <v>0.19</v>
      </c>
      <c r="Y13" s="52">
        <f>(W13*X13)</f>
        <v>5.7</v>
      </c>
      <c r="Z13" s="2"/>
      <c r="AA13" s="49" t="s">
        <v>71</v>
      </c>
      <c r="AB13" s="49">
        <v>1</v>
      </c>
      <c r="AC13" s="52"/>
      <c r="AD13" s="52">
        <v>60</v>
      </c>
      <c r="AE13" s="2"/>
      <c r="AF13" s="2"/>
      <c r="AG13" s="2"/>
      <c r="AH13" s="2"/>
    </row>
    <row r="14" spans="1:34">
      <c r="A14" s="27"/>
      <c r="B14" s="49" t="s">
        <v>96</v>
      </c>
      <c r="C14" s="61">
        <v>24</v>
      </c>
      <c r="D14" s="52"/>
      <c r="E14" s="52">
        <v>200</v>
      </c>
      <c r="F14" s="2"/>
      <c r="G14" s="49" t="s">
        <v>100</v>
      </c>
      <c r="H14" s="57">
        <v>20</v>
      </c>
      <c r="I14" s="52">
        <f>'MATERIA PRIMA'!$F$8</f>
        <v>0.36</v>
      </c>
      <c r="J14" s="52">
        <f t="shared" si="0"/>
        <v>7.1999999999999993</v>
      </c>
      <c r="K14" s="2"/>
      <c r="L14" s="49"/>
      <c r="M14" s="49"/>
      <c r="N14" s="52"/>
      <c r="O14" s="52"/>
      <c r="P14" s="2"/>
      <c r="Q14" s="49"/>
      <c r="R14" s="54"/>
      <c r="S14" s="52"/>
      <c r="T14" s="52"/>
      <c r="U14" s="2"/>
      <c r="V14" s="49" t="s">
        <v>103</v>
      </c>
      <c r="W14" s="49"/>
      <c r="X14" s="52"/>
      <c r="Y14" s="52">
        <v>20</v>
      </c>
      <c r="Z14" s="2"/>
      <c r="AA14" s="49" t="s">
        <v>103</v>
      </c>
      <c r="AB14" s="49"/>
      <c r="AC14" s="52"/>
      <c r="AD14" s="52">
        <v>10</v>
      </c>
      <c r="AE14" s="2"/>
      <c r="AF14" s="2"/>
      <c r="AG14" s="2"/>
      <c r="AH14" s="2"/>
    </row>
    <row r="15" spans="1:34">
      <c r="A15" s="27"/>
      <c r="B15" s="49" t="s">
        <v>107</v>
      </c>
      <c r="C15" s="49">
        <v>1</v>
      </c>
      <c r="D15" s="52"/>
      <c r="E15" s="52">
        <v>70</v>
      </c>
      <c r="F15" s="2"/>
      <c r="G15" s="49" t="s">
        <v>88</v>
      </c>
      <c r="H15" s="49"/>
      <c r="I15" s="52"/>
      <c r="J15" s="52">
        <v>10</v>
      </c>
      <c r="K15" s="2"/>
      <c r="L15" s="49"/>
      <c r="M15" s="49"/>
      <c r="N15" s="52"/>
      <c r="O15" s="52"/>
      <c r="P15" s="2"/>
      <c r="Q15" s="49"/>
      <c r="R15" s="49"/>
      <c r="S15" s="52"/>
      <c r="T15" s="52"/>
      <c r="U15" s="2"/>
      <c r="V15" s="49"/>
      <c r="W15" s="49"/>
      <c r="X15" s="52"/>
      <c r="Y15" s="52"/>
      <c r="Z15" s="2"/>
      <c r="AA15" s="49"/>
      <c r="AB15" s="49"/>
      <c r="AC15" s="52"/>
      <c r="AD15" s="52"/>
      <c r="AE15" s="2"/>
      <c r="AF15" s="2"/>
      <c r="AG15" s="2"/>
      <c r="AH15" s="2"/>
    </row>
    <row r="16" spans="1:34">
      <c r="A16" s="27"/>
      <c r="B16" s="49"/>
      <c r="C16" s="49"/>
      <c r="D16" s="52"/>
      <c r="E16" s="52"/>
      <c r="F16" s="2"/>
      <c r="G16" s="49"/>
      <c r="H16" s="49"/>
      <c r="I16" s="52"/>
      <c r="J16" s="52"/>
      <c r="K16" s="2"/>
      <c r="L16" s="49"/>
      <c r="M16" s="49"/>
      <c r="N16" s="52"/>
      <c r="O16" s="52"/>
      <c r="P16" s="2"/>
      <c r="Q16" s="49"/>
      <c r="R16" s="49"/>
      <c r="S16" s="52"/>
      <c r="T16" s="52"/>
      <c r="U16" s="2"/>
      <c r="V16" s="49"/>
      <c r="W16" s="49"/>
      <c r="X16" s="52"/>
      <c r="Y16" s="52"/>
      <c r="Z16" s="2"/>
      <c r="AA16" s="49"/>
      <c r="AB16" s="49"/>
      <c r="AC16" s="52"/>
      <c r="AD16" s="52"/>
      <c r="AE16" s="2"/>
      <c r="AF16" s="2"/>
      <c r="AG16" s="2"/>
      <c r="AH16" s="2"/>
    </row>
    <row r="17" spans="1:34">
      <c r="A17" s="27"/>
      <c r="B17" s="49"/>
      <c r="C17" s="49"/>
      <c r="D17" s="52"/>
      <c r="E17" s="52"/>
      <c r="F17" s="2"/>
      <c r="G17" s="49"/>
      <c r="H17" s="49"/>
      <c r="I17" s="52"/>
      <c r="J17" s="52"/>
      <c r="K17" s="2"/>
      <c r="L17" s="49"/>
      <c r="M17" s="49"/>
      <c r="N17" s="52"/>
      <c r="O17" s="52"/>
      <c r="P17" s="2"/>
      <c r="Q17" s="49"/>
      <c r="R17" s="49"/>
      <c r="S17" s="52"/>
      <c r="T17" s="52"/>
      <c r="U17" s="2"/>
      <c r="V17" s="49"/>
      <c r="W17" s="49"/>
      <c r="X17" s="52"/>
      <c r="Y17" s="52"/>
      <c r="Z17" s="2"/>
      <c r="AA17" s="49"/>
      <c r="AB17" s="49"/>
      <c r="AC17" s="52"/>
      <c r="AD17" s="52"/>
      <c r="AE17" s="2"/>
      <c r="AF17" s="2"/>
      <c r="AG17" s="2"/>
      <c r="AH17" s="2"/>
    </row>
    <row r="18" spans="1:34">
      <c r="A18" s="27"/>
      <c r="B18" s="49"/>
      <c r="C18" s="49"/>
      <c r="D18" s="52"/>
      <c r="E18" s="52"/>
      <c r="F18" s="2"/>
      <c r="G18" s="49"/>
      <c r="H18" s="49"/>
      <c r="I18" s="52"/>
      <c r="J18" s="52"/>
      <c r="K18" s="2"/>
      <c r="L18" s="49"/>
      <c r="M18" s="49"/>
      <c r="N18" s="52"/>
      <c r="O18" s="52"/>
      <c r="P18" s="2"/>
      <c r="Q18" s="49"/>
      <c r="R18" s="49"/>
      <c r="S18" s="52"/>
      <c r="T18" s="52"/>
      <c r="U18" s="2"/>
      <c r="V18" s="49"/>
      <c r="W18" s="49"/>
      <c r="X18" s="52"/>
      <c r="Y18" s="52"/>
      <c r="Z18" s="2"/>
      <c r="AA18" s="49"/>
      <c r="AB18" s="49"/>
      <c r="AC18" s="52"/>
      <c r="AD18" s="52"/>
      <c r="AE18" s="2"/>
      <c r="AF18" s="2"/>
      <c r="AG18" s="2"/>
      <c r="AH18" s="2"/>
    </row>
    <row r="19" spans="1:34">
      <c r="A19" s="27"/>
      <c r="B19" s="49"/>
      <c r="C19" s="49"/>
      <c r="D19" s="52"/>
      <c r="E19" s="52"/>
      <c r="F19" s="2"/>
      <c r="G19" s="49"/>
      <c r="H19" s="49"/>
      <c r="I19" s="52"/>
      <c r="J19" s="52"/>
      <c r="K19" s="2"/>
      <c r="L19" s="49"/>
      <c r="M19" s="49"/>
      <c r="N19" s="52"/>
      <c r="O19" s="52"/>
      <c r="P19" s="2"/>
      <c r="Q19" s="49"/>
      <c r="R19" s="49"/>
      <c r="S19" s="52"/>
      <c r="T19" s="52"/>
      <c r="U19" s="2"/>
      <c r="V19" s="49"/>
      <c r="W19" s="49"/>
      <c r="X19" s="52"/>
      <c r="Y19" s="52"/>
      <c r="Z19" s="2"/>
      <c r="AA19" s="49"/>
      <c r="AB19" s="49"/>
      <c r="AC19" s="52"/>
      <c r="AD19" s="52"/>
      <c r="AE19" s="2"/>
      <c r="AF19" s="2"/>
      <c r="AG19" s="2"/>
      <c r="AH19" s="2"/>
    </row>
    <row r="20" spans="1:34">
      <c r="A20" s="27"/>
      <c r="B20" s="346" t="s">
        <v>58</v>
      </c>
      <c r="C20" s="334"/>
      <c r="D20" s="332"/>
      <c r="E20" s="52">
        <f>SUM(E13:E19)</f>
        <v>290.37037037037038</v>
      </c>
      <c r="F20" s="2"/>
      <c r="G20" s="347" t="s">
        <v>58</v>
      </c>
      <c r="H20" s="334"/>
      <c r="I20" s="332"/>
      <c r="J20" s="52">
        <f>SUM(J13:J19)</f>
        <v>19.100000000000001</v>
      </c>
      <c r="K20" s="2"/>
      <c r="L20" s="347" t="s">
        <v>58</v>
      </c>
      <c r="M20" s="334"/>
      <c r="N20" s="332"/>
      <c r="O20" s="52">
        <f>SUM(O13:O19)</f>
        <v>25</v>
      </c>
      <c r="P20" s="2"/>
      <c r="Q20" s="347" t="s">
        <v>58</v>
      </c>
      <c r="R20" s="334"/>
      <c r="S20" s="332"/>
      <c r="T20" s="52">
        <f>SUM(T13:T19)</f>
        <v>45.149911816578481</v>
      </c>
      <c r="U20" s="2"/>
      <c r="V20" s="347" t="s">
        <v>58</v>
      </c>
      <c r="W20" s="334"/>
      <c r="X20" s="332"/>
      <c r="Y20" s="52">
        <f>SUM(Y13:Y19)</f>
        <v>25.7</v>
      </c>
      <c r="Z20" s="2"/>
      <c r="AA20" s="347" t="s">
        <v>58</v>
      </c>
      <c r="AB20" s="334"/>
      <c r="AC20" s="332"/>
      <c r="AD20" s="52">
        <f>SUM(AD13:AD19)</f>
        <v>70</v>
      </c>
      <c r="AE20" s="2"/>
      <c r="AF20" s="2"/>
      <c r="AG20" s="2"/>
      <c r="AH20" s="2"/>
    </row>
    <row r="21" spans="1:34" ht="15.75" customHeight="1">
      <c r="A21" s="2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5.75" customHeight="1">
      <c r="A22" s="2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5.75" customHeight="1">
      <c r="A23" s="2"/>
      <c r="B23" s="30" t="s">
        <v>114</v>
      </c>
      <c r="C23" s="3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5.75" customHeight="1">
      <c r="A25" s="27"/>
      <c r="B25" s="348" t="s">
        <v>64</v>
      </c>
      <c r="C25" s="334"/>
      <c r="D25" s="334"/>
      <c r="E25" s="332"/>
      <c r="F25" s="2"/>
      <c r="G25" s="348" t="s">
        <v>66</v>
      </c>
      <c r="H25" s="334"/>
      <c r="I25" s="334"/>
      <c r="J25" s="332"/>
      <c r="K25" s="2"/>
      <c r="L25" s="348" t="s">
        <v>67</v>
      </c>
      <c r="M25" s="334"/>
      <c r="N25" s="334"/>
      <c r="O25" s="332"/>
      <c r="P25" s="2"/>
      <c r="Q25" s="348" t="s">
        <v>68</v>
      </c>
      <c r="R25" s="334"/>
      <c r="S25" s="334"/>
      <c r="T25" s="332"/>
      <c r="U25" s="2"/>
      <c r="V25" s="348" t="s">
        <v>69</v>
      </c>
      <c r="W25" s="334"/>
      <c r="X25" s="334"/>
      <c r="Y25" s="332"/>
      <c r="Z25" s="2"/>
      <c r="AA25" s="348" t="s">
        <v>71</v>
      </c>
      <c r="AB25" s="334"/>
      <c r="AC25" s="334"/>
      <c r="AD25" s="332"/>
      <c r="AE25" s="2"/>
      <c r="AF25" s="2"/>
      <c r="AG25" s="2"/>
      <c r="AH25" s="2"/>
    </row>
    <row r="26" spans="1:34" ht="15.75" customHeight="1">
      <c r="A26" s="27"/>
      <c r="B26" s="33" t="s">
        <v>72</v>
      </c>
      <c r="C26" s="33" t="s">
        <v>73</v>
      </c>
      <c r="D26" s="33" t="s">
        <v>74</v>
      </c>
      <c r="E26" s="33" t="s">
        <v>58</v>
      </c>
      <c r="F26" s="2"/>
      <c r="G26" s="33" t="s">
        <v>72</v>
      </c>
      <c r="H26" s="33" t="s">
        <v>73</v>
      </c>
      <c r="I26" s="33" t="s">
        <v>74</v>
      </c>
      <c r="J26" s="33" t="s">
        <v>58</v>
      </c>
      <c r="K26" s="2"/>
      <c r="L26" s="33" t="s">
        <v>72</v>
      </c>
      <c r="M26" s="33" t="s">
        <v>73</v>
      </c>
      <c r="N26" s="33" t="s">
        <v>74</v>
      </c>
      <c r="O26" s="33" t="s">
        <v>58</v>
      </c>
      <c r="P26" s="2"/>
      <c r="Q26" s="33" t="s">
        <v>72</v>
      </c>
      <c r="R26" s="33" t="s">
        <v>73</v>
      </c>
      <c r="S26" s="33" t="s">
        <v>74</v>
      </c>
      <c r="T26" s="33" t="s">
        <v>58</v>
      </c>
      <c r="U26" s="2"/>
      <c r="V26" s="33" t="s">
        <v>72</v>
      </c>
      <c r="W26" s="33" t="s">
        <v>73</v>
      </c>
      <c r="X26" s="33" t="s">
        <v>74</v>
      </c>
      <c r="Y26" s="33" t="s">
        <v>58</v>
      </c>
      <c r="Z26" s="2"/>
      <c r="AA26" s="33" t="s">
        <v>72</v>
      </c>
      <c r="AB26" s="33" t="s">
        <v>73</v>
      </c>
      <c r="AC26" s="33" t="s">
        <v>74</v>
      </c>
      <c r="AD26" s="33" t="s">
        <v>58</v>
      </c>
      <c r="AE26" s="2"/>
      <c r="AF26" s="2"/>
      <c r="AG26" s="2"/>
      <c r="AH26" s="2"/>
    </row>
    <row r="27" spans="1:34" ht="15.75" customHeight="1">
      <c r="A27" s="27"/>
      <c r="B27" s="49" t="s">
        <v>76</v>
      </c>
      <c r="C27" s="50">
        <v>170</v>
      </c>
      <c r="D27" s="84">
        <v>0.20370370370370369</v>
      </c>
      <c r="E27" s="52">
        <f>(C27*D27)</f>
        <v>34.629629629629626</v>
      </c>
      <c r="F27" s="2"/>
      <c r="G27" s="53" t="s">
        <v>82</v>
      </c>
      <c r="H27" s="54">
        <v>15</v>
      </c>
      <c r="I27" s="55">
        <f>'MATERIA PRIMA'!$F$24</f>
        <v>0.19</v>
      </c>
      <c r="J27" s="52">
        <f t="shared" ref="J27:J28" si="1">H27*I27</f>
        <v>2.85</v>
      </c>
      <c r="K27" s="2"/>
      <c r="L27" s="49" t="s">
        <v>88</v>
      </c>
      <c r="M27" s="57"/>
      <c r="N27" s="52"/>
      <c r="O27" s="52">
        <v>35</v>
      </c>
      <c r="P27" s="2"/>
      <c r="Q27" s="49" t="s">
        <v>91</v>
      </c>
      <c r="R27" s="50">
        <v>8</v>
      </c>
      <c r="S27" s="52">
        <f>'MATERIA PRIMA'!F12</f>
        <v>11.28747795414462</v>
      </c>
      <c r="T27" s="52">
        <f>(R27*S27)</f>
        <v>90.299823633156961</v>
      </c>
      <c r="U27" s="2"/>
      <c r="V27" s="49" t="s">
        <v>82</v>
      </c>
      <c r="W27" s="54">
        <v>30</v>
      </c>
      <c r="X27" s="60">
        <f>'MATERIA PRIMA'!$F$24</f>
        <v>0.19</v>
      </c>
      <c r="Y27" s="52">
        <f>(W27*X27)</f>
        <v>5.7</v>
      </c>
      <c r="Z27" s="2"/>
      <c r="AA27" s="49" t="s">
        <v>71</v>
      </c>
      <c r="AB27" s="49">
        <v>1</v>
      </c>
      <c r="AC27" s="52"/>
      <c r="AD27" s="52">
        <v>60</v>
      </c>
      <c r="AE27" s="2"/>
      <c r="AF27" s="2"/>
      <c r="AG27" s="2"/>
      <c r="AH27" s="2"/>
    </row>
    <row r="28" spans="1:34" ht="15.75" customHeight="1">
      <c r="A28" s="27"/>
      <c r="B28" s="49" t="s">
        <v>96</v>
      </c>
      <c r="C28" s="61">
        <v>24</v>
      </c>
      <c r="D28" s="52"/>
      <c r="E28" s="52">
        <v>200</v>
      </c>
      <c r="F28" s="2"/>
      <c r="G28" s="49" t="s">
        <v>100</v>
      </c>
      <c r="H28" s="57">
        <v>40</v>
      </c>
      <c r="I28" s="52">
        <f>'MATERIA PRIMA'!$F$8</f>
        <v>0.36</v>
      </c>
      <c r="J28" s="52">
        <f t="shared" si="1"/>
        <v>14.399999999999999</v>
      </c>
      <c r="K28" s="2"/>
      <c r="L28" s="49"/>
      <c r="M28" s="49"/>
      <c r="N28" s="52"/>
      <c r="O28" s="52"/>
      <c r="P28" s="2"/>
      <c r="Q28" s="49"/>
      <c r="R28" s="54"/>
      <c r="S28" s="52"/>
      <c r="T28" s="52"/>
      <c r="U28" s="2"/>
      <c r="V28" s="49" t="s">
        <v>103</v>
      </c>
      <c r="W28" s="49"/>
      <c r="X28" s="52"/>
      <c r="Y28" s="52">
        <v>20</v>
      </c>
      <c r="Z28" s="2"/>
      <c r="AA28" s="49" t="s">
        <v>103</v>
      </c>
      <c r="AB28" s="49"/>
      <c r="AC28" s="52"/>
      <c r="AD28" s="52">
        <v>10</v>
      </c>
      <c r="AE28" s="2"/>
      <c r="AF28" s="2"/>
      <c r="AG28" s="2"/>
      <c r="AH28" s="2"/>
    </row>
    <row r="29" spans="1:34" ht="15.75" customHeight="1">
      <c r="A29" s="27"/>
      <c r="B29" s="49" t="s">
        <v>107</v>
      </c>
      <c r="C29" s="49">
        <v>1</v>
      </c>
      <c r="D29" s="52"/>
      <c r="E29" s="52">
        <v>70</v>
      </c>
      <c r="F29" s="2"/>
      <c r="G29" s="49" t="s">
        <v>88</v>
      </c>
      <c r="H29" s="49"/>
      <c r="I29" s="52"/>
      <c r="J29" s="52">
        <v>15</v>
      </c>
      <c r="K29" s="2"/>
      <c r="L29" s="49"/>
      <c r="M29" s="49"/>
      <c r="N29" s="52"/>
      <c r="O29" s="52"/>
      <c r="P29" s="2"/>
      <c r="Q29" s="49"/>
      <c r="R29" s="49"/>
      <c r="S29" s="52"/>
      <c r="T29" s="52"/>
      <c r="U29" s="2"/>
      <c r="V29" s="49"/>
      <c r="W29" s="49"/>
      <c r="X29" s="52"/>
      <c r="Y29" s="52"/>
      <c r="Z29" s="2"/>
      <c r="AA29" s="49"/>
      <c r="AB29" s="49"/>
      <c r="AC29" s="52"/>
      <c r="AD29" s="52"/>
      <c r="AE29" s="2"/>
      <c r="AF29" s="2"/>
      <c r="AG29" s="2"/>
      <c r="AH29" s="2"/>
    </row>
    <row r="30" spans="1:34" ht="15.75" customHeight="1">
      <c r="A30" s="27"/>
      <c r="B30" s="49"/>
      <c r="C30" s="49"/>
      <c r="D30" s="52"/>
      <c r="E30" s="52"/>
      <c r="F30" s="2"/>
      <c r="G30" s="49"/>
      <c r="H30" s="49"/>
      <c r="I30" s="52"/>
      <c r="J30" s="52"/>
      <c r="K30" s="2"/>
      <c r="L30" s="49"/>
      <c r="M30" s="49"/>
      <c r="N30" s="52"/>
      <c r="O30" s="52"/>
      <c r="P30" s="2"/>
      <c r="Q30" s="49"/>
      <c r="R30" s="49"/>
      <c r="S30" s="52"/>
      <c r="T30" s="52"/>
      <c r="U30" s="2"/>
      <c r="V30" s="49"/>
      <c r="W30" s="49"/>
      <c r="X30" s="52"/>
      <c r="Y30" s="52"/>
      <c r="Z30" s="2"/>
      <c r="AA30" s="49"/>
      <c r="AB30" s="49"/>
      <c r="AC30" s="52"/>
      <c r="AD30" s="52"/>
      <c r="AE30" s="2"/>
      <c r="AF30" s="2"/>
      <c r="AG30" s="2"/>
      <c r="AH30" s="2"/>
    </row>
    <row r="31" spans="1:34" ht="15.75" customHeight="1">
      <c r="A31" s="27"/>
      <c r="B31" s="49"/>
      <c r="C31" s="49"/>
      <c r="D31" s="52"/>
      <c r="E31" s="52"/>
      <c r="F31" s="2"/>
      <c r="G31" s="49"/>
      <c r="H31" s="49"/>
      <c r="I31" s="52"/>
      <c r="J31" s="52"/>
      <c r="K31" s="2"/>
      <c r="L31" s="49"/>
      <c r="M31" s="49"/>
      <c r="N31" s="52"/>
      <c r="O31" s="52"/>
      <c r="P31" s="2"/>
      <c r="Q31" s="49"/>
      <c r="R31" s="49"/>
      <c r="S31" s="52"/>
      <c r="T31" s="52"/>
      <c r="U31" s="2"/>
      <c r="V31" s="49"/>
      <c r="W31" s="49"/>
      <c r="X31" s="52"/>
      <c r="Y31" s="52"/>
      <c r="Z31" s="2"/>
      <c r="AA31" s="49"/>
      <c r="AB31" s="49"/>
      <c r="AC31" s="52"/>
      <c r="AD31" s="52"/>
      <c r="AE31" s="2"/>
      <c r="AF31" s="2"/>
      <c r="AG31" s="2"/>
      <c r="AH31" s="2"/>
    </row>
    <row r="32" spans="1:34" ht="15.75" customHeight="1">
      <c r="A32" s="27"/>
      <c r="B32" s="49"/>
      <c r="C32" s="49"/>
      <c r="D32" s="52"/>
      <c r="E32" s="52"/>
      <c r="F32" s="2"/>
      <c r="G32" s="49"/>
      <c r="H32" s="49"/>
      <c r="I32" s="52"/>
      <c r="J32" s="52"/>
      <c r="K32" s="2"/>
      <c r="L32" s="49"/>
      <c r="M32" s="49"/>
      <c r="N32" s="52"/>
      <c r="O32" s="52"/>
      <c r="P32" s="2"/>
      <c r="Q32" s="49"/>
      <c r="R32" s="49"/>
      <c r="S32" s="52"/>
      <c r="T32" s="52"/>
      <c r="U32" s="2"/>
      <c r="V32" s="49"/>
      <c r="W32" s="49"/>
      <c r="X32" s="52"/>
      <c r="Y32" s="52"/>
      <c r="Z32" s="2"/>
      <c r="AA32" s="49"/>
      <c r="AB32" s="49"/>
      <c r="AC32" s="52"/>
      <c r="AD32" s="52"/>
      <c r="AE32" s="2"/>
      <c r="AF32" s="2"/>
      <c r="AG32" s="2"/>
      <c r="AH32" s="2"/>
    </row>
    <row r="33" spans="1:34" ht="15.75" customHeight="1">
      <c r="A33" s="27"/>
      <c r="B33" s="49"/>
      <c r="C33" s="49"/>
      <c r="D33" s="52"/>
      <c r="E33" s="52"/>
      <c r="F33" s="2"/>
      <c r="G33" s="49"/>
      <c r="H33" s="49"/>
      <c r="I33" s="52"/>
      <c r="J33" s="52"/>
      <c r="K33" s="2"/>
      <c r="L33" s="49"/>
      <c r="M33" s="49"/>
      <c r="N33" s="52"/>
      <c r="O33" s="52"/>
      <c r="P33" s="2"/>
      <c r="Q33" s="49"/>
      <c r="R33" s="49"/>
      <c r="S33" s="52"/>
      <c r="T33" s="52"/>
      <c r="U33" s="2"/>
      <c r="V33" s="49"/>
      <c r="W33" s="49"/>
      <c r="X33" s="52"/>
      <c r="Y33" s="52"/>
      <c r="Z33" s="2"/>
      <c r="AA33" s="49"/>
      <c r="AB33" s="49"/>
      <c r="AC33" s="52"/>
      <c r="AD33" s="52"/>
      <c r="AE33" s="2"/>
      <c r="AF33" s="2"/>
      <c r="AG33" s="2"/>
      <c r="AH33" s="2"/>
    </row>
    <row r="34" spans="1:34" ht="15.75" customHeight="1">
      <c r="A34" s="27"/>
      <c r="B34" s="346" t="s">
        <v>58</v>
      </c>
      <c r="C34" s="334"/>
      <c r="D34" s="332"/>
      <c r="E34" s="52">
        <f>SUM(E27:E33)</f>
        <v>304.62962962962962</v>
      </c>
      <c r="F34" s="2"/>
      <c r="G34" s="347" t="s">
        <v>58</v>
      </c>
      <c r="H34" s="334"/>
      <c r="I34" s="332"/>
      <c r="J34" s="52">
        <f>SUM(J27:J33)</f>
        <v>32.25</v>
      </c>
      <c r="K34" s="2"/>
      <c r="L34" s="347" t="s">
        <v>58</v>
      </c>
      <c r="M34" s="334"/>
      <c r="N34" s="332"/>
      <c r="O34" s="52">
        <f>SUM(O27:O33)</f>
        <v>35</v>
      </c>
      <c r="P34" s="2"/>
      <c r="Q34" s="347" t="s">
        <v>58</v>
      </c>
      <c r="R34" s="334"/>
      <c r="S34" s="332"/>
      <c r="T34" s="52">
        <f>SUM(T27:T33)</f>
        <v>90.299823633156961</v>
      </c>
      <c r="U34" s="2"/>
      <c r="V34" s="347" t="s">
        <v>58</v>
      </c>
      <c r="W34" s="334"/>
      <c r="X34" s="332"/>
      <c r="Y34" s="52">
        <f>SUM(Y27:Y33)</f>
        <v>25.7</v>
      </c>
      <c r="Z34" s="2"/>
      <c r="AA34" s="347" t="s">
        <v>58</v>
      </c>
      <c r="AB34" s="334"/>
      <c r="AC34" s="332"/>
      <c r="AD34" s="52">
        <f>SUM(AD27:AD33)</f>
        <v>70</v>
      </c>
      <c r="AE34" s="2"/>
      <c r="AF34" s="2"/>
      <c r="AG34" s="2"/>
      <c r="AH34" s="2"/>
    </row>
    <row r="35" spans="1:3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5.75" customHeight="1">
      <c r="A37" s="2"/>
      <c r="B37" s="32" t="s">
        <v>127</v>
      </c>
      <c r="C37" s="90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5.75" customHeight="1">
      <c r="A39" s="27"/>
      <c r="B39" s="345" t="s">
        <v>64</v>
      </c>
      <c r="C39" s="334"/>
      <c r="D39" s="334"/>
      <c r="E39" s="332"/>
      <c r="F39" s="2"/>
      <c r="G39" s="345" t="s">
        <v>66</v>
      </c>
      <c r="H39" s="334"/>
      <c r="I39" s="334"/>
      <c r="J39" s="332"/>
      <c r="K39" s="2"/>
      <c r="L39" s="345" t="s">
        <v>67</v>
      </c>
      <c r="M39" s="334"/>
      <c r="N39" s="334"/>
      <c r="O39" s="332"/>
      <c r="P39" s="2"/>
      <c r="Q39" s="345" t="s">
        <v>68</v>
      </c>
      <c r="R39" s="334"/>
      <c r="S39" s="334"/>
      <c r="T39" s="332"/>
      <c r="U39" s="2"/>
      <c r="V39" s="345" t="s">
        <v>69</v>
      </c>
      <c r="W39" s="334"/>
      <c r="X39" s="334"/>
      <c r="Y39" s="332"/>
      <c r="Z39" s="2"/>
      <c r="AA39" s="345" t="s">
        <v>71</v>
      </c>
      <c r="AB39" s="334"/>
      <c r="AC39" s="334"/>
      <c r="AD39" s="332"/>
      <c r="AE39" s="2"/>
      <c r="AF39" s="2"/>
      <c r="AG39" s="2"/>
      <c r="AH39" s="2"/>
    </row>
    <row r="40" spans="1:34" ht="15.75" customHeight="1">
      <c r="A40" s="27"/>
      <c r="B40" s="33" t="s">
        <v>72</v>
      </c>
      <c r="C40" s="33" t="s">
        <v>73</v>
      </c>
      <c r="D40" s="33" t="s">
        <v>74</v>
      </c>
      <c r="E40" s="33" t="s">
        <v>58</v>
      </c>
      <c r="F40" s="2"/>
      <c r="G40" s="33" t="s">
        <v>72</v>
      </c>
      <c r="H40" s="33" t="s">
        <v>73</v>
      </c>
      <c r="I40" s="33" t="s">
        <v>74</v>
      </c>
      <c r="J40" s="33" t="s">
        <v>58</v>
      </c>
      <c r="K40" s="2"/>
      <c r="L40" s="33" t="s">
        <v>72</v>
      </c>
      <c r="M40" s="33" t="s">
        <v>73</v>
      </c>
      <c r="N40" s="33" t="s">
        <v>74</v>
      </c>
      <c r="O40" s="33" t="s">
        <v>58</v>
      </c>
      <c r="P40" s="2"/>
      <c r="Q40" s="33" t="s">
        <v>72</v>
      </c>
      <c r="R40" s="33" t="s">
        <v>73</v>
      </c>
      <c r="S40" s="33" t="s">
        <v>74</v>
      </c>
      <c r="T40" s="33" t="s">
        <v>58</v>
      </c>
      <c r="U40" s="2"/>
      <c r="V40" s="33" t="s">
        <v>72</v>
      </c>
      <c r="W40" s="33" t="s">
        <v>73</v>
      </c>
      <c r="X40" s="33" t="s">
        <v>74</v>
      </c>
      <c r="Y40" s="33" t="s">
        <v>58</v>
      </c>
      <c r="Z40" s="2"/>
      <c r="AA40" s="33" t="s">
        <v>72</v>
      </c>
      <c r="AB40" s="33" t="s">
        <v>73</v>
      </c>
      <c r="AC40" s="33" t="s">
        <v>74</v>
      </c>
      <c r="AD40" s="33" t="s">
        <v>58</v>
      </c>
      <c r="AE40" s="2"/>
      <c r="AF40" s="2"/>
      <c r="AG40" s="2"/>
      <c r="AH40" s="2"/>
    </row>
    <row r="41" spans="1:34" ht="15.75" customHeight="1">
      <c r="A41" s="27"/>
      <c r="B41" s="49" t="s">
        <v>76</v>
      </c>
      <c r="C41" s="50">
        <v>280</v>
      </c>
      <c r="D41" s="91">
        <v>0.20370370370370369</v>
      </c>
      <c r="E41" s="52">
        <f>(C41*D41)</f>
        <v>57.037037037037031</v>
      </c>
      <c r="F41" s="2"/>
      <c r="G41" s="53" t="s">
        <v>82</v>
      </c>
      <c r="H41" s="54">
        <v>20</v>
      </c>
      <c r="I41" s="55">
        <f>'MATERIA PRIMA'!$F$24</f>
        <v>0.19</v>
      </c>
      <c r="J41" s="52">
        <f t="shared" ref="J41:J42" si="2">H41*I41</f>
        <v>3.8</v>
      </c>
      <c r="K41" s="2"/>
      <c r="L41" s="49" t="s">
        <v>88</v>
      </c>
      <c r="M41" s="57"/>
      <c r="N41" s="52"/>
      <c r="O41" s="52">
        <v>45</v>
      </c>
      <c r="P41" s="2"/>
      <c r="Q41" s="49" t="s">
        <v>91</v>
      </c>
      <c r="R41" s="50">
        <v>12</v>
      </c>
      <c r="S41" s="52">
        <f>'MATERIA PRIMA'!$F$12</f>
        <v>11.28747795414462</v>
      </c>
      <c r="T41" s="52">
        <f>(R41*S41)</f>
        <v>135.44973544973544</v>
      </c>
      <c r="U41" s="2"/>
      <c r="V41" s="49" t="s">
        <v>82</v>
      </c>
      <c r="W41" s="54">
        <v>30</v>
      </c>
      <c r="X41" s="60">
        <f>'MATERIA PRIMA'!$F$24</f>
        <v>0.19</v>
      </c>
      <c r="Y41" s="52">
        <f>(W41*X41)</f>
        <v>5.7</v>
      </c>
      <c r="Z41" s="2"/>
      <c r="AA41" s="49" t="s">
        <v>71</v>
      </c>
      <c r="AB41" s="49">
        <v>1</v>
      </c>
      <c r="AC41" s="52"/>
      <c r="AD41" s="52">
        <v>60</v>
      </c>
      <c r="AE41" s="2"/>
      <c r="AF41" s="2"/>
      <c r="AG41" s="2"/>
      <c r="AH41" s="2"/>
    </row>
    <row r="42" spans="1:34" ht="15.75" customHeight="1">
      <c r="A42" s="27"/>
      <c r="B42" s="49" t="s">
        <v>96</v>
      </c>
      <c r="C42" s="61">
        <v>24</v>
      </c>
      <c r="D42" s="52"/>
      <c r="E42" s="52">
        <v>200</v>
      </c>
      <c r="F42" s="2"/>
      <c r="G42" s="49" t="s">
        <v>100</v>
      </c>
      <c r="H42" s="57">
        <v>60</v>
      </c>
      <c r="I42" s="52">
        <f>'MATERIA PRIMA'!$F$8</f>
        <v>0.36</v>
      </c>
      <c r="J42" s="52">
        <f t="shared" si="2"/>
        <v>21.599999999999998</v>
      </c>
      <c r="K42" s="2"/>
      <c r="L42" s="49"/>
      <c r="M42" s="49"/>
      <c r="N42" s="52"/>
      <c r="O42" s="52"/>
      <c r="P42" s="2"/>
      <c r="Q42" s="49"/>
      <c r="R42" s="54"/>
      <c r="S42" s="52"/>
      <c r="T42" s="52"/>
      <c r="U42" s="2"/>
      <c r="V42" s="49" t="s">
        <v>103</v>
      </c>
      <c r="W42" s="49"/>
      <c r="X42" s="52"/>
      <c r="Y42" s="52">
        <v>20</v>
      </c>
      <c r="Z42" s="2"/>
      <c r="AA42" s="49" t="s">
        <v>103</v>
      </c>
      <c r="AB42" s="49"/>
      <c r="AC42" s="52"/>
      <c r="AD42" s="52">
        <v>10</v>
      </c>
      <c r="AE42" s="2"/>
      <c r="AF42" s="2"/>
      <c r="AG42" s="2"/>
      <c r="AH42" s="2"/>
    </row>
    <row r="43" spans="1:34" ht="15.75" customHeight="1">
      <c r="A43" s="27"/>
      <c r="B43" s="49" t="s">
        <v>107</v>
      </c>
      <c r="C43" s="49">
        <v>1</v>
      </c>
      <c r="D43" s="52"/>
      <c r="E43" s="52">
        <v>70</v>
      </c>
      <c r="F43" s="2"/>
      <c r="G43" s="49" t="s">
        <v>88</v>
      </c>
      <c r="H43" s="49"/>
      <c r="I43" s="52"/>
      <c r="J43" s="52">
        <v>20</v>
      </c>
      <c r="K43" s="2"/>
      <c r="L43" s="49"/>
      <c r="M43" s="49"/>
      <c r="N43" s="52"/>
      <c r="O43" s="52"/>
      <c r="P43" s="2"/>
      <c r="Q43" s="49"/>
      <c r="R43" s="49"/>
      <c r="S43" s="52"/>
      <c r="T43" s="52"/>
      <c r="U43" s="2"/>
      <c r="V43" s="49"/>
      <c r="W43" s="49"/>
      <c r="X43" s="52"/>
      <c r="Y43" s="52"/>
      <c r="Z43" s="2"/>
      <c r="AA43" s="49"/>
      <c r="AB43" s="49"/>
      <c r="AC43" s="52"/>
      <c r="AD43" s="52"/>
      <c r="AE43" s="2"/>
      <c r="AF43" s="2"/>
      <c r="AG43" s="2"/>
      <c r="AH43" s="2"/>
    </row>
    <row r="44" spans="1:34" ht="15.75" customHeight="1">
      <c r="A44" s="27"/>
      <c r="B44" s="49"/>
      <c r="C44" s="49"/>
      <c r="D44" s="52"/>
      <c r="E44" s="52"/>
      <c r="F44" s="2"/>
      <c r="G44" s="49"/>
      <c r="H44" s="49"/>
      <c r="I44" s="52"/>
      <c r="J44" s="52"/>
      <c r="K44" s="2"/>
      <c r="L44" s="49"/>
      <c r="M44" s="49"/>
      <c r="N44" s="52"/>
      <c r="O44" s="52"/>
      <c r="P44" s="2"/>
      <c r="Q44" s="49"/>
      <c r="R44" s="49"/>
      <c r="S44" s="52"/>
      <c r="T44" s="52"/>
      <c r="U44" s="2"/>
      <c r="V44" s="49"/>
      <c r="W44" s="49"/>
      <c r="X44" s="52"/>
      <c r="Y44" s="52"/>
      <c r="Z44" s="2"/>
      <c r="AA44" s="49"/>
      <c r="AB44" s="49"/>
      <c r="AC44" s="52"/>
      <c r="AD44" s="52"/>
      <c r="AE44" s="2"/>
      <c r="AF44" s="2"/>
      <c r="AG44" s="2"/>
      <c r="AH44" s="2"/>
    </row>
    <row r="45" spans="1:34" ht="15.75" customHeight="1">
      <c r="A45" s="27"/>
      <c r="B45" s="49"/>
      <c r="C45" s="49"/>
      <c r="D45" s="52"/>
      <c r="E45" s="52"/>
      <c r="F45" s="2"/>
      <c r="G45" s="49"/>
      <c r="H45" s="49"/>
      <c r="I45" s="52"/>
      <c r="J45" s="52"/>
      <c r="K45" s="2"/>
      <c r="L45" s="49"/>
      <c r="M45" s="49"/>
      <c r="N45" s="52"/>
      <c r="O45" s="52"/>
      <c r="P45" s="2"/>
      <c r="Q45" s="49"/>
      <c r="R45" s="49"/>
      <c r="S45" s="52"/>
      <c r="T45" s="52"/>
      <c r="U45" s="2"/>
      <c r="V45" s="49"/>
      <c r="W45" s="49"/>
      <c r="X45" s="52"/>
      <c r="Y45" s="52"/>
      <c r="Z45" s="2"/>
      <c r="AA45" s="49"/>
      <c r="AB45" s="49"/>
      <c r="AC45" s="52"/>
      <c r="AD45" s="52"/>
      <c r="AE45" s="2"/>
      <c r="AF45" s="2"/>
      <c r="AG45" s="2"/>
      <c r="AH45" s="2"/>
    </row>
    <row r="46" spans="1:34" ht="15.75" customHeight="1">
      <c r="A46" s="27"/>
      <c r="B46" s="49"/>
      <c r="C46" s="49"/>
      <c r="D46" s="52"/>
      <c r="E46" s="52"/>
      <c r="F46" s="2"/>
      <c r="G46" s="49"/>
      <c r="H46" s="49"/>
      <c r="I46" s="52"/>
      <c r="J46" s="52"/>
      <c r="K46" s="2"/>
      <c r="L46" s="49"/>
      <c r="M46" s="49"/>
      <c r="N46" s="52"/>
      <c r="O46" s="52"/>
      <c r="P46" s="2"/>
      <c r="Q46" s="49"/>
      <c r="R46" s="49"/>
      <c r="S46" s="52"/>
      <c r="T46" s="52"/>
      <c r="U46" s="2"/>
      <c r="V46" s="49"/>
      <c r="W46" s="49"/>
      <c r="X46" s="52"/>
      <c r="Y46" s="52"/>
      <c r="Z46" s="2"/>
      <c r="AA46" s="49"/>
      <c r="AB46" s="49"/>
      <c r="AC46" s="52"/>
      <c r="AD46" s="52"/>
      <c r="AE46" s="2"/>
      <c r="AF46" s="2"/>
      <c r="AG46" s="2"/>
      <c r="AH46" s="2"/>
    </row>
    <row r="47" spans="1:34" ht="15.75" customHeight="1">
      <c r="A47" s="27"/>
      <c r="B47" s="49"/>
      <c r="C47" s="49"/>
      <c r="D47" s="52"/>
      <c r="E47" s="52"/>
      <c r="F47" s="2"/>
      <c r="G47" s="49"/>
      <c r="H47" s="49"/>
      <c r="I47" s="52"/>
      <c r="J47" s="52"/>
      <c r="K47" s="2"/>
      <c r="L47" s="49"/>
      <c r="M47" s="49"/>
      <c r="N47" s="52"/>
      <c r="O47" s="52"/>
      <c r="P47" s="2"/>
      <c r="Q47" s="49"/>
      <c r="R47" s="49"/>
      <c r="S47" s="52"/>
      <c r="T47" s="52"/>
      <c r="U47" s="2"/>
      <c r="V47" s="49"/>
      <c r="W47" s="49"/>
      <c r="X47" s="52"/>
      <c r="Y47" s="52"/>
      <c r="Z47" s="2"/>
      <c r="AA47" s="49"/>
      <c r="AB47" s="49"/>
      <c r="AC47" s="52"/>
      <c r="AD47" s="52"/>
      <c r="AE47" s="2"/>
      <c r="AF47" s="2"/>
      <c r="AG47" s="2"/>
      <c r="AH47" s="2"/>
    </row>
    <row r="48" spans="1:34" ht="15.75" customHeight="1">
      <c r="A48" s="27"/>
      <c r="B48" s="346" t="s">
        <v>58</v>
      </c>
      <c r="C48" s="334"/>
      <c r="D48" s="332"/>
      <c r="E48" s="52">
        <f>SUM(E41:E47)</f>
        <v>327.03703703703701</v>
      </c>
      <c r="F48" s="2"/>
      <c r="G48" s="347" t="s">
        <v>58</v>
      </c>
      <c r="H48" s="334"/>
      <c r="I48" s="332"/>
      <c r="J48" s="52">
        <f>SUM(J41:J47)</f>
        <v>45.4</v>
      </c>
      <c r="K48" s="2"/>
      <c r="L48" s="347" t="s">
        <v>58</v>
      </c>
      <c r="M48" s="334"/>
      <c r="N48" s="332"/>
      <c r="O48" s="52">
        <f>SUM(O41:O47)</f>
        <v>45</v>
      </c>
      <c r="P48" s="2"/>
      <c r="Q48" s="347" t="s">
        <v>58</v>
      </c>
      <c r="R48" s="334"/>
      <c r="S48" s="332"/>
      <c r="T48" s="52">
        <f>SUM(T41:T47)</f>
        <v>135.44973544973544</v>
      </c>
      <c r="U48" s="2"/>
      <c r="V48" s="347" t="s">
        <v>58</v>
      </c>
      <c r="W48" s="334"/>
      <c r="X48" s="332"/>
      <c r="Y48" s="52">
        <f>SUM(Y41:Y47)</f>
        <v>25.7</v>
      </c>
      <c r="Z48" s="2"/>
      <c r="AA48" s="347" t="s">
        <v>58</v>
      </c>
      <c r="AB48" s="334"/>
      <c r="AC48" s="332"/>
      <c r="AD48" s="52">
        <f>SUM(AD41:AD47)</f>
        <v>70</v>
      </c>
      <c r="AE48" s="2"/>
      <c r="AF48" s="2"/>
      <c r="AG48" s="2"/>
      <c r="AH48" s="2"/>
    </row>
    <row r="49" spans="1:3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5.75" customHeight="1">
      <c r="A50" s="2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5.75" customHeight="1">
      <c r="A51" s="27"/>
      <c r="B51" s="32" t="s">
        <v>169</v>
      </c>
      <c r="C51" s="9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5.75" customHeight="1">
      <c r="A52" s="2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5.75" customHeight="1">
      <c r="A53" s="27"/>
      <c r="B53" s="345" t="s">
        <v>64</v>
      </c>
      <c r="C53" s="334"/>
      <c r="D53" s="334"/>
      <c r="E53" s="332"/>
      <c r="F53" s="2"/>
      <c r="G53" s="345" t="s">
        <v>66</v>
      </c>
      <c r="H53" s="334"/>
      <c r="I53" s="334"/>
      <c r="J53" s="332"/>
      <c r="K53" s="2"/>
      <c r="L53" s="345" t="s">
        <v>67</v>
      </c>
      <c r="M53" s="334"/>
      <c r="N53" s="334"/>
      <c r="O53" s="332"/>
      <c r="P53" s="2"/>
      <c r="Q53" s="345" t="s">
        <v>68</v>
      </c>
      <c r="R53" s="334"/>
      <c r="S53" s="334"/>
      <c r="T53" s="332"/>
      <c r="U53" s="2"/>
      <c r="V53" s="345" t="s">
        <v>69</v>
      </c>
      <c r="W53" s="334"/>
      <c r="X53" s="334"/>
      <c r="Y53" s="332"/>
      <c r="Z53" s="2"/>
      <c r="AA53" s="345" t="s">
        <v>71</v>
      </c>
      <c r="AB53" s="334"/>
      <c r="AC53" s="334"/>
      <c r="AD53" s="332"/>
      <c r="AE53" s="2"/>
      <c r="AF53" s="2"/>
      <c r="AG53" s="2"/>
      <c r="AH53" s="2"/>
    </row>
    <row r="54" spans="1:34" ht="15.75" customHeight="1">
      <c r="A54" s="27"/>
      <c r="B54" s="33" t="s">
        <v>72</v>
      </c>
      <c r="C54" s="33" t="s">
        <v>73</v>
      </c>
      <c r="D54" s="33" t="s">
        <v>74</v>
      </c>
      <c r="E54" s="33" t="s">
        <v>58</v>
      </c>
      <c r="F54" s="2"/>
      <c r="G54" s="33" t="s">
        <v>72</v>
      </c>
      <c r="H54" s="33" t="s">
        <v>73</v>
      </c>
      <c r="I54" s="33" t="s">
        <v>74</v>
      </c>
      <c r="J54" s="33" t="s">
        <v>58</v>
      </c>
      <c r="K54" s="2"/>
      <c r="L54" s="33" t="s">
        <v>72</v>
      </c>
      <c r="M54" s="33" t="s">
        <v>73</v>
      </c>
      <c r="N54" s="33" t="s">
        <v>74</v>
      </c>
      <c r="O54" s="33" t="s">
        <v>58</v>
      </c>
      <c r="P54" s="2"/>
      <c r="Q54" s="33" t="s">
        <v>72</v>
      </c>
      <c r="R54" s="33" t="s">
        <v>73</v>
      </c>
      <c r="S54" s="33" t="s">
        <v>74</v>
      </c>
      <c r="T54" s="33" t="s">
        <v>58</v>
      </c>
      <c r="U54" s="2"/>
      <c r="V54" s="33" t="s">
        <v>72</v>
      </c>
      <c r="W54" s="33" t="s">
        <v>73</v>
      </c>
      <c r="X54" s="33" t="s">
        <v>74</v>
      </c>
      <c r="Y54" s="33" t="s">
        <v>58</v>
      </c>
      <c r="Z54" s="2"/>
      <c r="AA54" s="33" t="s">
        <v>72</v>
      </c>
      <c r="AB54" s="33" t="s">
        <v>73</v>
      </c>
      <c r="AC54" s="33" t="s">
        <v>74</v>
      </c>
      <c r="AD54" s="33" t="s">
        <v>58</v>
      </c>
      <c r="AE54" s="2"/>
      <c r="AF54" s="2"/>
      <c r="AG54" s="2"/>
      <c r="AH54" s="2"/>
    </row>
    <row r="55" spans="1:34" ht="15.75" customHeight="1">
      <c r="A55" s="27"/>
      <c r="B55" s="49" t="s">
        <v>76</v>
      </c>
      <c r="C55" s="50">
        <v>540</v>
      </c>
      <c r="D55" s="84">
        <v>0.20370370370370369</v>
      </c>
      <c r="E55" s="52">
        <f>(C55*D55)</f>
        <v>110</v>
      </c>
      <c r="F55" s="2"/>
      <c r="G55" s="53" t="s">
        <v>82</v>
      </c>
      <c r="H55" s="54">
        <v>30</v>
      </c>
      <c r="I55" s="55">
        <f>'MATERIA PRIMA'!$F$24</f>
        <v>0.19</v>
      </c>
      <c r="J55" s="52">
        <f t="shared" ref="J55:J56" si="3">H55*I55</f>
        <v>5.7</v>
      </c>
      <c r="K55" s="2"/>
      <c r="L55" s="49" t="s">
        <v>88</v>
      </c>
      <c r="M55" s="57"/>
      <c r="N55" s="52"/>
      <c r="O55" s="52">
        <v>55</v>
      </c>
      <c r="P55" s="2"/>
      <c r="Q55" s="49" t="s">
        <v>91</v>
      </c>
      <c r="R55" s="50">
        <v>16</v>
      </c>
      <c r="S55" s="52">
        <f>'MATERIA PRIMA'!$F$12</f>
        <v>11.28747795414462</v>
      </c>
      <c r="T55" s="52">
        <f>(R55*S55)</f>
        <v>180.59964726631392</v>
      </c>
      <c r="U55" s="2"/>
      <c r="V55" s="49" t="s">
        <v>82</v>
      </c>
      <c r="W55" s="54">
        <v>30</v>
      </c>
      <c r="X55" s="60">
        <f>'MATERIA PRIMA'!$F$24</f>
        <v>0.19</v>
      </c>
      <c r="Y55" s="52">
        <f>(W55*X55)</f>
        <v>5.7</v>
      </c>
      <c r="Z55" s="2"/>
      <c r="AA55" s="49" t="s">
        <v>71</v>
      </c>
      <c r="AB55" s="49">
        <v>1</v>
      </c>
      <c r="AC55" s="52"/>
      <c r="AD55" s="52">
        <v>60</v>
      </c>
      <c r="AE55" s="2"/>
      <c r="AF55" s="2"/>
      <c r="AG55" s="2"/>
      <c r="AH55" s="2"/>
    </row>
    <row r="56" spans="1:34" ht="15.75" customHeight="1">
      <c r="A56" s="27"/>
      <c r="B56" s="49" t="s">
        <v>96</v>
      </c>
      <c r="C56" s="61">
        <v>24</v>
      </c>
      <c r="D56" s="52"/>
      <c r="E56" s="52">
        <v>200</v>
      </c>
      <c r="F56" s="2"/>
      <c r="G56" s="49" t="s">
        <v>100</v>
      </c>
      <c r="H56" s="57">
        <v>100</v>
      </c>
      <c r="I56" s="52">
        <f>'MATERIA PRIMA'!$F$8</f>
        <v>0.36</v>
      </c>
      <c r="J56" s="52">
        <f t="shared" si="3"/>
        <v>36</v>
      </c>
      <c r="K56" s="2"/>
      <c r="L56" s="49"/>
      <c r="M56" s="49"/>
      <c r="N56" s="52"/>
      <c r="O56" s="52"/>
      <c r="P56" s="2"/>
      <c r="Q56" s="49"/>
      <c r="R56" s="54"/>
      <c r="S56" s="52"/>
      <c r="T56" s="52"/>
      <c r="U56" s="2"/>
      <c r="V56" s="49" t="s">
        <v>103</v>
      </c>
      <c r="W56" s="49"/>
      <c r="X56" s="52"/>
      <c r="Y56" s="52">
        <v>20</v>
      </c>
      <c r="Z56" s="2"/>
      <c r="AA56" s="49" t="s">
        <v>103</v>
      </c>
      <c r="AB56" s="49"/>
      <c r="AC56" s="52"/>
      <c r="AD56" s="52">
        <v>10</v>
      </c>
      <c r="AE56" s="2"/>
      <c r="AF56" s="2"/>
      <c r="AG56" s="2"/>
      <c r="AH56" s="2"/>
    </row>
    <row r="57" spans="1:34" ht="15.75" customHeight="1">
      <c r="A57" s="27"/>
      <c r="B57" s="49" t="s">
        <v>107</v>
      </c>
      <c r="C57" s="49">
        <v>1</v>
      </c>
      <c r="D57" s="52"/>
      <c r="E57" s="52">
        <v>70</v>
      </c>
      <c r="F57" s="2"/>
      <c r="G57" s="49" t="s">
        <v>88</v>
      </c>
      <c r="H57" s="49"/>
      <c r="I57" s="52"/>
      <c r="J57" s="52">
        <v>25</v>
      </c>
      <c r="K57" s="2"/>
      <c r="L57" s="49"/>
      <c r="M57" s="49"/>
      <c r="N57" s="52"/>
      <c r="O57" s="52"/>
      <c r="P57" s="2"/>
      <c r="Q57" s="49"/>
      <c r="R57" s="49"/>
      <c r="S57" s="52"/>
      <c r="T57" s="52"/>
      <c r="U57" s="2"/>
      <c r="V57" s="49"/>
      <c r="W57" s="49"/>
      <c r="X57" s="52"/>
      <c r="Y57" s="52"/>
      <c r="Z57" s="2"/>
      <c r="AA57" s="49"/>
      <c r="AB57" s="49"/>
      <c r="AC57" s="52"/>
      <c r="AD57" s="52"/>
      <c r="AE57" s="2"/>
      <c r="AF57" s="2"/>
      <c r="AG57" s="2"/>
      <c r="AH57" s="2"/>
    </row>
    <row r="58" spans="1:34" ht="15.75" customHeight="1">
      <c r="A58" s="27"/>
      <c r="B58" s="49"/>
      <c r="C58" s="49"/>
      <c r="D58" s="52"/>
      <c r="E58" s="52"/>
      <c r="F58" s="2"/>
      <c r="G58" s="49"/>
      <c r="H58" s="49"/>
      <c r="I58" s="52"/>
      <c r="J58" s="52"/>
      <c r="K58" s="2"/>
      <c r="L58" s="49"/>
      <c r="M58" s="49"/>
      <c r="N58" s="52"/>
      <c r="O58" s="52"/>
      <c r="P58" s="2"/>
      <c r="Q58" s="49"/>
      <c r="R58" s="49"/>
      <c r="S58" s="52"/>
      <c r="T58" s="52"/>
      <c r="U58" s="2"/>
      <c r="V58" s="49"/>
      <c r="W58" s="49"/>
      <c r="X58" s="52"/>
      <c r="Y58" s="52"/>
      <c r="Z58" s="2"/>
      <c r="AA58" s="49"/>
      <c r="AB58" s="49"/>
      <c r="AC58" s="52"/>
      <c r="AD58" s="52"/>
      <c r="AE58" s="2"/>
      <c r="AF58" s="2"/>
      <c r="AG58" s="2"/>
      <c r="AH58" s="2"/>
    </row>
    <row r="59" spans="1:34" ht="15.75" customHeight="1">
      <c r="A59" s="27"/>
      <c r="B59" s="49"/>
      <c r="C59" s="49"/>
      <c r="D59" s="52"/>
      <c r="E59" s="52"/>
      <c r="F59" s="2"/>
      <c r="G59" s="49"/>
      <c r="H59" s="49"/>
      <c r="I59" s="52"/>
      <c r="J59" s="52"/>
      <c r="K59" s="2"/>
      <c r="L59" s="49"/>
      <c r="M59" s="49"/>
      <c r="N59" s="52"/>
      <c r="O59" s="52"/>
      <c r="P59" s="2"/>
      <c r="Q59" s="49"/>
      <c r="R59" s="49"/>
      <c r="S59" s="52"/>
      <c r="T59" s="52"/>
      <c r="U59" s="2"/>
      <c r="V59" s="49"/>
      <c r="W59" s="49"/>
      <c r="X59" s="52"/>
      <c r="Y59" s="52"/>
      <c r="Z59" s="2"/>
      <c r="AA59" s="49"/>
      <c r="AB59" s="49"/>
      <c r="AC59" s="52"/>
      <c r="AD59" s="52"/>
      <c r="AE59" s="2"/>
      <c r="AF59" s="2"/>
      <c r="AG59" s="2"/>
      <c r="AH59" s="2"/>
    </row>
    <row r="60" spans="1:34" ht="15.75" customHeight="1">
      <c r="A60" s="27"/>
      <c r="B60" s="49"/>
      <c r="C60" s="49"/>
      <c r="D60" s="52"/>
      <c r="E60" s="52"/>
      <c r="F60" s="2"/>
      <c r="G60" s="49"/>
      <c r="H60" s="49"/>
      <c r="I60" s="52"/>
      <c r="J60" s="52"/>
      <c r="K60" s="2"/>
      <c r="L60" s="49"/>
      <c r="M60" s="49"/>
      <c r="N60" s="52"/>
      <c r="O60" s="52"/>
      <c r="P60" s="2"/>
      <c r="Q60" s="49"/>
      <c r="R60" s="49"/>
      <c r="S60" s="52"/>
      <c r="T60" s="52"/>
      <c r="U60" s="2"/>
      <c r="V60" s="49"/>
      <c r="W60" s="49"/>
      <c r="X60" s="52"/>
      <c r="Y60" s="52"/>
      <c r="Z60" s="2"/>
      <c r="AA60" s="49"/>
      <c r="AB60" s="49"/>
      <c r="AC60" s="52"/>
      <c r="AD60" s="52"/>
      <c r="AE60" s="2"/>
      <c r="AF60" s="2"/>
      <c r="AG60" s="2"/>
      <c r="AH60" s="2"/>
    </row>
    <row r="61" spans="1:34" ht="15.75" customHeight="1">
      <c r="A61" s="27"/>
      <c r="B61" s="49"/>
      <c r="C61" s="49"/>
      <c r="D61" s="52"/>
      <c r="E61" s="52"/>
      <c r="F61" s="2"/>
      <c r="G61" s="49"/>
      <c r="H61" s="49"/>
      <c r="I61" s="52"/>
      <c r="J61" s="52"/>
      <c r="K61" s="2"/>
      <c r="L61" s="49"/>
      <c r="M61" s="49"/>
      <c r="N61" s="52"/>
      <c r="O61" s="52"/>
      <c r="P61" s="2"/>
      <c r="Q61" s="49"/>
      <c r="R61" s="49"/>
      <c r="S61" s="52"/>
      <c r="T61" s="52"/>
      <c r="U61" s="2"/>
      <c r="V61" s="49"/>
      <c r="W61" s="49"/>
      <c r="X61" s="52"/>
      <c r="Y61" s="52"/>
      <c r="Z61" s="2"/>
      <c r="AA61" s="49"/>
      <c r="AB61" s="49"/>
      <c r="AC61" s="52"/>
      <c r="AD61" s="52"/>
      <c r="AE61" s="2"/>
      <c r="AF61" s="2"/>
      <c r="AG61" s="2"/>
      <c r="AH61" s="2"/>
    </row>
    <row r="62" spans="1:34" ht="15.75" customHeight="1">
      <c r="A62" s="27"/>
      <c r="B62" s="346" t="s">
        <v>58</v>
      </c>
      <c r="C62" s="334"/>
      <c r="D62" s="332"/>
      <c r="E62" s="52">
        <f>SUM(E55:E61)</f>
        <v>380</v>
      </c>
      <c r="F62" s="2"/>
      <c r="G62" s="347" t="s">
        <v>58</v>
      </c>
      <c r="H62" s="334"/>
      <c r="I62" s="332"/>
      <c r="J62" s="52">
        <f>SUM(J55:J61)</f>
        <v>66.7</v>
      </c>
      <c r="K62" s="2"/>
      <c r="L62" s="347" t="s">
        <v>58</v>
      </c>
      <c r="M62" s="334"/>
      <c r="N62" s="332"/>
      <c r="O62" s="52">
        <f>SUM(O55:O61)</f>
        <v>55</v>
      </c>
      <c r="P62" s="2"/>
      <c r="Q62" s="347" t="s">
        <v>58</v>
      </c>
      <c r="R62" s="334"/>
      <c r="S62" s="332"/>
      <c r="T62" s="52">
        <f>SUM(T55:T61)</f>
        <v>180.59964726631392</v>
      </c>
      <c r="U62" s="2"/>
      <c r="V62" s="347" t="s">
        <v>58</v>
      </c>
      <c r="W62" s="334"/>
      <c r="X62" s="332"/>
      <c r="Y62" s="52">
        <f>SUM(Y55:Y61)</f>
        <v>25.7</v>
      </c>
      <c r="Z62" s="2"/>
      <c r="AA62" s="347" t="s">
        <v>58</v>
      </c>
      <c r="AB62" s="334"/>
      <c r="AC62" s="332"/>
      <c r="AD62" s="52">
        <f>SUM(AD55:AD61)</f>
        <v>70</v>
      </c>
      <c r="AE62" s="2"/>
      <c r="AF62" s="2"/>
      <c r="AG62" s="2"/>
      <c r="AH62" s="2"/>
    </row>
    <row r="63" spans="1:34" ht="15.75" customHeight="1">
      <c r="A63" s="2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5.75" customHeight="1">
      <c r="A64" s="2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5.75" customHeight="1">
      <c r="A65" s="2"/>
      <c r="B65" s="32" t="s">
        <v>201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160"/>
      <c r="AB66" s="2"/>
      <c r="AC66" s="2"/>
      <c r="AD66" s="2"/>
      <c r="AE66" s="2"/>
      <c r="AF66" s="2"/>
      <c r="AG66" s="2"/>
      <c r="AH66" s="2"/>
    </row>
    <row r="67" spans="1:34" ht="15.75" customHeight="1">
      <c r="A67" s="27"/>
      <c r="B67" s="348" t="s">
        <v>64</v>
      </c>
      <c r="C67" s="334"/>
      <c r="D67" s="334"/>
      <c r="E67" s="332"/>
      <c r="F67" s="2"/>
      <c r="G67" s="348" t="s">
        <v>66</v>
      </c>
      <c r="H67" s="334"/>
      <c r="I67" s="334"/>
      <c r="J67" s="332"/>
      <c r="K67" s="2"/>
      <c r="L67" s="348" t="s">
        <v>67</v>
      </c>
      <c r="M67" s="334"/>
      <c r="N67" s="334"/>
      <c r="O67" s="332"/>
      <c r="P67" s="2"/>
      <c r="Q67" s="348" t="s">
        <v>68</v>
      </c>
      <c r="R67" s="334"/>
      <c r="S67" s="334"/>
      <c r="T67" s="332"/>
      <c r="U67" s="2"/>
      <c r="V67" s="348" t="s">
        <v>69</v>
      </c>
      <c r="W67" s="334"/>
      <c r="X67" s="334"/>
      <c r="Y67" s="332"/>
      <c r="Z67" s="2"/>
      <c r="AA67" s="348" t="s">
        <v>71</v>
      </c>
      <c r="AB67" s="334"/>
      <c r="AC67" s="334"/>
      <c r="AD67" s="332"/>
      <c r="AE67" s="2"/>
      <c r="AF67" s="2"/>
      <c r="AG67" s="2"/>
      <c r="AH67" s="2"/>
    </row>
    <row r="68" spans="1:34" ht="15.75" customHeight="1">
      <c r="A68" s="27"/>
      <c r="B68" s="163" t="s">
        <v>72</v>
      </c>
      <c r="C68" s="163" t="s">
        <v>73</v>
      </c>
      <c r="D68" s="163" t="s">
        <v>74</v>
      </c>
      <c r="E68" s="163" t="s">
        <v>58</v>
      </c>
      <c r="F68" s="2"/>
      <c r="G68" s="163" t="s">
        <v>72</v>
      </c>
      <c r="H68" s="163" t="s">
        <v>73</v>
      </c>
      <c r="I68" s="163" t="s">
        <v>74</v>
      </c>
      <c r="J68" s="163" t="s">
        <v>58</v>
      </c>
      <c r="K68" s="2"/>
      <c r="L68" s="163" t="s">
        <v>72</v>
      </c>
      <c r="M68" s="163" t="s">
        <v>73</v>
      </c>
      <c r="N68" s="163" t="s">
        <v>74</v>
      </c>
      <c r="O68" s="163" t="s">
        <v>58</v>
      </c>
      <c r="P68" s="2"/>
      <c r="Q68" s="163" t="s">
        <v>72</v>
      </c>
      <c r="R68" s="163" t="s">
        <v>73</v>
      </c>
      <c r="S68" s="163" t="s">
        <v>74</v>
      </c>
      <c r="T68" s="163" t="s">
        <v>58</v>
      </c>
      <c r="U68" s="2"/>
      <c r="V68" s="163" t="s">
        <v>72</v>
      </c>
      <c r="W68" s="163" t="s">
        <v>73</v>
      </c>
      <c r="X68" s="163" t="s">
        <v>74</v>
      </c>
      <c r="Y68" s="163" t="s">
        <v>58</v>
      </c>
      <c r="Z68" s="2"/>
      <c r="AA68" s="163" t="s">
        <v>72</v>
      </c>
      <c r="AB68" s="163" t="s">
        <v>73</v>
      </c>
      <c r="AC68" s="163" t="s">
        <v>74</v>
      </c>
      <c r="AD68" s="163" t="s">
        <v>58</v>
      </c>
      <c r="AE68" s="2"/>
      <c r="AF68" s="2"/>
      <c r="AG68" s="2"/>
      <c r="AH68" s="2"/>
    </row>
    <row r="69" spans="1:34" ht="15.75" customHeight="1">
      <c r="A69" s="27"/>
      <c r="B69" s="49" t="s">
        <v>76</v>
      </c>
      <c r="C69" s="50">
        <v>800</v>
      </c>
      <c r="D69" s="84">
        <v>0.20370370370370369</v>
      </c>
      <c r="E69" s="52">
        <f>(C69*D69)</f>
        <v>162.96296296296296</v>
      </c>
      <c r="F69" s="2"/>
      <c r="G69" s="53" t="s">
        <v>82</v>
      </c>
      <c r="H69" s="54">
        <v>40</v>
      </c>
      <c r="I69" s="55">
        <f>'MATERIA PRIMA'!$F$24</f>
        <v>0.19</v>
      </c>
      <c r="J69" s="52">
        <f t="shared" ref="J69:J70" si="4">H69*I69</f>
        <v>7.6</v>
      </c>
      <c r="K69" s="2"/>
      <c r="L69" s="49" t="s">
        <v>88</v>
      </c>
      <c r="M69" s="57"/>
      <c r="N69" s="52"/>
      <c r="O69" s="52">
        <v>70</v>
      </c>
      <c r="P69" s="2"/>
      <c r="Q69" s="49" t="s">
        <v>91</v>
      </c>
      <c r="R69" s="50">
        <v>20</v>
      </c>
      <c r="S69" s="52">
        <f>'MATERIA PRIMA'!$F$12</f>
        <v>11.28747795414462</v>
      </c>
      <c r="T69" s="52">
        <f>(R69*S69)</f>
        <v>225.7495590828924</v>
      </c>
      <c r="U69" s="2"/>
      <c r="V69" s="49" t="s">
        <v>82</v>
      </c>
      <c r="W69" s="54">
        <v>30</v>
      </c>
      <c r="X69" s="60">
        <f>'MATERIA PRIMA'!$F$24</f>
        <v>0.19</v>
      </c>
      <c r="Y69" s="52">
        <f>(W69*X69)</f>
        <v>5.7</v>
      </c>
      <c r="Z69" s="2"/>
      <c r="AA69" s="49" t="s">
        <v>71</v>
      </c>
      <c r="AB69" s="49">
        <v>1</v>
      </c>
      <c r="AC69" s="52"/>
      <c r="AD69" s="52">
        <v>60</v>
      </c>
      <c r="AE69" s="2"/>
      <c r="AF69" s="2"/>
      <c r="AG69" s="2"/>
      <c r="AH69" s="2"/>
    </row>
    <row r="70" spans="1:34" ht="15.75" customHeight="1">
      <c r="A70" s="27"/>
      <c r="B70" s="49" t="s">
        <v>96</v>
      </c>
      <c r="C70" s="61">
        <v>24</v>
      </c>
      <c r="D70" s="52"/>
      <c r="E70" s="52">
        <v>200</v>
      </c>
      <c r="F70" s="2"/>
      <c r="G70" s="49" t="s">
        <v>100</v>
      </c>
      <c r="H70" s="57">
        <v>150</v>
      </c>
      <c r="I70" s="52">
        <f>'MATERIA PRIMA'!$F$8</f>
        <v>0.36</v>
      </c>
      <c r="J70" s="52">
        <f t="shared" si="4"/>
        <v>54</v>
      </c>
      <c r="K70" s="2"/>
      <c r="L70" s="49"/>
      <c r="M70" s="49"/>
      <c r="N70" s="52"/>
      <c r="O70" s="52"/>
      <c r="P70" s="2"/>
      <c r="Q70" s="49"/>
      <c r="R70" s="54"/>
      <c r="S70" s="52"/>
      <c r="T70" s="52"/>
      <c r="U70" s="2"/>
      <c r="V70" s="49" t="s">
        <v>103</v>
      </c>
      <c r="W70" s="49"/>
      <c r="X70" s="52"/>
      <c r="Y70" s="52">
        <v>20</v>
      </c>
      <c r="Z70" s="2"/>
      <c r="AA70" s="49" t="s">
        <v>103</v>
      </c>
      <c r="AB70" s="49"/>
      <c r="AC70" s="52"/>
      <c r="AD70" s="52">
        <v>10</v>
      </c>
      <c r="AE70" s="2"/>
      <c r="AF70" s="2"/>
      <c r="AG70" s="2"/>
      <c r="AH70" s="2"/>
    </row>
    <row r="71" spans="1:34" ht="15.75" customHeight="1">
      <c r="A71" s="27"/>
      <c r="B71" s="49" t="s">
        <v>107</v>
      </c>
      <c r="C71" s="49">
        <v>1</v>
      </c>
      <c r="D71" s="52"/>
      <c r="E71" s="52">
        <v>70</v>
      </c>
      <c r="F71" s="2"/>
      <c r="G71" s="49" t="s">
        <v>88</v>
      </c>
      <c r="H71" s="49"/>
      <c r="I71" s="52"/>
      <c r="J71" s="52">
        <v>30</v>
      </c>
      <c r="K71" s="2"/>
      <c r="L71" s="49"/>
      <c r="M71" s="49"/>
      <c r="N71" s="52"/>
      <c r="O71" s="52"/>
      <c r="P71" s="2"/>
      <c r="Q71" s="49"/>
      <c r="R71" s="49"/>
      <c r="S71" s="52"/>
      <c r="T71" s="52"/>
      <c r="U71" s="2"/>
      <c r="V71" s="49"/>
      <c r="W71" s="49"/>
      <c r="X71" s="52"/>
      <c r="Y71" s="52"/>
      <c r="Z71" s="2"/>
      <c r="AA71" s="49"/>
      <c r="AB71" s="49"/>
      <c r="AC71" s="52"/>
      <c r="AD71" s="52"/>
      <c r="AE71" s="2"/>
      <c r="AF71" s="2"/>
      <c r="AG71" s="2"/>
      <c r="AH71" s="2"/>
    </row>
    <row r="72" spans="1:34" ht="15.75" customHeight="1">
      <c r="A72" s="27"/>
      <c r="B72" s="49"/>
      <c r="C72" s="49"/>
      <c r="D72" s="52"/>
      <c r="E72" s="52"/>
      <c r="F72" s="2"/>
      <c r="G72" s="49"/>
      <c r="H72" s="49"/>
      <c r="I72" s="52"/>
      <c r="J72" s="52"/>
      <c r="K72" s="2"/>
      <c r="L72" s="49"/>
      <c r="M72" s="49"/>
      <c r="N72" s="52"/>
      <c r="O72" s="52"/>
      <c r="P72" s="2"/>
      <c r="Q72" s="49"/>
      <c r="R72" s="49"/>
      <c r="S72" s="52"/>
      <c r="T72" s="52"/>
      <c r="U72" s="2"/>
      <c r="V72" s="49"/>
      <c r="W72" s="49"/>
      <c r="X72" s="52"/>
      <c r="Y72" s="52"/>
      <c r="Z72" s="2"/>
      <c r="AA72" s="49"/>
      <c r="AB72" s="49"/>
      <c r="AC72" s="52"/>
      <c r="AD72" s="52"/>
      <c r="AE72" s="2"/>
      <c r="AF72" s="2"/>
      <c r="AG72" s="2"/>
      <c r="AH72" s="2"/>
    </row>
    <row r="73" spans="1:34" ht="15.75" customHeight="1">
      <c r="A73" s="27"/>
      <c r="B73" s="49"/>
      <c r="C73" s="49"/>
      <c r="D73" s="52"/>
      <c r="E73" s="52"/>
      <c r="F73" s="2"/>
      <c r="G73" s="49"/>
      <c r="H73" s="49"/>
      <c r="I73" s="52"/>
      <c r="J73" s="52"/>
      <c r="K73" s="2"/>
      <c r="L73" s="49"/>
      <c r="M73" s="49"/>
      <c r="N73" s="52"/>
      <c r="O73" s="52"/>
      <c r="P73" s="2"/>
      <c r="Q73" s="49"/>
      <c r="R73" s="49"/>
      <c r="S73" s="52"/>
      <c r="T73" s="52"/>
      <c r="U73" s="2"/>
      <c r="V73" s="49"/>
      <c r="W73" s="49"/>
      <c r="X73" s="52"/>
      <c r="Y73" s="52"/>
      <c r="Z73" s="2"/>
      <c r="AA73" s="49"/>
      <c r="AB73" s="49"/>
      <c r="AC73" s="52"/>
      <c r="AD73" s="52"/>
      <c r="AE73" s="2"/>
      <c r="AF73" s="2"/>
      <c r="AG73" s="2"/>
      <c r="AH73" s="2"/>
    </row>
    <row r="74" spans="1:34" ht="15.75" customHeight="1">
      <c r="A74" s="27"/>
      <c r="B74" s="49"/>
      <c r="C74" s="49"/>
      <c r="D74" s="52"/>
      <c r="E74" s="52"/>
      <c r="F74" s="2"/>
      <c r="G74" s="49"/>
      <c r="H74" s="49"/>
      <c r="I74" s="52"/>
      <c r="J74" s="52"/>
      <c r="K74" s="2"/>
      <c r="L74" s="49"/>
      <c r="M74" s="49"/>
      <c r="N74" s="52"/>
      <c r="O74" s="52"/>
      <c r="P74" s="2"/>
      <c r="Q74" s="49"/>
      <c r="R74" s="49"/>
      <c r="S74" s="52"/>
      <c r="T74" s="52"/>
      <c r="U74" s="2"/>
      <c r="V74" s="49"/>
      <c r="W74" s="49"/>
      <c r="X74" s="52"/>
      <c r="Y74" s="52"/>
      <c r="Z74" s="2"/>
      <c r="AA74" s="49"/>
      <c r="AB74" s="49"/>
      <c r="AC74" s="52"/>
      <c r="AD74" s="52"/>
      <c r="AE74" s="2"/>
      <c r="AF74" s="2"/>
      <c r="AG74" s="2"/>
      <c r="AH74" s="2"/>
    </row>
    <row r="75" spans="1:34" ht="15.75" customHeight="1">
      <c r="A75" s="27"/>
      <c r="B75" s="49"/>
      <c r="C75" s="49"/>
      <c r="D75" s="52"/>
      <c r="E75" s="52"/>
      <c r="F75" s="2"/>
      <c r="G75" s="49"/>
      <c r="H75" s="49"/>
      <c r="I75" s="52"/>
      <c r="J75" s="52"/>
      <c r="K75" s="2"/>
      <c r="L75" s="49"/>
      <c r="M75" s="49"/>
      <c r="N75" s="52"/>
      <c r="O75" s="52"/>
      <c r="P75" s="2"/>
      <c r="Q75" s="49"/>
      <c r="R75" s="49"/>
      <c r="S75" s="52"/>
      <c r="T75" s="52"/>
      <c r="U75" s="2"/>
      <c r="V75" s="49"/>
      <c r="W75" s="49"/>
      <c r="X75" s="52"/>
      <c r="Y75" s="52"/>
      <c r="Z75" s="2"/>
      <c r="AA75" s="49"/>
      <c r="AB75" s="49"/>
      <c r="AC75" s="52"/>
      <c r="AD75" s="52"/>
      <c r="AE75" s="2"/>
      <c r="AF75" s="2"/>
      <c r="AG75" s="2"/>
      <c r="AH75" s="2"/>
    </row>
    <row r="76" spans="1:34" ht="15.75" customHeight="1">
      <c r="A76" s="27"/>
      <c r="B76" s="346" t="s">
        <v>58</v>
      </c>
      <c r="C76" s="334"/>
      <c r="D76" s="332"/>
      <c r="E76" s="52">
        <f>SUM(E69:E75)</f>
        <v>432.96296296296293</v>
      </c>
      <c r="F76" s="2"/>
      <c r="G76" s="347" t="s">
        <v>58</v>
      </c>
      <c r="H76" s="334"/>
      <c r="I76" s="332"/>
      <c r="J76" s="52">
        <f>SUM(J69:J75)</f>
        <v>91.6</v>
      </c>
      <c r="K76" s="2"/>
      <c r="L76" s="347" t="s">
        <v>58</v>
      </c>
      <c r="M76" s="334"/>
      <c r="N76" s="332"/>
      <c r="O76" s="52">
        <f>SUM(O69:O75)</f>
        <v>70</v>
      </c>
      <c r="P76" s="2"/>
      <c r="Q76" s="347" t="s">
        <v>58</v>
      </c>
      <c r="R76" s="334"/>
      <c r="S76" s="332"/>
      <c r="T76" s="52">
        <f>SUM(T69:T75)</f>
        <v>225.7495590828924</v>
      </c>
      <c r="U76" s="2"/>
      <c r="V76" s="347" t="s">
        <v>58</v>
      </c>
      <c r="W76" s="334"/>
      <c r="X76" s="332"/>
      <c r="Y76" s="52">
        <f>SUM(Y69:Y75)</f>
        <v>25.7</v>
      </c>
      <c r="Z76" s="2"/>
      <c r="AA76" s="347" t="s">
        <v>58</v>
      </c>
      <c r="AB76" s="334"/>
      <c r="AC76" s="332"/>
      <c r="AD76" s="52">
        <f>SUM(AD69:AD75)</f>
        <v>70</v>
      </c>
      <c r="AE76" s="2"/>
      <c r="AF76" s="2"/>
      <c r="AG76" s="2"/>
      <c r="AH76" s="2"/>
    </row>
    <row r="77" spans="1:3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5.75" customHeight="1">
      <c r="A79" s="2"/>
      <c r="B79" s="32" t="s">
        <v>84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5.75" customHeight="1">
      <c r="A81" s="27"/>
      <c r="B81" s="348" t="s">
        <v>64</v>
      </c>
      <c r="C81" s="334"/>
      <c r="D81" s="334"/>
      <c r="E81" s="332"/>
      <c r="F81" s="2"/>
      <c r="G81" s="348" t="s">
        <v>66</v>
      </c>
      <c r="H81" s="334"/>
      <c r="I81" s="334"/>
      <c r="J81" s="332"/>
      <c r="K81" s="2"/>
      <c r="L81" s="348" t="s">
        <v>68</v>
      </c>
      <c r="M81" s="334"/>
      <c r="N81" s="334"/>
      <c r="O81" s="332"/>
    </row>
    <row r="82" spans="1:34" ht="15.75" customHeight="1">
      <c r="A82" s="27"/>
      <c r="B82" s="163" t="s">
        <v>72</v>
      </c>
      <c r="C82" s="163" t="s">
        <v>73</v>
      </c>
      <c r="D82" s="163" t="s">
        <v>74</v>
      </c>
      <c r="E82" s="163" t="s">
        <v>58</v>
      </c>
      <c r="F82" s="2"/>
      <c r="G82" s="163" t="s">
        <v>72</v>
      </c>
      <c r="H82" s="163" t="s">
        <v>73</v>
      </c>
      <c r="I82" s="163" t="s">
        <v>74</v>
      </c>
      <c r="J82" s="163" t="s">
        <v>58</v>
      </c>
      <c r="K82" s="2"/>
      <c r="L82" s="163" t="s">
        <v>72</v>
      </c>
      <c r="M82" s="163" t="s">
        <v>73</v>
      </c>
      <c r="N82" s="163" t="s">
        <v>74</v>
      </c>
      <c r="O82" s="163" t="s">
        <v>58</v>
      </c>
    </row>
    <row r="83" spans="1:34" ht="15.75" customHeight="1">
      <c r="A83" s="27"/>
      <c r="B83" s="49" t="s">
        <v>76</v>
      </c>
      <c r="C83" s="50">
        <v>280</v>
      </c>
      <c r="D83" s="52">
        <f>'MATERIA PRIMA'!F15</f>
        <v>0.18518518518518517</v>
      </c>
      <c r="E83" s="52">
        <f>(C83*D83)</f>
        <v>51.851851851851848</v>
      </c>
      <c r="F83" s="2"/>
      <c r="G83" s="53" t="s">
        <v>82</v>
      </c>
      <c r="H83" s="54">
        <v>20</v>
      </c>
      <c r="I83" s="55">
        <f>'MATERIA PRIMA'!$F$24</f>
        <v>0.19</v>
      </c>
      <c r="J83" s="52">
        <f t="shared" ref="J83:J84" si="5">H83*I83</f>
        <v>3.8</v>
      </c>
      <c r="K83" s="2"/>
      <c r="L83" s="49" t="s">
        <v>91</v>
      </c>
      <c r="M83" s="50">
        <v>12</v>
      </c>
      <c r="N83" s="52">
        <f>'MATERIA PRIMA'!$F$12</f>
        <v>11.28747795414462</v>
      </c>
      <c r="O83" s="52">
        <f>(M83*N83)</f>
        <v>135.44973544973544</v>
      </c>
    </row>
    <row r="84" spans="1:34" ht="15.75" customHeight="1">
      <c r="A84" s="27"/>
      <c r="B84" s="49" t="s">
        <v>96</v>
      </c>
      <c r="C84" s="61">
        <v>24</v>
      </c>
      <c r="D84" s="52"/>
      <c r="E84" s="52">
        <v>200</v>
      </c>
      <c r="F84" s="2"/>
      <c r="G84" s="49" t="s">
        <v>100</v>
      </c>
      <c r="H84" s="57">
        <v>60</v>
      </c>
      <c r="I84" s="52">
        <f>'MATERIA PRIMA'!$F$8</f>
        <v>0.36</v>
      </c>
      <c r="J84" s="52">
        <f t="shared" si="5"/>
        <v>21.599999999999998</v>
      </c>
      <c r="K84" s="2"/>
      <c r="L84" s="49"/>
      <c r="M84" s="54"/>
      <c r="N84" s="52"/>
      <c r="O84" s="52"/>
    </row>
    <row r="85" spans="1:34" ht="15.75" customHeight="1">
      <c r="A85" s="27"/>
      <c r="B85" s="49" t="s">
        <v>107</v>
      </c>
      <c r="C85" s="49">
        <v>1</v>
      </c>
      <c r="D85" s="52"/>
      <c r="E85" s="52">
        <v>70</v>
      </c>
      <c r="F85" s="2"/>
      <c r="G85" s="49" t="s">
        <v>88</v>
      </c>
      <c r="H85" s="49"/>
      <c r="I85" s="52"/>
      <c r="J85" s="52">
        <v>20</v>
      </c>
      <c r="K85" s="2"/>
      <c r="L85" s="49"/>
      <c r="M85" s="49"/>
      <c r="N85" s="52"/>
      <c r="O85" s="52"/>
    </row>
    <row r="86" spans="1:34" ht="15.75" customHeight="1">
      <c r="A86" s="27"/>
      <c r="B86" s="49"/>
      <c r="C86" s="49"/>
      <c r="D86" s="52"/>
      <c r="E86" s="52"/>
      <c r="F86" s="2"/>
      <c r="G86" s="49"/>
      <c r="H86" s="49"/>
      <c r="I86" s="52"/>
      <c r="J86" s="52"/>
      <c r="K86" s="2"/>
      <c r="L86" s="49"/>
      <c r="M86" s="49"/>
      <c r="N86" s="52"/>
      <c r="O86" s="52"/>
    </row>
    <row r="87" spans="1:34" ht="15.75" customHeight="1">
      <c r="A87" s="27"/>
      <c r="B87" s="49"/>
      <c r="C87" s="49"/>
      <c r="D87" s="52"/>
      <c r="E87" s="52"/>
      <c r="F87" s="2"/>
      <c r="G87" s="49"/>
      <c r="H87" s="49"/>
      <c r="I87" s="52"/>
      <c r="J87" s="52"/>
      <c r="K87" s="2"/>
      <c r="L87" s="49"/>
      <c r="M87" s="49"/>
      <c r="N87" s="52"/>
      <c r="O87" s="52"/>
    </row>
    <row r="88" spans="1:34" ht="15.75" customHeight="1">
      <c r="A88" s="27"/>
      <c r="B88" s="49"/>
      <c r="C88" s="49"/>
      <c r="D88" s="52"/>
      <c r="E88" s="52"/>
      <c r="F88" s="2"/>
      <c r="G88" s="49"/>
      <c r="H88" s="49"/>
      <c r="I88" s="52"/>
      <c r="J88" s="52"/>
      <c r="K88" s="2"/>
      <c r="L88" s="49"/>
      <c r="M88" s="49"/>
      <c r="N88" s="52"/>
      <c r="O88" s="52"/>
    </row>
    <row r="89" spans="1:34" ht="15.75" customHeight="1">
      <c r="A89" s="27"/>
      <c r="B89" s="49"/>
      <c r="C89" s="49"/>
      <c r="D89" s="52"/>
      <c r="E89" s="52"/>
      <c r="F89" s="2"/>
      <c r="G89" s="49"/>
      <c r="H89" s="49"/>
      <c r="I89" s="52"/>
      <c r="J89" s="52"/>
      <c r="K89" s="2"/>
      <c r="L89" s="49"/>
      <c r="M89" s="49"/>
      <c r="N89" s="52"/>
      <c r="O89" s="52"/>
    </row>
    <row r="90" spans="1:34" ht="15.75" customHeight="1">
      <c r="A90" s="27"/>
      <c r="B90" s="346" t="s">
        <v>58</v>
      </c>
      <c r="C90" s="334"/>
      <c r="D90" s="332"/>
      <c r="E90" s="52">
        <f>SUM(E83:E89)</f>
        <v>321.85185185185185</v>
      </c>
      <c r="F90" s="2"/>
      <c r="G90" s="347" t="s">
        <v>58</v>
      </c>
      <c r="H90" s="334"/>
      <c r="I90" s="332"/>
      <c r="J90" s="52">
        <f>SUM(J83:J89)</f>
        <v>45.4</v>
      </c>
      <c r="K90" s="2"/>
      <c r="L90" s="347" t="s">
        <v>58</v>
      </c>
      <c r="M90" s="334"/>
      <c r="N90" s="332"/>
      <c r="O90" s="52">
        <f>SUM(O83:O89)</f>
        <v>135.44973544973544</v>
      </c>
    </row>
    <row r="91" spans="1:3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5.75" customHeight="1"/>
    <row r="94" spans="1:34" ht="15.75" customHeight="1"/>
    <row r="95" spans="1:34" ht="15.75" customHeight="1"/>
    <row r="96" spans="1:3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B81:E81"/>
    <mergeCell ref="G81:J81"/>
    <mergeCell ref="L81:O81"/>
    <mergeCell ref="B90:D90"/>
    <mergeCell ref="G90:I90"/>
    <mergeCell ref="L90:N90"/>
    <mergeCell ref="AA34:AC34"/>
    <mergeCell ref="Q48:S48"/>
    <mergeCell ref="V48:X48"/>
    <mergeCell ref="B39:E39"/>
    <mergeCell ref="G39:J39"/>
    <mergeCell ref="L39:O39"/>
    <mergeCell ref="Q39:T39"/>
    <mergeCell ref="V39:Y39"/>
    <mergeCell ref="AA39:AD39"/>
    <mergeCell ref="B48:D48"/>
    <mergeCell ref="AA48:AC48"/>
    <mergeCell ref="G48:I48"/>
    <mergeCell ref="L48:N48"/>
    <mergeCell ref="AA11:AD11"/>
    <mergeCell ref="B20:D20"/>
    <mergeCell ref="AA20:AC20"/>
    <mergeCell ref="G20:I20"/>
    <mergeCell ref="L20:N20"/>
    <mergeCell ref="B11:E11"/>
    <mergeCell ref="G11:J11"/>
    <mergeCell ref="L11:O11"/>
    <mergeCell ref="Q11:T11"/>
    <mergeCell ref="V11:Y11"/>
    <mergeCell ref="AA67:AD67"/>
    <mergeCell ref="B76:D76"/>
    <mergeCell ref="AA76:AC76"/>
    <mergeCell ref="Q20:S20"/>
    <mergeCell ref="V20:X20"/>
    <mergeCell ref="G25:J25"/>
    <mergeCell ref="L25:O25"/>
    <mergeCell ref="Q25:T25"/>
    <mergeCell ref="V25:Y25"/>
    <mergeCell ref="AA25:AD25"/>
    <mergeCell ref="B25:E25"/>
    <mergeCell ref="B34:D34"/>
    <mergeCell ref="G34:I34"/>
    <mergeCell ref="L34:N34"/>
    <mergeCell ref="Q34:S34"/>
    <mergeCell ref="V34:X34"/>
    <mergeCell ref="Q76:S76"/>
    <mergeCell ref="V76:X76"/>
    <mergeCell ref="B67:E67"/>
    <mergeCell ref="G67:J67"/>
    <mergeCell ref="L67:O67"/>
    <mergeCell ref="Q67:T67"/>
    <mergeCell ref="V67:Y67"/>
    <mergeCell ref="G76:I76"/>
    <mergeCell ref="L76:N76"/>
    <mergeCell ref="V53:Y53"/>
    <mergeCell ref="AA53:AD53"/>
    <mergeCell ref="B53:E53"/>
    <mergeCell ref="B62:D62"/>
    <mergeCell ref="G62:I62"/>
    <mergeCell ref="L62:N62"/>
    <mergeCell ref="Q62:S62"/>
    <mergeCell ref="V62:X62"/>
    <mergeCell ref="AA62:AC62"/>
    <mergeCell ref="G53:J53"/>
    <mergeCell ref="L53:O53"/>
    <mergeCell ref="Q53:T53"/>
  </mergeCells>
  <conditionalFormatting sqref="D13">
    <cfRule type="notContainsBlanks" dxfId="0" priority="1">
      <formula>LEN(TRIM(D13))&gt;0</formula>
    </cfRule>
  </conditionalFormatting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6"/>
  <sheetViews>
    <sheetView workbookViewId="0">
      <selection activeCell="C7" sqref="C7"/>
    </sheetView>
  </sheetViews>
  <sheetFormatPr baseColWidth="10" defaultColWidth="12.6640625" defaultRowHeight="15" customHeight="1"/>
  <cols>
    <col min="1" max="5" width="22.5" customWidth="1"/>
    <col min="6" max="6" width="6.1640625" customWidth="1"/>
    <col min="7" max="7" width="61.83203125" customWidth="1"/>
    <col min="8" max="11" width="22.5" customWidth="1"/>
    <col min="12" max="26" width="9.33203125" customWidth="1"/>
  </cols>
  <sheetData>
    <row r="1" spans="1:11">
      <c r="A1" s="2"/>
      <c r="B1" s="2"/>
      <c r="C1" s="2"/>
      <c r="D1" s="2"/>
      <c r="E1" s="2"/>
      <c r="F1" s="2"/>
      <c r="J1" s="2"/>
      <c r="K1" s="2"/>
    </row>
    <row r="2" spans="1:11" ht="16">
      <c r="A2" s="2"/>
      <c r="B2" s="2"/>
      <c r="C2" s="2"/>
      <c r="D2" s="2"/>
      <c r="E2" s="2"/>
      <c r="F2" s="2"/>
      <c r="G2" s="498" t="s">
        <v>45</v>
      </c>
      <c r="H2" s="499"/>
      <c r="I2" s="500"/>
      <c r="J2" s="496">
        <v>0.32</v>
      </c>
      <c r="K2" s="2"/>
    </row>
    <row r="3" spans="1:11" ht="21">
      <c r="A3" s="2"/>
      <c r="B3" s="477" t="s">
        <v>48</v>
      </c>
      <c r="C3" s="32"/>
      <c r="D3" s="2"/>
      <c r="E3" s="2"/>
      <c r="F3" s="2"/>
      <c r="G3" s="498" t="s">
        <v>49</v>
      </c>
      <c r="H3" s="499"/>
      <c r="I3" s="500"/>
      <c r="J3" s="496">
        <v>0.25</v>
      </c>
      <c r="K3" s="2"/>
    </row>
    <row r="4" spans="1:11" ht="16">
      <c r="A4" s="2"/>
      <c r="B4" s="2"/>
      <c r="C4" s="2"/>
      <c r="D4" s="2"/>
      <c r="E4" s="2"/>
      <c r="F4" s="2"/>
      <c r="G4" s="498" t="s">
        <v>50</v>
      </c>
      <c r="H4" s="499"/>
      <c r="I4" s="500"/>
      <c r="J4" s="496">
        <v>0.2</v>
      </c>
      <c r="K4" s="2"/>
    </row>
    <row r="5" spans="1:11" ht="16">
      <c r="A5" s="2"/>
      <c r="B5" s="2"/>
      <c r="C5" s="2"/>
      <c r="D5" s="2"/>
      <c r="E5" s="2"/>
      <c r="F5" s="2"/>
      <c r="G5" s="498" t="s">
        <v>51</v>
      </c>
      <c r="H5" s="499"/>
      <c r="I5" s="500"/>
      <c r="J5" s="496">
        <v>0.1</v>
      </c>
      <c r="K5" s="2"/>
    </row>
    <row r="6" spans="1:11" ht="16">
      <c r="A6" s="2"/>
      <c r="B6" s="2"/>
      <c r="C6" s="2"/>
      <c r="D6" s="2"/>
      <c r="E6" s="2"/>
      <c r="F6" s="2"/>
      <c r="G6" s="501" t="s">
        <v>52</v>
      </c>
      <c r="H6" s="499"/>
      <c r="I6" s="500"/>
      <c r="J6" s="497">
        <v>0.05</v>
      </c>
      <c r="K6" s="2"/>
    </row>
    <row r="7" spans="1:11" ht="16">
      <c r="A7" s="2"/>
      <c r="B7" s="2"/>
      <c r="C7" s="2"/>
      <c r="D7" s="2"/>
      <c r="E7" s="2"/>
      <c r="F7" s="2"/>
      <c r="G7" s="501" t="s">
        <v>53</v>
      </c>
      <c r="H7" s="499"/>
      <c r="I7" s="500"/>
      <c r="J7" s="497">
        <v>0.02</v>
      </c>
      <c r="K7" s="2"/>
    </row>
    <row r="8" spans="1:11" ht="16">
      <c r="A8" s="2"/>
      <c r="B8" s="2"/>
      <c r="C8" s="2"/>
      <c r="D8" s="2"/>
      <c r="E8" s="2"/>
      <c r="F8" s="2"/>
      <c r="G8" s="501" t="s">
        <v>54</v>
      </c>
      <c r="H8" s="499"/>
      <c r="I8" s="500"/>
      <c r="J8" s="497">
        <v>0.04</v>
      </c>
      <c r="K8" s="2"/>
    </row>
    <row r="9" spans="1:11" ht="16">
      <c r="A9" s="2"/>
      <c r="B9" s="2"/>
      <c r="C9" s="2"/>
      <c r="D9" s="2"/>
      <c r="E9" s="2"/>
      <c r="G9" s="501" t="s">
        <v>55</v>
      </c>
      <c r="H9" s="499"/>
      <c r="I9" s="500"/>
      <c r="J9" s="497">
        <v>0.02</v>
      </c>
      <c r="K9" s="2"/>
    </row>
    <row r="10" spans="1:11">
      <c r="A10" s="2"/>
      <c r="B10" s="348" t="s">
        <v>56</v>
      </c>
      <c r="C10" s="334"/>
      <c r="D10" s="332"/>
      <c r="E10" s="2"/>
      <c r="J10" s="2"/>
      <c r="K10" s="2"/>
    </row>
    <row r="11" spans="1:11">
      <c r="A11" s="2"/>
      <c r="B11" s="33" t="s">
        <v>57</v>
      </c>
      <c r="C11" s="33" t="s">
        <v>58</v>
      </c>
      <c r="D11" s="33" t="s">
        <v>59</v>
      </c>
      <c r="E11" s="2"/>
      <c r="F11" s="2"/>
      <c r="G11" s="2"/>
      <c r="H11" s="2"/>
      <c r="I11" s="2"/>
      <c r="J11" s="2"/>
      <c r="K11" s="2"/>
    </row>
    <row r="12" spans="1:11">
      <c r="A12" s="2"/>
      <c r="B12" s="34" t="s">
        <v>60</v>
      </c>
      <c r="C12" s="35">
        <f>'COSTO UNITARIO POR SERVICIO'!E20</f>
        <v>290.37037037037038</v>
      </c>
      <c r="D12" s="35">
        <f>C12*10%</f>
        <v>29.037037037037038</v>
      </c>
      <c r="E12" s="2"/>
      <c r="F12" s="348" t="s">
        <v>61</v>
      </c>
      <c r="G12" s="334"/>
      <c r="H12" s="332"/>
      <c r="I12" s="2"/>
      <c r="J12" s="2"/>
      <c r="K12" s="2"/>
    </row>
    <row r="13" spans="1:11">
      <c r="A13" s="2"/>
      <c r="B13" s="34" t="s">
        <v>62</v>
      </c>
      <c r="C13" s="35">
        <f>'COSTO UNITARIO POR SERVICIO'!E34</f>
        <v>304.62962962962962</v>
      </c>
      <c r="D13" s="35">
        <f>C13*25%</f>
        <v>76.157407407407405</v>
      </c>
      <c r="E13" s="2"/>
      <c r="F13" s="349" t="s">
        <v>63</v>
      </c>
      <c r="G13" s="350"/>
      <c r="H13" s="340"/>
      <c r="I13" s="40" t="s">
        <v>65</v>
      </c>
      <c r="J13" s="2"/>
      <c r="K13" s="2"/>
    </row>
    <row r="14" spans="1:11">
      <c r="A14" s="2"/>
      <c r="B14" s="34" t="s">
        <v>70</v>
      </c>
      <c r="C14" s="35">
        <f>'COSTO UNITARIO POR SERVICIO'!E48</f>
        <v>327.03703703703701</v>
      </c>
      <c r="D14" s="35">
        <f>C14*30%</f>
        <v>98.1111111111111</v>
      </c>
      <c r="E14" s="2"/>
      <c r="F14" s="44" t="s">
        <v>75</v>
      </c>
      <c r="G14" s="45" t="s">
        <v>45</v>
      </c>
      <c r="H14" s="47">
        <f>D28+D37</f>
        <v>16.252916666666668</v>
      </c>
      <c r="I14" s="47">
        <f t="shared" ref="I14:I21" si="0">H14*J2</f>
        <v>5.2009333333333334</v>
      </c>
      <c r="J14" s="2"/>
      <c r="K14" s="2"/>
    </row>
    <row r="15" spans="1:11">
      <c r="A15" s="2"/>
      <c r="B15" s="34" t="s">
        <v>78</v>
      </c>
      <c r="C15" s="35">
        <f>'COSTO UNITARIO POR SERVICIO'!E62</f>
        <v>380</v>
      </c>
      <c r="D15" s="35">
        <f>C15*25%</f>
        <v>95</v>
      </c>
      <c r="E15" s="2"/>
      <c r="F15" s="44" t="s">
        <v>75</v>
      </c>
      <c r="G15" s="45" t="s">
        <v>49</v>
      </c>
      <c r="H15" s="47">
        <f>D28+D37+D47</f>
        <v>39.580371105232217</v>
      </c>
      <c r="I15" s="47">
        <f t="shared" si="0"/>
        <v>9.8950927763080543</v>
      </c>
      <c r="J15" s="2"/>
      <c r="K15" s="2"/>
    </row>
    <row r="16" spans="1:11">
      <c r="A16" s="2"/>
      <c r="B16" s="34" t="s">
        <v>79</v>
      </c>
      <c r="C16" s="35">
        <f>'COSTO UNITARIO POR SERVICIO'!E76</f>
        <v>432.96296296296293</v>
      </c>
      <c r="D16" s="35">
        <f>C16*5%</f>
        <v>21.648148148148149</v>
      </c>
      <c r="E16" s="2"/>
      <c r="F16" s="45" t="s">
        <v>75</v>
      </c>
      <c r="G16" s="45" t="s">
        <v>50</v>
      </c>
      <c r="H16" s="47">
        <f>D28+D37+D47+D56+D65</f>
        <v>57.763371105232224</v>
      </c>
      <c r="I16" s="47">
        <f t="shared" si="0"/>
        <v>11.552674221046445</v>
      </c>
      <c r="J16" s="2"/>
      <c r="K16" s="2"/>
    </row>
    <row r="17" spans="1:11">
      <c r="A17" s="2"/>
      <c r="B17" s="34" t="s">
        <v>84</v>
      </c>
      <c r="C17" s="35">
        <f>'COSTO UNITARIO POR SERVICIO'!E90</f>
        <v>321.85185185185185</v>
      </c>
      <c r="D17" s="35">
        <f>C17*5%</f>
        <v>16.092592592592592</v>
      </c>
      <c r="E17" s="2"/>
      <c r="F17" s="45" t="s">
        <v>75</v>
      </c>
      <c r="G17" s="45" t="s">
        <v>51</v>
      </c>
      <c r="H17" s="47">
        <f>H14+D18</f>
        <v>72.260632716049386</v>
      </c>
      <c r="I17" s="47">
        <f t="shared" si="0"/>
        <v>7.2260632716049393</v>
      </c>
      <c r="J17" s="2"/>
      <c r="K17" s="2"/>
    </row>
    <row r="18" spans="1:11">
      <c r="A18" s="2"/>
      <c r="B18" s="56" t="s">
        <v>87</v>
      </c>
      <c r="C18" s="58">
        <f t="shared" ref="C18:D18" si="1">AVERAGE(C12:C17)</f>
        <v>342.8086419753086</v>
      </c>
      <c r="D18" s="58">
        <f t="shared" si="1"/>
        <v>56.007716049382715</v>
      </c>
      <c r="E18" s="2"/>
      <c r="F18" s="45" t="s">
        <v>75</v>
      </c>
      <c r="G18" s="45" t="s">
        <v>52</v>
      </c>
      <c r="H18" s="47">
        <f>H15+D18</f>
        <v>95.588087154614925</v>
      </c>
      <c r="I18" s="47">
        <f t="shared" si="0"/>
        <v>4.7794043577307468</v>
      </c>
      <c r="J18" s="2"/>
      <c r="K18" s="2"/>
    </row>
    <row r="19" spans="1:11">
      <c r="A19" s="2"/>
      <c r="B19" s="2"/>
      <c r="C19" s="59"/>
      <c r="D19" s="59"/>
      <c r="E19" s="59"/>
      <c r="F19" s="44" t="s">
        <v>75</v>
      </c>
      <c r="G19" s="45" t="s">
        <v>53</v>
      </c>
      <c r="H19" s="47">
        <f>H16+D18</f>
        <v>113.77108715461495</v>
      </c>
      <c r="I19" s="47">
        <f t="shared" si="0"/>
        <v>2.2754217430922989</v>
      </c>
    </row>
    <row r="20" spans="1:11">
      <c r="A20" s="2"/>
      <c r="B20" s="343" t="s">
        <v>95</v>
      </c>
      <c r="C20" s="334"/>
      <c r="D20" s="332"/>
      <c r="E20" s="2"/>
      <c r="F20" s="45" t="s">
        <v>75</v>
      </c>
      <c r="G20" s="45" t="s">
        <v>54</v>
      </c>
      <c r="H20" s="47">
        <f>D28+D47</f>
        <v>31.180371105232219</v>
      </c>
      <c r="I20" s="47">
        <f t="shared" si="0"/>
        <v>1.2472148442092887</v>
      </c>
      <c r="J20" s="2"/>
      <c r="K20" s="2"/>
    </row>
    <row r="21" spans="1:11">
      <c r="A21" s="2"/>
      <c r="B21" s="17" t="s">
        <v>98</v>
      </c>
      <c r="C21" s="33" t="s">
        <v>58</v>
      </c>
      <c r="D21" s="33" t="s">
        <v>59</v>
      </c>
      <c r="E21" s="2"/>
      <c r="F21" s="45" t="s">
        <v>75</v>
      </c>
      <c r="G21" s="45" t="s">
        <v>55</v>
      </c>
      <c r="H21" s="47">
        <f>H20+D18</f>
        <v>87.188087154614934</v>
      </c>
      <c r="I21" s="47">
        <f t="shared" si="0"/>
        <v>1.7437617430922987</v>
      </c>
      <c r="J21" s="2"/>
      <c r="K21" s="2"/>
    </row>
    <row r="22" spans="1:11">
      <c r="A22" s="2"/>
      <c r="B22" s="34" t="s">
        <v>60</v>
      </c>
      <c r="C22" s="35">
        <f>'COSTO UNITARIO POR SERVICIO'!J20</f>
        <v>19.100000000000001</v>
      </c>
      <c r="D22" s="35">
        <f>C22*10%</f>
        <v>1.9100000000000001</v>
      </c>
      <c r="E22" s="2"/>
      <c r="F22" s="62" t="s">
        <v>104</v>
      </c>
      <c r="G22" s="62" t="s">
        <v>106</v>
      </c>
      <c r="H22" s="64">
        <f>SUM(H14:H19)</f>
        <v>395.21646590241039</v>
      </c>
      <c r="I22" s="66">
        <f>+SUM(I14:I19)</f>
        <v>40.929589703115823</v>
      </c>
      <c r="J22" s="2"/>
      <c r="K22" s="2"/>
    </row>
    <row r="23" spans="1:11">
      <c r="A23" s="2"/>
      <c r="B23" s="34" t="s">
        <v>62</v>
      </c>
      <c r="C23" s="35">
        <f>'COSTO UNITARIO POR SERVICIO'!J34</f>
        <v>32.25</v>
      </c>
      <c r="D23" s="35">
        <f>C23*25%</f>
        <v>8.0625</v>
      </c>
      <c r="E23" s="2"/>
      <c r="J23" s="2"/>
      <c r="K23" s="2"/>
    </row>
    <row r="24" spans="1:11">
      <c r="A24" s="2"/>
      <c r="B24" s="34" t="s">
        <v>70</v>
      </c>
      <c r="C24" s="35">
        <f>'COSTO UNITARIO POR SERVICIO'!J48</f>
        <v>45.4</v>
      </c>
      <c r="D24" s="35">
        <f>C24*30%</f>
        <v>13.62</v>
      </c>
      <c r="E24" s="2"/>
      <c r="F24" s="351" t="s">
        <v>109</v>
      </c>
      <c r="G24" s="352"/>
      <c r="H24" s="353"/>
      <c r="J24" s="2"/>
      <c r="K24" s="2"/>
    </row>
    <row r="25" spans="1:11">
      <c r="A25" s="2"/>
      <c r="B25" s="34" t="s">
        <v>78</v>
      </c>
      <c r="C25" s="35">
        <f>'COSTO UNITARIO POR SERVICIO'!J62</f>
        <v>66.7</v>
      </c>
      <c r="D25" s="35">
        <f>C25*25%</f>
        <v>16.675000000000001</v>
      </c>
      <c r="E25" s="2"/>
      <c r="F25" s="70" t="s">
        <v>75</v>
      </c>
      <c r="G25" s="71" t="s">
        <v>82</v>
      </c>
      <c r="H25" s="72">
        <f>'MATERIA PRIMA'!C24/(58*30)</f>
        <v>1.0919540229885059</v>
      </c>
      <c r="I25" s="2"/>
      <c r="J25" s="2"/>
      <c r="K25" s="2"/>
    </row>
    <row r="26" spans="1:11" ht="15.75" customHeight="1">
      <c r="A26" s="2"/>
      <c r="B26" s="34" t="s">
        <v>79</v>
      </c>
      <c r="C26" s="35">
        <f>'COSTO UNITARIO POR SERVICIO'!J76</f>
        <v>91.6</v>
      </c>
      <c r="D26" s="35">
        <f>C26*5%</f>
        <v>4.58</v>
      </c>
      <c r="E26" s="2"/>
      <c r="F26" s="70" t="s">
        <v>75</v>
      </c>
      <c r="G26" s="74" t="s">
        <v>110</v>
      </c>
      <c r="H26" s="77">
        <f>MANTENIMIENTO!D15/(58*30)</f>
        <v>0.34865517241379307</v>
      </c>
      <c r="I26" s="2"/>
      <c r="J26" s="2"/>
      <c r="K26" s="2"/>
    </row>
    <row r="27" spans="1:11" ht="15.75" customHeight="1">
      <c r="A27" s="2"/>
      <c r="B27" s="34" t="s">
        <v>84</v>
      </c>
      <c r="C27" s="35">
        <f>'COSTO UNITARIO POR SERVICIO'!J90</f>
        <v>45.4</v>
      </c>
      <c r="D27" s="35">
        <f>C27*5%</f>
        <v>2.27</v>
      </c>
      <c r="E27" s="2"/>
      <c r="F27" s="70" t="s">
        <v>75</v>
      </c>
      <c r="G27" s="74" t="s">
        <v>111</v>
      </c>
      <c r="H27" s="77">
        <f>(10000*70%)/(58*30)</f>
        <v>4.0229885057471266</v>
      </c>
      <c r="I27" s="2"/>
      <c r="J27" s="2"/>
      <c r="K27" s="2"/>
    </row>
    <row r="28" spans="1:11" ht="15.75" customHeight="1">
      <c r="A28" s="2"/>
      <c r="B28" s="56" t="s">
        <v>87</v>
      </c>
      <c r="C28" s="58">
        <f t="shared" ref="C28:D28" si="2">AVERAGE(C22:C27)</f>
        <v>50.074999999999996</v>
      </c>
      <c r="D28" s="58">
        <f t="shared" si="2"/>
        <v>7.8529166666666663</v>
      </c>
      <c r="E28" s="2"/>
      <c r="F28" s="74" t="s">
        <v>104</v>
      </c>
      <c r="G28" s="79" t="s">
        <v>106</v>
      </c>
      <c r="H28" s="80">
        <f>H26+H27</f>
        <v>4.37164367816092</v>
      </c>
      <c r="I28" s="2"/>
      <c r="J28" s="2"/>
      <c r="K28" s="2"/>
    </row>
    <row r="29" spans="1:11" ht="15.75" customHeight="1">
      <c r="A29" s="2"/>
      <c r="E29" s="2"/>
      <c r="F29" s="81"/>
      <c r="G29" s="82" t="s">
        <v>112</v>
      </c>
      <c r="H29" s="83">
        <f>H28+I22</f>
        <v>45.301233381276745</v>
      </c>
      <c r="I29" s="2"/>
      <c r="J29" s="2"/>
      <c r="K29" s="2"/>
    </row>
    <row r="30" spans="1:11" ht="15.75" customHeight="1">
      <c r="A30" s="2"/>
      <c r="B30" s="343" t="s">
        <v>113</v>
      </c>
      <c r="C30" s="334"/>
      <c r="D30" s="332"/>
      <c r="E30" s="2"/>
      <c r="I30" s="2"/>
      <c r="J30" s="2"/>
      <c r="K30" s="2"/>
    </row>
    <row r="31" spans="1:11" ht="15.75" customHeight="1">
      <c r="A31" s="2"/>
      <c r="B31" s="17" t="s">
        <v>98</v>
      </c>
      <c r="C31" s="33" t="s">
        <v>58</v>
      </c>
      <c r="D31" s="33" t="s">
        <v>59</v>
      </c>
      <c r="E31" s="2"/>
      <c r="I31" s="2"/>
      <c r="J31" s="2"/>
      <c r="K31" s="2"/>
    </row>
    <row r="32" spans="1:11" ht="15.75" customHeight="1">
      <c r="A32" s="2"/>
      <c r="B32" s="34" t="s">
        <v>60</v>
      </c>
      <c r="C32" s="35">
        <f>'COSTO UNITARIO POR SERVICIO'!O20</f>
        <v>25</v>
      </c>
      <c r="D32" s="35">
        <f>C32*10%</f>
        <v>2.5</v>
      </c>
      <c r="E32" s="2"/>
      <c r="I32" s="2"/>
      <c r="J32" s="2"/>
      <c r="K32" s="2"/>
    </row>
    <row r="33" spans="1:11" ht="15.75" customHeight="1">
      <c r="A33" s="2"/>
      <c r="B33" s="34" t="s">
        <v>62</v>
      </c>
      <c r="C33" s="35">
        <f>'COSTO UNITARIO POR SERVICIO'!O34</f>
        <v>35</v>
      </c>
      <c r="D33" s="35">
        <f>C33*25%</f>
        <v>8.75</v>
      </c>
      <c r="E33" s="2"/>
      <c r="I33" s="2"/>
      <c r="J33" s="2"/>
      <c r="K33" s="2"/>
    </row>
    <row r="34" spans="1:11" ht="15.75" customHeight="1">
      <c r="A34" s="2"/>
      <c r="B34" s="34" t="s">
        <v>70</v>
      </c>
      <c r="C34" s="35">
        <f>'COSTO UNITARIO POR SERVICIO'!O48</f>
        <v>45</v>
      </c>
      <c r="D34" s="35">
        <f>C34*30%</f>
        <v>13.5</v>
      </c>
      <c r="E34" s="2"/>
      <c r="I34" s="2"/>
      <c r="J34" s="2"/>
      <c r="K34" s="2"/>
    </row>
    <row r="35" spans="1:11" ht="15.75" customHeight="1">
      <c r="A35" s="2"/>
      <c r="B35" s="34" t="s">
        <v>78</v>
      </c>
      <c r="C35" s="35">
        <f>'COSTO UNITARIO POR SERVICIO'!O62</f>
        <v>55</v>
      </c>
      <c r="D35" s="35">
        <f>C35*25%</f>
        <v>13.75</v>
      </c>
      <c r="E35" s="2"/>
      <c r="F35" s="2"/>
      <c r="G35" s="2"/>
      <c r="H35" s="2"/>
      <c r="I35" s="2"/>
      <c r="J35" s="2"/>
      <c r="K35" s="2"/>
    </row>
    <row r="36" spans="1:11" ht="15.75" customHeight="1">
      <c r="A36" s="2"/>
      <c r="B36" s="34" t="s">
        <v>79</v>
      </c>
      <c r="C36" s="35">
        <f>'COSTO UNITARIO POR SERVICIO'!O76</f>
        <v>70</v>
      </c>
      <c r="D36" s="35">
        <f>C36*5%</f>
        <v>3.5</v>
      </c>
      <c r="E36" s="2"/>
      <c r="F36" s="2"/>
      <c r="G36" s="2"/>
      <c r="H36" s="2"/>
      <c r="I36" s="2"/>
      <c r="J36" s="2"/>
      <c r="K36" s="2"/>
    </row>
    <row r="37" spans="1:11" ht="15.75" customHeight="1">
      <c r="A37" s="2"/>
      <c r="B37" s="56" t="s">
        <v>87</v>
      </c>
      <c r="C37" s="58">
        <f t="shared" ref="C37:D37" si="3">AVERAGE(C32:C36)</f>
        <v>46</v>
      </c>
      <c r="D37" s="58">
        <f t="shared" si="3"/>
        <v>8.4</v>
      </c>
      <c r="E37" s="2"/>
      <c r="F37" s="2"/>
      <c r="G37" s="2"/>
      <c r="H37" s="2"/>
      <c r="I37" s="2"/>
      <c r="J37" s="2"/>
      <c r="K37" s="2"/>
    </row>
    <row r="38" spans="1:11" ht="15.75" customHeight="1">
      <c r="A38" s="2"/>
      <c r="E38" s="2"/>
      <c r="F38" s="2"/>
      <c r="G38" s="2"/>
      <c r="H38" s="2"/>
      <c r="I38" s="2"/>
      <c r="J38" s="2"/>
      <c r="K38" s="2"/>
    </row>
    <row r="39" spans="1:11" ht="15.75" customHeight="1">
      <c r="A39" s="2"/>
      <c r="B39" s="343" t="s">
        <v>115</v>
      </c>
      <c r="C39" s="334"/>
      <c r="D39" s="332"/>
      <c r="E39" s="2"/>
      <c r="F39" s="2"/>
      <c r="G39" s="2"/>
      <c r="H39" s="2"/>
      <c r="I39" s="2"/>
      <c r="J39" s="2"/>
      <c r="K39" s="2"/>
    </row>
    <row r="40" spans="1:11" ht="15.75" customHeight="1">
      <c r="A40" s="2"/>
      <c r="B40" s="17" t="s">
        <v>98</v>
      </c>
      <c r="C40" s="33" t="s">
        <v>58</v>
      </c>
      <c r="D40" s="33" t="s">
        <v>59</v>
      </c>
      <c r="E40" s="2"/>
      <c r="F40" s="2"/>
      <c r="G40" s="2"/>
      <c r="H40" s="2"/>
      <c r="I40" s="2"/>
      <c r="J40" s="2"/>
      <c r="K40" s="2"/>
    </row>
    <row r="41" spans="1:11" ht="15.75" customHeight="1">
      <c r="A41" s="2"/>
      <c r="B41" s="34" t="s">
        <v>60</v>
      </c>
      <c r="C41" s="35">
        <f>'COSTO UNITARIO POR SERVICIO'!T20</f>
        <v>45.149911816578481</v>
      </c>
      <c r="D41" s="35">
        <f>C41*10%</f>
        <v>4.5149911816578481</v>
      </c>
      <c r="E41" s="2"/>
      <c r="F41" s="2"/>
      <c r="G41" s="2"/>
      <c r="H41" s="2"/>
      <c r="I41" s="2"/>
      <c r="J41" s="2"/>
      <c r="K41" s="2"/>
    </row>
    <row r="42" spans="1:11" ht="15.75" customHeight="1">
      <c r="A42" s="2"/>
      <c r="B42" s="34" t="s">
        <v>62</v>
      </c>
      <c r="C42" s="35">
        <f>'COSTO UNITARIO POR SERVICIO'!T34</f>
        <v>90.299823633156961</v>
      </c>
      <c r="D42" s="35">
        <f>C42*25%</f>
        <v>22.57495590828924</v>
      </c>
      <c r="E42" s="2"/>
      <c r="F42" s="2"/>
      <c r="G42" s="2"/>
      <c r="H42" s="2"/>
      <c r="I42" s="2"/>
      <c r="J42" s="2"/>
      <c r="K42" s="2"/>
    </row>
    <row r="43" spans="1:11" ht="15.75" customHeight="1">
      <c r="A43" s="2"/>
      <c r="B43" s="34" t="s">
        <v>70</v>
      </c>
      <c r="C43" s="35">
        <f>'COSTO UNITARIO POR SERVICIO'!T48</f>
        <v>135.44973544973544</v>
      </c>
      <c r="D43" s="35">
        <f t="shared" ref="D43:D44" si="4">C43*30%</f>
        <v>40.634920634920633</v>
      </c>
      <c r="E43" s="2"/>
      <c r="F43" s="2"/>
      <c r="G43" s="2"/>
      <c r="H43" s="2"/>
      <c r="I43" s="2"/>
      <c r="J43" s="2"/>
      <c r="K43" s="2"/>
    </row>
    <row r="44" spans="1:11" ht="15.75" customHeight="1">
      <c r="A44" s="2"/>
      <c r="B44" s="34" t="s">
        <v>78</v>
      </c>
      <c r="C44" s="35">
        <f>'COSTO UNITARIO POR SERVICIO'!T62</f>
        <v>180.59964726631392</v>
      </c>
      <c r="D44" s="35">
        <f t="shared" si="4"/>
        <v>54.179894179894177</v>
      </c>
      <c r="E44" s="2"/>
      <c r="F44" s="2"/>
      <c r="G44" s="2"/>
      <c r="H44" s="2"/>
      <c r="I44" s="2"/>
      <c r="J44" s="2"/>
      <c r="K44" s="2"/>
    </row>
    <row r="45" spans="1:11" ht="15.75" customHeight="1">
      <c r="A45" s="2"/>
      <c r="B45" s="34" t="s">
        <v>79</v>
      </c>
      <c r="C45" s="35">
        <f>'COSTO UNITARIO POR SERVICIO'!T76</f>
        <v>225.7495590828924</v>
      </c>
      <c r="D45" s="35">
        <f t="shared" ref="D45:D46" si="5">C45*5%</f>
        <v>11.28747795414462</v>
      </c>
      <c r="E45" s="2"/>
      <c r="F45" s="2"/>
      <c r="G45" s="2"/>
      <c r="H45" s="2"/>
      <c r="I45" s="2"/>
      <c r="J45" s="2"/>
      <c r="K45" s="2"/>
    </row>
    <row r="46" spans="1:11" ht="15.75" customHeight="1">
      <c r="A46" s="2"/>
      <c r="B46" s="34" t="s">
        <v>84</v>
      </c>
      <c r="C46" s="35">
        <f>'COSTO UNITARIO POR SERVICIO'!O90</f>
        <v>135.44973544973544</v>
      </c>
      <c r="D46" s="35">
        <f t="shared" si="5"/>
        <v>6.7724867724867721</v>
      </c>
      <c r="E46" s="2"/>
      <c r="F46" s="2"/>
      <c r="G46" s="2"/>
      <c r="H46" s="2"/>
      <c r="I46" s="2"/>
      <c r="J46" s="2"/>
      <c r="K46" s="2"/>
    </row>
    <row r="47" spans="1:11" ht="15.75" customHeight="1">
      <c r="A47" s="2"/>
      <c r="B47" s="56" t="s">
        <v>87</v>
      </c>
      <c r="C47" s="58">
        <f t="shared" ref="C47:D47" si="6">AVERAGE(C41:C46)</f>
        <v>135.44973544973547</v>
      </c>
      <c r="D47" s="58">
        <f t="shared" si="6"/>
        <v>23.327454438565553</v>
      </c>
      <c r="E47" s="2"/>
      <c r="F47" s="2"/>
      <c r="G47" s="2"/>
      <c r="H47" s="2"/>
      <c r="I47" s="2"/>
      <c r="J47" s="2"/>
      <c r="K47" s="2"/>
    </row>
    <row r="48" spans="1:11" ht="15.75" customHeight="1">
      <c r="A48" s="2"/>
      <c r="E48" s="2"/>
      <c r="F48" s="2"/>
      <c r="G48" s="2"/>
      <c r="H48" s="2"/>
      <c r="I48" s="2"/>
      <c r="J48" s="2"/>
      <c r="K48" s="2"/>
    </row>
    <row r="49" spans="1:11" ht="15.75" customHeight="1">
      <c r="A49" s="2"/>
      <c r="B49" s="343" t="s">
        <v>116</v>
      </c>
      <c r="C49" s="334"/>
      <c r="D49" s="332"/>
      <c r="E49" s="2"/>
      <c r="F49" s="2"/>
      <c r="G49" s="2"/>
      <c r="H49" s="2"/>
      <c r="I49" s="2"/>
      <c r="J49" s="2"/>
      <c r="K49" s="2"/>
    </row>
    <row r="50" spans="1:11" ht="15.75" customHeight="1">
      <c r="A50" s="2"/>
      <c r="B50" s="17" t="s">
        <v>98</v>
      </c>
      <c r="C50" s="33" t="s">
        <v>58</v>
      </c>
      <c r="D50" s="33" t="s">
        <v>59</v>
      </c>
      <c r="E50" s="2"/>
      <c r="F50" s="2"/>
      <c r="G50" s="2"/>
      <c r="H50" s="2"/>
      <c r="I50" s="2"/>
      <c r="J50" s="2"/>
      <c r="K50" s="2"/>
    </row>
    <row r="51" spans="1:11" ht="15.75" customHeight="1">
      <c r="A51" s="2"/>
      <c r="B51" s="34" t="s">
        <v>60</v>
      </c>
      <c r="C51" s="35">
        <f>'COSTO UNITARIO POR SERVICIO'!Y20</f>
        <v>25.7</v>
      </c>
      <c r="D51" s="35">
        <f>C51*10%</f>
        <v>2.5700000000000003</v>
      </c>
      <c r="E51" s="2"/>
      <c r="F51" s="2"/>
      <c r="G51" s="2"/>
      <c r="H51" s="2"/>
      <c r="I51" s="2"/>
      <c r="J51" s="2"/>
      <c r="K51" s="2"/>
    </row>
    <row r="52" spans="1:11" ht="15.75" customHeight="1">
      <c r="A52" s="2"/>
      <c r="B52" s="34" t="s">
        <v>62</v>
      </c>
      <c r="C52" s="35">
        <f>'COSTO UNITARIO POR SERVICIO'!Y34</f>
        <v>25.7</v>
      </c>
      <c r="D52" s="35">
        <f>C52*25%</f>
        <v>6.4249999999999998</v>
      </c>
      <c r="E52" s="2"/>
      <c r="F52" s="2"/>
      <c r="G52" s="2"/>
      <c r="H52" s="2"/>
      <c r="I52" s="2"/>
      <c r="J52" s="2"/>
      <c r="K52" s="2"/>
    </row>
    <row r="53" spans="1:11" ht="15.75" customHeight="1">
      <c r="A53" s="2"/>
      <c r="B53" s="34" t="s">
        <v>70</v>
      </c>
      <c r="C53" s="35">
        <f>'COSTO UNITARIO POR SERVICIO'!Y48</f>
        <v>25.7</v>
      </c>
      <c r="D53" s="35">
        <f>C53*30%</f>
        <v>7.7099999999999991</v>
      </c>
      <c r="E53" s="2"/>
      <c r="F53" s="2"/>
      <c r="G53" s="2"/>
      <c r="H53" s="2"/>
      <c r="I53" s="2"/>
      <c r="J53" s="2"/>
      <c r="K53" s="2"/>
    </row>
    <row r="54" spans="1:11" ht="15.75" customHeight="1">
      <c r="A54" s="2"/>
      <c r="B54" s="34" t="s">
        <v>78</v>
      </c>
      <c r="C54" s="35">
        <f>'COSTO UNITARIO POR SERVICIO'!Y62</f>
        <v>25.7</v>
      </c>
      <c r="D54" s="35">
        <f>C54*25%</f>
        <v>6.4249999999999998</v>
      </c>
      <c r="E54" s="2"/>
      <c r="F54" s="2"/>
      <c r="G54" s="2"/>
      <c r="H54" s="2"/>
      <c r="I54" s="2"/>
      <c r="J54" s="2"/>
      <c r="K54" s="2"/>
    </row>
    <row r="55" spans="1:11" ht="15.75" customHeight="1">
      <c r="A55" s="2"/>
      <c r="B55" s="34" t="s">
        <v>79</v>
      </c>
      <c r="C55" s="35">
        <f>'COSTO UNITARIO POR SERVICIO'!Y76</f>
        <v>25.7</v>
      </c>
      <c r="D55" s="35">
        <f>C55*5%</f>
        <v>1.2850000000000001</v>
      </c>
      <c r="E55" s="2"/>
      <c r="F55" s="2"/>
      <c r="G55" s="2"/>
      <c r="H55" s="2"/>
      <c r="I55" s="2"/>
      <c r="J55" s="2"/>
      <c r="K55" s="2"/>
    </row>
    <row r="56" spans="1:11" ht="15.75" customHeight="1">
      <c r="A56" s="2"/>
      <c r="B56" s="56" t="s">
        <v>87</v>
      </c>
      <c r="C56" s="58">
        <f t="shared" ref="C56:D56" si="7">AVERAGE(C51:C55)</f>
        <v>25.7</v>
      </c>
      <c r="D56" s="58">
        <f t="shared" si="7"/>
        <v>4.883</v>
      </c>
      <c r="E56" s="2"/>
      <c r="F56" s="2"/>
      <c r="G56" s="2"/>
      <c r="H56" s="2"/>
      <c r="I56" s="2"/>
      <c r="J56" s="2"/>
      <c r="K56" s="2"/>
    </row>
    <row r="57" spans="1:11" ht="15.75" customHeight="1">
      <c r="A57" s="2"/>
      <c r="E57" s="2"/>
      <c r="F57" s="2"/>
      <c r="G57" s="2"/>
      <c r="H57" s="2"/>
      <c r="I57" s="2"/>
      <c r="J57" s="2"/>
      <c r="K57" s="2"/>
    </row>
    <row r="58" spans="1:11" ht="15.75" customHeight="1">
      <c r="B58" s="343" t="s">
        <v>117</v>
      </c>
      <c r="C58" s="334"/>
      <c r="D58" s="332"/>
    </row>
    <row r="59" spans="1:11" ht="15.75" customHeight="1">
      <c r="B59" s="17" t="s">
        <v>98</v>
      </c>
      <c r="C59" s="33" t="s">
        <v>58</v>
      </c>
      <c r="D59" s="33" t="s">
        <v>59</v>
      </c>
    </row>
    <row r="60" spans="1:11" ht="15.75" customHeight="1">
      <c r="B60" s="34" t="s">
        <v>60</v>
      </c>
      <c r="C60" s="35">
        <f>'COSTO UNITARIO POR SERVICIO'!AD20</f>
        <v>70</v>
      </c>
      <c r="D60" s="35">
        <f>C60*10%</f>
        <v>7</v>
      </c>
    </row>
    <row r="61" spans="1:11" ht="15.75" customHeight="1">
      <c r="B61" s="34" t="s">
        <v>62</v>
      </c>
      <c r="C61" s="35">
        <f>'COSTO UNITARIO POR SERVICIO'!AD34</f>
        <v>70</v>
      </c>
      <c r="D61" s="35">
        <f>C61*25%</f>
        <v>17.5</v>
      </c>
    </row>
    <row r="62" spans="1:11" ht="15.75" customHeight="1">
      <c r="B62" s="34" t="s">
        <v>70</v>
      </c>
      <c r="C62" s="35">
        <f>'COSTO UNITARIO POR SERVICIO'!AD48</f>
        <v>70</v>
      </c>
      <c r="D62" s="35">
        <f>C62*30%</f>
        <v>21</v>
      </c>
    </row>
    <row r="63" spans="1:11" ht="15.75" customHeight="1">
      <c r="B63" s="34" t="s">
        <v>78</v>
      </c>
      <c r="C63" s="35">
        <f>'COSTO UNITARIO POR SERVICIO'!AD62</f>
        <v>70</v>
      </c>
      <c r="D63" s="35">
        <f>C62*25%</f>
        <v>17.5</v>
      </c>
    </row>
    <row r="64" spans="1:11" ht="15.75" customHeight="1">
      <c r="B64" s="34" t="s">
        <v>79</v>
      </c>
      <c r="C64" s="35">
        <f>'COSTO UNITARIO POR SERVICIO'!AD76</f>
        <v>70</v>
      </c>
      <c r="D64" s="35">
        <f>C64*5%</f>
        <v>3.5</v>
      </c>
    </row>
    <row r="65" spans="2:4" ht="15.75" customHeight="1">
      <c r="B65" s="56" t="s">
        <v>87</v>
      </c>
      <c r="C65" s="58">
        <f t="shared" ref="C65:D65" si="8">AVERAGE(C60:C64)</f>
        <v>70</v>
      </c>
      <c r="D65" s="58">
        <f t="shared" si="8"/>
        <v>13.3</v>
      </c>
    </row>
    <row r="66" spans="2:4" ht="15.75" customHeight="1"/>
    <row r="67" spans="2:4" ht="15.75" customHeight="1"/>
    <row r="68" spans="2:4" ht="15.75" customHeight="1"/>
    <row r="69" spans="2:4" ht="15.75" customHeight="1"/>
    <row r="70" spans="2:4" ht="15.75" customHeight="1"/>
    <row r="71" spans="2:4" ht="15.75" customHeight="1"/>
    <row r="72" spans="2:4" ht="15.75" customHeight="1"/>
    <row r="73" spans="2:4" ht="15.75" customHeight="1"/>
    <row r="74" spans="2:4" ht="15.75" customHeight="1"/>
    <row r="75" spans="2:4" ht="15.75" customHeight="1"/>
    <row r="76" spans="2:4" ht="15.75" customHeight="1"/>
    <row r="77" spans="2:4" ht="15.75" customHeight="1"/>
    <row r="78" spans="2:4" ht="15.75" customHeight="1"/>
    <row r="79" spans="2:4" ht="15.75" customHeight="1"/>
    <row r="80" spans="2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7">
    <mergeCell ref="G7:I7"/>
    <mergeCell ref="G8:I8"/>
    <mergeCell ref="B39:D39"/>
    <mergeCell ref="B49:D49"/>
    <mergeCell ref="B58:D58"/>
    <mergeCell ref="G9:I9"/>
    <mergeCell ref="B10:D10"/>
    <mergeCell ref="F12:H12"/>
    <mergeCell ref="F13:H13"/>
    <mergeCell ref="B20:D20"/>
    <mergeCell ref="F24:H24"/>
    <mergeCell ref="B30:D30"/>
    <mergeCell ref="G2:I2"/>
    <mergeCell ref="G3:I3"/>
    <mergeCell ref="G4:I4"/>
    <mergeCell ref="G5:I5"/>
    <mergeCell ref="G6:I6"/>
  </mergeCells>
  <pageMargins left="0.7" right="0.7" top="0.75" bottom="0.75" header="0" footer="0"/>
  <pageSetup orientation="landscape"/>
  <ignoredErrors>
    <ignoredError sqref="D34 D53 D24 D1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1"/>
  <sheetViews>
    <sheetView workbookViewId="0">
      <selection activeCell="E6" sqref="E6"/>
    </sheetView>
  </sheetViews>
  <sheetFormatPr baseColWidth="10" defaultColWidth="12.6640625" defaultRowHeight="15" customHeight="1"/>
  <cols>
    <col min="1" max="1" width="21.1640625" customWidth="1"/>
    <col min="2" max="2" width="9.33203125" customWidth="1"/>
    <col min="3" max="3" width="15.6640625" customWidth="1"/>
    <col min="4" max="4" width="13.83203125" customWidth="1"/>
    <col min="5" max="6" width="9.33203125" customWidth="1"/>
    <col min="7" max="7" width="16.1640625" customWidth="1"/>
    <col min="8" max="8" width="12" customWidth="1"/>
    <col min="9" max="9" width="11.5" customWidth="1"/>
    <col min="10" max="26" width="9.33203125" customWidth="1"/>
  </cols>
  <sheetData>
    <row r="1" spans="1:9">
      <c r="A1" s="85"/>
      <c r="B1" s="85"/>
      <c r="H1" s="85"/>
      <c r="I1" s="85"/>
    </row>
    <row r="2" spans="1:9">
      <c r="A2" s="85"/>
      <c r="B2" s="85"/>
      <c r="C2" s="85"/>
      <c r="D2" s="85"/>
      <c r="E2" s="85"/>
      <c r="F2" s="85"/>
      <c r="G2" s="85"/>
      <c r="H2" s="85"/>
      <c r="I2" s="85"/>
    </row>
    <row r="3" spans="1:9">
      <c r="A3" s="85"/>
      <c r="B3" s="85"/>
      <c r="C3" s="85"/>
      <c r="D3" s="85"/>
      <c r="E3" s="85"/>
      <c r="F3" s="85"/>
      <c r="G3" s="85"/>
      <c r="H3" s="85"/>
      <c r="I3" s="85"/>
    </row>
    <row r="4" spans="1:9" ht="21">
      <c r="A4" s="85"/>
      <c r="B4" s="85"/>
      <c r="C4" s="354" t="s">
        <v>118</v>
      </c>
      <c r="D4" s="337"/>
      <c r="E4" s="337"/>
      <c r="F4" s="337"/>
      <c r="G4" s="337"/>
      <c r="H4" s="85"/>
      <c r="I4" s="85"/>
    </row>
    <row r="5" spans="1:9">
      <c r="A5" s="85"/>
      <c r="B5" s="85"/>
      <c r="C5" s="85"/>
      <c r="D5" s="85"/>
      <c r="E5" s="85"/>
      <c r="F5" s="85"/>
      <c r="G5" s="85"/>
      <c r="H5" s="85"/>
      <c r="I5" s="85"/>
    </row>
    <row r="6" spans="1:9">
      <c r="A6" s="85"/>
      <c r="B6" s="85"/>
      <c r="C6" s="85"/>
      <c r="D6" s="85"/>
      <c r="E6" s="85"/>
      <c r="F6" s="85"/>
      <c r="G6" s="85"/>
      <c r="H6" s="85"/>
      <c r="I6" s="85"/>
    </row>
    <row r="7" spans="1:9">
      <c r="A7" s="85"/>
      <c r="B7" s="85"/>
      <c r="C7" s="85"/>
      <c r="D7" s="85"/>
      <c r="E7" s="85"/>
      <c r="F7" s="85"/>
      <c r="G7" s="85"/>
      <c r="H7" s="85"/>
      <c r="I7" s="85"/>
    </row>
    <row r="8" spans="1:9">
      <c r="A8" s="85"/>
      <c r="B8" s="85"/>
      <c r="C8" s="85"/>
      <c r="D8" s="85"/>
      <c r="E8" s="85"/>
      <c r="F8" s="85"/>
      <c r="G8" s="85"/>
      <c r="H8" s="85"/>
      <c r="I8" s="85"/>
    </row>
    <row r="9" spans="1:9">
      <c r="A9" s="343" t="s">
        <v>119</v>
      </c>
      <c r="B9" s="334"/>
      <c r="C9" s="334"/>
      <c r="D9" s="334"/>
      <c r="E9" s="332"/>
      <c r="F9" s="85"/>
      <c r="G9" s="355" t="s">
        <v>120</v>
      </c>
      <c r="H9" s="356"/>
      <c r="I9" s="356"/>
    </row>
    <row r="10" spans="1:9">
      <c r="A10" s="86" t="s">
        <v>121</v>
      </c>
      <c r="B10" s="86" t="s">
        <v>21</v>
      </c>
      <c r="C10" s="86" t="s">
        <v>122</v>
      </c>
      <c r="D10" s="86" t="s">
        <v>123</v>
      </c>
      <c r="E10" s="86" t="s">
        <v>124</v>
      </c>
      <c r="F10" s="85"/>
      <c r="G10" s="87" t="s">
        <v>121</v>
      </c>
      <c r="H10" s="87" t="s">
        <v>21</v>
      </c>
      <c r="I10" s="87" t="s">
        <v>125</v>
      </c>
    </row>
    <row r="11" spans="1:9">
      <c r="A11" s="88" t="s">
        <v>126</v>
      </c>
      <c r="B11" s="89">
        <v>1</v>
      </c>
      <c r="C11" s="488">
        <v>250</v>
      </c>
      <c r="D11" s="488">
        <v>400</v>
      </c>
      <c r="E11" s="488">
        <v>150</v>
      </c>
      <c r="F11" s="85"/>
      <c r="G11" s="88" t="s">
        <v>126</v>
      </c>
      <c r="H11" s="89">
        <v>1</v>
      </c>
      <c r="I11" s="488">
        <v>250</v>
      </c>
    </row>
    <row r="12" spans="1:9">
      <c r="A12" s="88" t="s">
        <v>128</v>
      </c>
      <c r="B12" s="89">
        <v>1</v>
      </c>
      <c r="C12" s="488">
        <v>250</v>
      </c>
      <c r="D12" s="488">
        <v>400</v>
      </c>
      <c r="E12" s="488">
        <v>150</v>
      </c>
      <c r="F12" s="85"/>
      <c r="G12" s="88" t="s">
        <v>128</v>
      </c>
      <c r="H12" s="89">
        <v>1</v>
      </c>
      <c r="I12" s="488">
        <v>250</v>
      </c>
    </row>
    <row r="13" spans="1:9">
      <c r="A13" s="88" t="s">
        <v>129</v>
      </c>
      <c r="B13" s="89">
        <v>4</v>
      </c>
      <c r="C13" s="488">
        <v>100</v>
      </c>
      <c r="D13" s="488">
        <v>135</v>
      </c>
      <c r="E13" s="488">
        <v>35</v>
      </c>
      <c r="F13" s="85"/>
      <c r="G13" s="88" t="s">
        <v>129</v>
      </c>
      <c r="H13" s="89">
        <v>4</v>
      </c>
      <c r="I13" s="488">
        <v>100</v>
      </c>
    </row>
    <row r="14" spans="1:9">
      <c r="A14" s="88" t="s">
        <v>130</v>
      </c>
      <c r="B14" s="89">
        <v>4</v>
      </c>
      <c r="C14" s="488">
        <v>160</v>
      </c>
      <c r="D14" s="488">
        <v>200</v>
      </c>
      <c r="E14" s="488">
        <v>40</v>
      </c>
      <c r="F14" s="85"/>
      <c r="G14" s="88" t="s">
        <v>130</v>
      </c>
      <c r="H14" s="89">
        <v>4</v>
      </c>
      <c r="I14" s="488">
        <v>160</v>
      </c>
    </row>
    <row r="15" spans="1:9">
      <c r="A15" s="88" t="s">
        <v>131</v>
      </c>
      <c r="B15" s="89">
        <v>3</v>
      </c>
      <c r="C15" s="488">
        <v>900</v>
      </c>
      <c r="D15" s="488">
        <v>1200</v>
      </c>
      <c r="E15" s="488">
        <v>300</v>
      </c>
      <c r="F15" s="85"/>
      <c r="G15" s="88" t="s">
        <v>131</v>
      </c>
      <c r="H15" s="89">
        <v>3</v>
      </c>
      <c r="I15" s="488">
        <v>900</v>
      </c>
    </row>
    <row r="16" spans="1:9">
      <c r="A16" s="88" t="s">
        <v>132</v>
      </c>
      <c r="B16" s="89">
        <v>2</v>
      </c>
      <c r="C16" s="488">
        <v>600</v>
      </c>
      <c r="D16" s="488">
        <v>800</v>
      </c>
      <c r="E16" s="488">
        <v>200</v>
      </c>
      <c r="F16" s="85"/>
      <c r="G16" s="88" t="s">
        <v>132</v>
      </c>
      <c r="H16" s="89">
        <v>2</v>
      </c>
      <c r="I16" s="488">
        <v>600</v>
      </c>
    </row>
    <row r="17" spans="1:9">
      <c r="A17" s="88" t="s">
        <v>133</v>
      </c>
      <c r="B17" s="89">
        <v>2</v>
      </c>
      <c r="C17" s="488">
        <v>1600</v>
      </c>
      <c r="D17" s="488">
        <v>2000</v>
      </c>
      <c r="E17" s="488">
        <v>400</v>
      </c>
      <c r="F17" s="85"/>
      <c r="G17" s="88" t="s">
        <v>133</v>
      </c>
      <c r="H17" s="89">
        <v>2</v>
      </c>
      <c r="I17" s="488">
        <v>1600</v>
      </c>
    </row>
    <row r="18" spans="1:9">
      <c r="A18" s="88" t="s">
        <v>134</v>
      </c>
      <c r="B18" s="89">
        <v>2</v>
      </c>
      <c r="C18" s="488">
        <v>1400</v>
      </c>
      <c r="D18" s="488">
        <v>1800</v>
      </c>
      <c r="E18" s="488">
        <v>400</v>
      </c>
      <c r="F18" s="85"/>
      <c r="G18" s="88" t="s">
        <v>134</v>
      </c>
      <c r="H18" s="89">
        <v>2</v>
      </c>
      <c r="I18" s="488">
        <v>1400</v>
      </c>
    </row>
    <row r="19" spans="1:9">
      <c r="A19" s="88" t="s">
        <v>135</v>
      </c>
      <c r="B19" s="89">
        <v>2</v>
      </c>
      <c r="C19" s="488">
        <v>600</v>
      </c>
      <c r="D19" s="488">
        <v>900</v>
      </c>
      <c r="E19" s="488">
        <v>300</v>
      </c>
      <c r="F19" s="85"/>
      <c r="G19" s="88" t="s">
        <v>135</v>
      </c>
      <c r="H19" s="89">
        <v>2</v>
      </c>
      <c r="I19" s="488">
        <v>600</v>
      </c>
    </row>
    <row r="20" spans="1:9">
      <c r="A20" s="88" t="s">
        <v>136</v>
      </c>
      <c r="B20" s="89">
        <v>2</v>
      </c>
      <c r="C20" s="488">
        <v>400</v>
      </c>
      <c r="D20" s="488">
        <v>700</v>
      </c>
      <c r="E20" s="488">
        <v>300</v>
      </c>
      <c r="F20" s="85"/>
      <c r="G20" s="88" t="s">
        <v>136</v>
      </c>
      <c r="H20" s="89">
        <v>2</v>
      </c>
      <c r="I20" s="488">
        <v>400</v>
      </c>
    </row>
    <row r="21" spans="1:9">
      <c r="A21" s="85"/>
      <c r="B21" s="85"/>
      <c r="C21" s="85"/>
      <c r="D21" s="85"/>
      <c r="E21" s="85"/>
      <c r="F21" s="85"/>
      <c r="G21" s="88" t="s">
        <v>137</v>
      </c>
      <c r="H21" s="89">
        <v>3</v>
      </c>
      <c r="I21" s="488">
        <v>219</v>
      </c>
    </row>
    <row r="22" spans="1:9" ht="15.75" customHeight="1">
      <c r="A22" s="85"/>
      <c r="B22" s="86" t="s">
        <v>124</v>
      </c>
      <c r="C22" s="489">
        <f>SUM(C11:C20)</f>
        <v>6260</v>
      </c>
      <c r="D22" s="489">
        <f>SUM(D11:D20)</f>
        <v>8535</v>
      </c>
      <c r="E22" s="489">
        <f>D22-C22</f>
        <v>2275</v>
      </c>
      <c r="F22" s="85"/>
      <c r="G22" s="88" t="s">
        <v>138</v>
      </c>
      <c r="H22" s="89">
        <v>4</v>
      </c>
      <c r="I22" s="488">
        <v>108</v>
      </c>
    </row>
    <row r="23" spans="1:9" ht="15.75" customHeight="1">
      <c r="A23" s="85"/>
      <c r="B23" s="85"/>
      <c r="C23" s="85"/>
      <c r="D23" s="85"/>
      <c r="E23" s="85"/>
      <c r="F23" s="85"/>
      <c r="G23" s="88" t="s">
        <v>139</v>
      </c>
      <c r="H23" s="89">
        <v>1</v>
      </c>
      <c r="I23" s="488">
        <v>200</v>
      </c>
    </row>
    <row r="24" spans="1:9" ht="15.75" customHeight="1">
      <c r="A24" s="85"/>
      <c r="B24" s="85"/>
      <c r="C24" s="93" t="s">
        <v>140</v>
      </c>
      <c r="D24" s="491">
        <f>D22*12</f>
        <v>102420</v>
      </c>
      <c r="E24" s="85"/>
      <c r="F24" s="85"/>
      <c r="G24" s="92" t="s">
        <v>124</v>
      </c>
      <c r="H24" s="94"/>
      <c r="I24" s="490">
        <f>SUM(I11:I23)</f>
        <v>6787</v>
      </c>
    </row>
    <row r="25" spans="1:9" ht="15.75" customHeight="1"/>
    <row r="26" spans="1:9" ht="15.75" customHeight="1">
      <c r="H26" s="95" t="s">
        <v>141</v>
      </c>
      <c r="I26" s="492">
        <f>I24*12</f>
        <v>81444</v>
      </c>
    </row>
    <row r="27" spans="1:9" ht="15.75" customHeight="1"/>
    <row r="28" spans="1:9" ht="15.75" customHeight="1">
      <c r="H28" s="493" t="s">
        <v>297</v>
      </c>
      <c r="I28" s="494">
        <f>D24-I26</f>
        <v>20976</v>
      </c>
    </row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C4:G4"/>
    <mergeCell ref="A9:E9"/>
    <mergeCell ref="G9:I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L1003"/>
  <sheetViews>
    <sheetView tabSelected="1" topLeftCell="A39" workbookViewId="0">
      <selection activeCell="B15" sqref="B15:E15"/>
    </sheetView>
  </sheetViews>
  <sheetFormatPr baseColWidth="10" defaultColWidth="12.6640625" defaultRowHeight="15" customHeight="1"/>
  <cols>
    <col min="1" max="1" width="9.33203125" customWidth="1"/>
    <col min="2" max="2" width="32.1640625" customWidth="1"/>
    <col min="3" max="3" width="10.83203125" customWidth="1"/>
    <col min="4" max="4" width="12.33203125" customWidth="1"/>
    <col min="5" max="5" width="12.1640625" customWidth="1"/>
    <col min="6" max="6" width="9.33203125" customWidth="1"/>
    <col min="7" max="7" width="12.33203125" customWidth="1"/>
    <col min="8" max="8" width="30.6640625" customWidth="1"/>
    <col min="9" max="9" width="14.33203125" customWidth="1"/>
    <col min="10" max="10" width="18.33203125" customWidth="1"/>
    <col min="11" max="11" width="12.33203125" customWidth="1"/>
    <col min="12" max="26" width="9.33203125" customWidth="1"/>
  </cols>
  <sheetData>
    <row r="4" spans="2:11" ht="16">
      <c r="C4" s="478" t="s">
        <v>142</v>
      </c>
      <c r="D4" s="479"/>
    </row>
    <row r="6" spans="2:11">
      <c r="B6" s="96"/>
      <c r="C6" s="96"/>
      <c r="D6" s="96"/>
      <c r="E6" s="96"/>
      <c r="F6" s="96"/>
      <c r="G6" s="96"/>
      <c r="H6" s="96"/>
      <c r="I6" s="96"/>
      <c r="J6" s="96"/>
      <c r="K6" s="96"/>
    </row>
    <row r="7" spans="2:11">
      <c r="B7" s="96"/>
      <c r="C7" s="96"/>
      <c r="D7" s="96"/>
      <c r="E7" s="96"/>
      <c r="F7" s="96"/>
      <c r="G7" s="96"/>
      <c r="H7" s="96"/>
      <c r="I7" s="96"/>
      <c r="J7" s="96"/>
      <c r="K7" s="96"/>
    </row>
    <row r="8" spans="2:11">
      <c r="B8" s="96"/>
      <c r="C8" s="96"/>
      <c r="D8" s="96"/>
      <c r="E8" s="96"/>
      <c r="F8" s="96"/>
      <c r="G8" s="96"/>
      <c r="H8" s="96"/>
      <c r="I8" s="96"/>
      <c r="J8" s="96"/>
      <c r="K8" s="96"/>
    </row>
    <row r="9" spans="2:11" ht="14">
      <c r="B9" s="357" t="s">
        <v>143</v>
      </c>
      <c r="C9" s="358"/>
      <c r="D9" s="358"/>
      <c r="E9" s="358"/>
      <c r="F9" s="358"/>
      <c r="G9" s="358"/>
      <c r="H9" s="358"/>
      <c r="I9" s="358"/>
      <c r="J9" s="358"/>
      <c r="K9" s="359"/>
    </row>
    <row r="10" spans="2:11" ht="14">
      <c r="B10" s="360"/>
      <c r="C10" s="361"/>
      <c r="D10" s="361"/>
      <c r="E10" s="361"/>
      <c r="F10" s="361"/>
      <c r="G10" s="361"/>
      <c r="H10" s="361"/>
      <c r="I10" s="361"/>
      <c r="J10" s="361"/>
      <c r="K10" s="362"/>
    </row>
    <row r="11" spans="2:11">
      <c r="B11" s="96"/>
      <c r="C11" s="96"/>
      <c r="D11" s="96"/>
      <c r="E11" s="96"/>
      <c r="F11" s="96"/>
      <c r="G11" s="96"/>
      <c r="H11" s="96"/>
      <c r="I11" s="96"/>
      <c r="J11" s="96"/>
      <c r="K11" s="96"/>
    </row>
    <row r="12" spans="2:11">
      <c r="B12" s="363" t="s">
        <v>146</v>
      </c>
      <c r="C12" s="364"/>
      <c r="D12" s="364"/>
      <c r="E12" s="365"/>
      <c r="F12" s="96"/>
      <c r="G12" s="96"/>
      <c r="H12" s="363" t="s">
        <v>147</v>
      </c>
      <c r="I12" s="364"/>
      <c r="J12" s="364"/>
      <c r="K12" s="365"/>
    </row>
    <row r="13" spans="2:11">
      <c r="B13" s="96"/>
      <c r="C13" s="96"/>
      <c r="D13" s="96"/>
      <c r="E13" s="96"/>
      <c r="F13" s="96"/>
      <c r="G13" s="96"/>
      <c r="H13" s="96"/>
      <c r="I13" s="96"/>
      <c r="J13" s="96"/>
      <c r="K13" s="96"/>
    </row>
    <row r="14" spans="2:11">
      <c r="B14" s="96"/>
      <c r="C14" s="96"/>
      <c r="D14" s="96"/>
      <c r="E14" s="96"/>
      <c r="F14" s="96"/>
      <c r="G14" s="96"/>
      <c r="H14" s="96"/>
      <c r="I14" s="96"/>
      <c r="J14" s="96"/>
      <c r="K14" s="96"/>
    </row>
    <row r="15" spans="2:11">
      <c r="B15" s="348" t="s">
        <v>148</v>
      </c>
      <c r="C15" s="334"/>
      <c r="D15" s="334"/>
      <c r="E15" s="332"/>
      <c r="F15" s="2"/>
      <c r="G15" s="2"/>
      <c r="H15" s="348" t="s">
        <v>149</v>
      </c>
      <c r="I15" s="334"/>
      <c r="J15" s="334"/>
      <c r="K15" s="332"/>
    </row>
    <row r="16" spans="2:11">
      <c r="B16" s="100" t="s">
        <v>121</v>
      </c>
      <c r="C16" s="100" t="s">
        <v>21</v>
      </c>
      <c r="D16" s="100" t="s">
        <v>150</v>
      </c>
      <c r="E16" s="100" t="s">
        <v>124</v>
      </c>
      <c r="F16" s="2"/>
      <c r="G16" s="1"/>
      <c r="H16" s="52" t="s">
        <v>152</v>
      </c>
      <c r="I16" s="49">
        <v>1</v>
      </c>
      <c r="J16" s="52">
        <v>150000</v>
      </c>
      <c r="K16" s="52">
        <f>J16</f>
        <v>150000</v>
      </c>
    </row>
    <row r="17" spans="2:11">
      <c r="B17" s="49" t="s">
        <v>153</v>
      </c>
      <c r="C17" s="101">
        <v>1</v>
      </c>
      <c r="D17" s="52">
        <v>4800</v>
      </c>
      <c r="E17" s="52">
        <f t="shared" ref="E17:E21" si="0">C17*D17</f>
        <v>4800</v>
      </c>
      <c r="F17" s="2"/>
      <c r="G17" s="2"/>
      <c r="H17" s="52"/>
      <c r="I17" s="52"/>
      <c r="J17" s="104" t="s">
        <v>124</v>
      </c>
      <c r="K17" s="104">
        <f>+SUM(K16)</f>
        <v>150000</v>
      </c>
    </row>
    <row r="18" spans="2:11">
      <c r="B18" s="49" t="s">
        <v>24</v>
      </c>
      <c r="C18" s="101">
        <v>3</v>
      </c>
      <c r="D18" s="52">
        <v>1600</v>
      </c>
      <c r="E18" s="52">
        <f t="shared" si="0"/>
        <v>4800</v>
      </c>
      <c r="F18" s="2"/>
      <c r="G18" s="2"/>
      <c r="H18" s="348" t="s">
        <v>157</v>
      </c>
      <c r="I18" s="334"/>
      <c r="J18" s="334"/>
      <c r="K18" s="332"/>
    </row>
    <row r="19" spans="2:11">
      <c r="B19" s="49" t="s">
        <v>159</v>
      </c>
      <c r="C19" s="101">
        <v>3</v>
      </c>
      <c r="D19" s="52">
        <v>11500</v>
      </c>
      <c r="E19" s="52">
        <f t="shared" si="0"/>
        <v>34500</v>
      </c>
      <c r="F19" s="2"/>
      <c r="G19" s="2"/>
      <c r="H19" s="33" t="s">
        <v>121</v>
      </c>
      <c r="I19" s="33" t="s">
        <v>21</v>
      </c>
      <c r="J19" s="33" t="s">
        <v>150</v>
      </c>
      <c r="K19" s="33" t="s">
        <v>124</v>
      </c>
    </row>
    <row r="20" spans="2:11">
      <c r="B20" s="49" t="s">
        <v>33</v>
      </c>
      <c r="C20" s="101">
        <v>1</v>
      </c>
      <c r="D20" s="52">
        <v>5000</v>
      </c>
      <c r="E20" s="52">
        <f t="shared" si="0"/>
        <v>5000</v>
      </c>
      <c r="F20" s="2"/>
      <c r="G20" s="2"/>
      <c r="H20" s="52" t="s">
        <v>162</v>
      </c>
      <c r="I20" s="49">
        <v>1</v>
      </c>
      <c r="J20" s="52">
        <v>12000</v>
      </c>
      <c r="K20" s="52">
        <f>+J20*I20</f>
        <v>12000</v>
      </c>
    </row>
    <row r="21" spans="2:11">
      <c r="B21" s="49" t="s">
        <v>36</v>
      </c>
      <c r="C21" s="101">
        <v>1</v>
      </c>
      <c r="D21" s="52">
        <v>15000</v>
      </c>
      <c r="E21" s="52">
        <f t="shared" si="0"/>
        <v>15000</v>
      </c>
      <c r="F21" s="2"/>
      <c r="G21" s="2"/>
      <c r="H21" s="52" t="s">
        <v>164</v>
      </c>
      <c r="I21" s="49">
        <v>1</v>
      </c>
      <c r="J21" s="52">
        <v>15000</v>
      </c>
      <c r="K21" s="52">
        <f>+J21</f>
        <v>15000</v>
      </c>
    </row>
    <row r="22" spans="2:11">
      <c r="B22" s="49"/>
      <c r="C22" s="101"/>
      <c r="D22" s="106" t="s">
        <v>124</v>
      </c>
      <c r="E22" s="104">
        <f>+SUM(E17:E21)</f>
        <v>64100</v>
      </c>
      <c r="F22" s="2"/>
      <c r="G22" s="2"/>
      <c r="H22" s="52"/>
      <c r="I22" s="49"/>
      <c r="J22" s="104" t="s">
        <v>124</v>
      </c>
      <c r="K22" s="104">
        <f>+K20+K21</f>
        <v>27000</v>
      </c>
    </row>
    <row r="23" spans="2:11" ht="15.75" customHeight="1">
      <c r="B23" s="348" t="s">
        <v>167</v>
      </c>
      <c r="C23" s="334"/>
      <c r="D23" s="334"/>
      <c r="E23" s="332"/>
      <c r="F23" s="2"/>
      <c r="G23" s="2"/>
      <c r="H23" s="348" t="s">
        <v>168</v>
      </c>
      <c r="I23" s="334"/>
      <c r="J23" s="334"/>
      <c r="K23" s="332"/>
    </row>
    <row r="24" spans="2:11" ht="15.75" customHeight="1">
      <c r="B24" s="33" t="s">
        <v>121</v>
      </c>
      <c r="C24" s="33" t="s">
        <v>21</v>
      </c>
      <c r="D24" s="33" t="s">
        <v>150</v>
      </c>
      <c r="E24" s="33" t="s">
        <v>124</v>
      </c>
      <c r="F24" s="2"/>
      <c r="G24" s="2"/>
      <c r="H24" s="33" t="s">
        <v>121</v>
      </c>
      <c r="I24" s="33" t="s">
        <v>21</v>
      </c>
      <c r="J24" s="33" t="s">
        <v>150</v>
      </c>
      <c r="K24" s="33" t="s">
        <v>124</v>
      </c>
    </row>
    <row r="25" spans="2:11" ht="15.75" customHeight="1">
      <c r="B25" s="108" t="s">
        <v>170</v>
      </c>
      <c r="C25" s="109">
        <v>1</v>
      </c>
      <c r="D25" s="110">
        <v>5000</v>
      </c>
      <c r="E25" s="110">
        <f t="shared" ref="E25:E29" si="1">+D25*C25</f>
        <v>5000</v>
      </c>
      <c r="F25" s="2"/>
      <c r="G25" s="2"/>
      <c r="H25" s="52" t="s">
        <v>171</v>
      </c>
      <c r="I25" s="49">
        <v>1</v>
      </c>
      <c r="J25" s="52">
        <v>4000</v>
      </c>
      <c r="K25" s="52">
        <f>J25*I25</f>
        <v>4000</v>
      </c>
    </row>
    <row r="26" spans="2:11" ht="15.75" customHeight="1">
      <c r="B26" s="108" t="s">
        <v>172</v>
      </c>
      <c r="C26" s="109">
        <v>4</v>
      </c>
      <c r="D26" s="110">
        <v>1500</v>
      </c>
      <c r="E26" s="110">
        <f t="shared" si="1"/>
        <v>6000</v>
      </c>
      <c r="F26" s="2"/>
      <c r="G26" s="2"/>
      <c r="H26" s="52"/>
      <c r="I26" s="49"/>
      <c r="J26" s="104" t="s">
        <v>124</v>
      </c>
      <c r="K26" s="104">
        <f>SUM(K25)</f>
        <v>4000</v>
      </c>
    </row>
    <row r="27" spans="2:11" ht="15.75" customHeight="1">
      <c r="B27" s="108" t="s">
        <v>173</v>
      </c>
      <c r="C27" s="109">
        <v>2</v>
      </c>
      <c r="D27" s="110">
        <v>400</v>
      </c>
      <c r="E27" s="110">
        <f t="shared" si="1"/>
        <v>800</v>
      </c>
      <c r="F27" s="2"/>
      <c r="G27" s="2"/>
      <c r="H27" s="2"/>
      <c r="I27" s="2"/>
      <c r="J27" s="2"/>
      <c r="K27" s="2"/>
    </row>
    <row r="28" spans="2:11" ht="15.75" customHeight="1">
      <c r="B28" s="108" t="s">
        <v>175</v>
      </c>
      <c r="C28" s="109">
        <v>6</v>
      </c>
      <c r="D28" s="110">
        <v>10000</v>
      </c>
      <c r="E28" s="110">
        <f t="shared" si="1"/>
        <v>60000</v>
      </c>
      <c r="F28" s="2"/>
      <c r="G28" s="2"/>
      <c r="H28" s="117" t="s">
        <v>147</v>
      </c>
      <c r="I28" s="119"/>
      <c r="J28" s="121">
        <f>+K22+K17+K26</f>
        <v>181000</v>
      </c>
      <c r="K28" s="2"/>
    </row>
    <row r="29" spans="2:11" ht="15.75" customHeight="1">
      <c r="B29" s="108" t="s">
        <v>176</v>
      </c>
      <c r="C29" s="109">
        <v>2</v>
      </c>
      <c r="D29" s="110">
        <v>2000</v>
      </c>
      <c r="E29" s="110">
        <f t="shared" si="1"/>
        <v>4000</v>
      </c>
      <c r="F29" s="2"/>
      <c r="G29" s="2"/>
      <c r="H29" s="96"/>
      <c r="I29" s="2"/>
      <c r="J29" s="2"/>
      <c r="K29" s="2"/>
    </row>
    <row r="30" spans="2:11" ht="15.75" customHeight="1">
      <c r="B30" s="49"/>
      <c r="C30" s="101"/>
      <c r="D30" s="106" t="s">
        <v>124</v>
      </c>
      <c r="E30" s="104">
        <f>+SUM(E25:E29)</f>
        <v>75800</v>
      </c>
      <c r="F30" s="2"/>
      <c r="G30" s="2"/>
      <c r="H30" s="2"/>
      <c r="I30" s="2"/>
      <c r="J30" s="2"/>
      <c r="K30" s="96"/>
    </row>
    <row r="31" spans="2:11" ht="15.75" customHeight="1">
      <c r="B31" s="348" t="s">
        <v>177</v>
      </c>
      <c r="C31" s="334"/>
      <c r="D31" s="334"/>
      <c r="E31" s="332"/>
      <c r="F31" s="2"/>
      <c r="G31" s="2"/>
      <c r="H31" s="2"/>
      <c r="I31" s="2"/>
      <c r="J31" s="2"/>
      <c r="K31" s="2"/>
    </row>
    <row r="32" spans="2:11" ht="15.75" customHeight="1">
      <c r="B32" s="33" t="s">
        <v>121</v>
      </c>
      <c r="C32" s="33" t="s">
        <v>21</v>
      </c>
      <c r="D32" s="33" t="s">
        <v>150</v>
      </c>
      <c r="E32" s="33" t="s">
        <v>124</v>
      </c>
      <c r="F32" s="2"/>
      <c r="G32" s="2"/>
      <c r="H32" s="96"/>
      <c r="I32" s="96"/>
      <c r="J32" s="96"/>
      <c r="K32" s="96"/>
    </row>
    <row r="33" spans="2:12" ht="15.75" customHeight="1">
      <c r="B33" s="108" t="s">
        <v>179</v>
      </c>
      <c r="C33" s="109">
        <v>1</v>
      </c>
      <c r="D33" s="110">
        <v>8000</v>
      </c>
      <c r="E33" s="110">
        <f t="shared" ref="E33:E34" si="2">+D33</f>
        <v>8000</v>
      </c>
      <c r="F33" s="2"/>
      <c r="G33" s="2"/>
      <c r="H33" s="96"/>
      <c r="I33" s="96"/>
      <c r="J33" s="96"/>
      <c r="K33" s="96"/>
    </row>
    <row r="34" spans="2:12" ht="15.75" customHeight="1">
      <c r="B34" s="108" t="s">
        <v>180</v>
      </c>
      <c r="C34" s="109">
        <v>0</v>
      </c>
      <c r="D34" s="110">
        <v>0</v>
      </c>
      <c r="E34" s="110">
        <f t="shared" si="2"/>
        <v>0</v>
      </c>
      <c r="F34" s="2"/>
      <c r="G34" s="2"/>
      <c r="H34" s="2"/>
      <c r="I34" s="2"/>
      <c r="J34" s="2"/>
      <c r="K34" s="2"/>
    </row>
    <row r="35" spans="2:12" ht="15" customHeight="1">
      <c r="B35" s="49"/>
      <c r="C35" s="101"/>
      <c r="D35" s="106" t="s">
        <v>124</v>
      </c>
      <c r="E35" s="104">
        <f>+SUM(E33:E34)</f>
        <v>8000</v>
      </c>
      <c r="F35" s="2"/>
      <c r="G35" s="2"/>
      <c r="H35" s="2"/>
      <c r="I35" s="2"/>
      <c r="J35" s="2"/>
      <c r="K35" s="2"/>
    </row>
    <row r="36" spans="2:12" ht="19" customHeight="1">
      <c r="B36" s="348" t="s">
        <v>181</v>
      </c>
      <c r="C36" s="334"/>
      <c r="D36" s="332"/>
      <c r="E36" s="2"/>
      <c r="F36" s="2"/>
      <c r="G36" s="2"/>
      <c r="H36" s="132" t="s">
        <v>182</v>
      </c>
      <c r="I36" s="134"/>
      <c r="J36" s="136">
        <f>+J28+D70</f>
        <v>1156040</v>
      </c>
      <c r="K36" s="2"/>
    </row>
    <row r="37" spans="2:12" ht="15.75" customHeight="1">
      <c r="B37" s="33" t="s">
        <v>121</v>
      </c>
      <c r="C37" s="33" t="s">
        <v>150</v>
      </c>
      <c r="D37" s="33" t="s">
        <v>124</v>
      </c>
      <c r="E37" s="2"/>
      <c r="F37" s="2"/>
      <c r="G37" s="2"/>
      <c r="H37" s="18"/>
      <c r="I37" s="2"/>
      <c r="J37" s="2"/>
      <c r="K37" s="2"/>
    </row>
    <row r="38" spans="2:12" ht="15.75" customHeight="1">
      <c r="B38" s="49" t="s">
        <v>183</v>
      </c>
      <c r="C38" s="139">
        <v>7000</v>
      </c>
      <c r="D38" s="52">
        <f>+C38</f>
        <v>7000</v>
      </c>
      <c r="E38" s="2"/>
      <c r="F38" s="2"/>
      <c r="G38" s="2"/>
      <c r="H38" s="2"/>
      <c r="I38" s="2"/>
      <c r="J38" s="2"/>
      <c r="K38" s="2"/>
    </row>
    <row r="39" spans="2:12" ht="15.75" customHeight="1">
      <c r="B39" s="49" t="s">
        <v>184</v>
      </c>
      <c r="C39" s="139">
        <v>5000</v>
      </c>
      <c r="D39" s="52">
        <f>+C39</f>
        <v>5000</v>
      </c>
      <c r="E39" s="2"/>
      <c r="F39" s="2"/>
      <c r="G39" s="2"/>
      <c r="K39" s="2"/>
    </row>
    <row r="40" spans="2:12" ht="15.75" customHeight="1">
      <c r="B40" s="49" t="s">
        <v>186</v>
      </c>
      <c r="C40" s="139">
        <v>600</v>
      </c>
      <c r="D40" s="52">
        <f t="shared" ref="D40:D41" si="3">+C40</f>
        <v>600</v>
      </c>
      <c r="E40" s="2"/>
      <c r="F40" s="2"/>
      <c r="G40" s="2"/>
      <c r="H40" s="481" t="s">
        <v>121</v>
      </c>
      <c r="I40" s="481" t="s">
        <v>158</v>
      </c>
      <c r="J40" s="481" t="s">
        <v>185</v>
      </c>
      <c r="K40" s="2"/>
    </row>
    <row r="41" spans="2:12" ht="15.75" customHeight="1">
      <c r="B41" s="49" t="s">
        <v>188</v>
      </c>
      <c r="C41" s="139">
        <v>13000</v>
      </c>
      <c r="D41" s="52">
        <f t="shared" si="3"/>
        <v>13000</v>
      </c>
      <c r="E41" s="2"/>
      <c r="F41" s="2"/>
      <c r="G41" s="2"/>
      <c r="H41" s="482" t="s">
        <v>187</v>
      </c>
      <c r="I41" s="483">
        <f>D70</f>
        <v>975040</v>
      </c>
      <c r="J41" s="484">
        <f>D70/I43</f>
        <v>0.84343102314798801</v>
      </c>
      <c r="K41" s="2"/>
    </row>
    <row r="42" spans="2:12" ht="15.75" customHeight="1">
      <c r="B42" s="49"/>
      <c r="C42" s="147" t="s">
        <v>124</v>
      </c>
      <c r="D42" s="104">
        <f>+SUM(D38:D41)</f>
        <v>25600</v>
      </c>
      <c r="E42" s="2"/>
      <c r="F42" s="2"/>
      <c r="G42" s="2"/>
      <c r="H42" s="482" t="s">
        <v>189</v>
      </c>
      <c r="I42" s="483">
        <f>J28</f>
        <v>181000</v>
      </c>
      <c r="J42" s="484">
        <f>J28/I43</f>
        <v>0.15656897685201204</v>
      </c>
      <c r="K42" s="2"/>
    </row>
    <row r="43" spans="2:12" ht="15.75" customHeight="1">
      <c r="B43" s="348" t="s">
        <v>191</v>
      </c>
      <c r="C43" s="334"/>
      <c r="D43" s="332"/>
      <c r="E43" s="2"/>
      <c r="F43" s="2"/>
      <c r="G43" s="2"/>
      <c r="H43" s="485" t="s">
        <v>124</v>
      </c>
      <c r="I43" s="486">
        <f>J28+D70</f>
        <v>1156040</v>
      </c>
      <c r="J43" s="487">
        <f>SUM(J41:J42)</f>
        <v>1</v>
      </c>
      <c r="K43" s="2"/>
    </row>
    <row r="44" spans="2:12" ht="15.75" customHeight="1">
      <c r="B44" s="33" t="s">
        <v>121</v>
      </c>
      <c r="C44" s="33" t="s">
        <v>21</v>
      </c>
      <c r="D44" s="33" t="s">
        <v>150</v>
      </c>
      <c r="E44" s="33" t="s">
        <v>124</v>
      </c>
      <c r="F44" s="2"/>
      <c r="G44" s="2"/>
      <c r="H44" s="2"/>
      <c r="I44" s="2"/>
      <c r="J44" s="2"/>
      <c r="K44" s="2"/>
      <c r="L44" s="2"/>
    </row>
    <row r="45" spans="2:12" ht="15.75" customHeight="1">
      <c r="B45" s="34" t="s">
        <v>192</v>
      </c>
      <c r="C45" s="101">
        <v>12</v>
      </c>
      <c r="D45" s="52">
        <v>50000</v>
      </c>
      <c r="E45" s="495">
        <f>D45*C45</f>
        <v>600000</v>
      </c>
      <c r="F45" s="2"/>
      <c r="G45" s="2"/>
      <c r="H45" s="2"/>
      <c r="I45" s="2"/>
      <c r="J45" s="2"/>
      <c r="K45" s="2"/>
    </row>
    <row r="46" spans="2:12" ht="15.75" customHeight="1">
      <c r="B46" s="49"/>
      <c r="C46" s="150"/>
      <c r="D46" s="104" t="s">
        <v>124</v>
      </c>
      <c r="E46" s="104">
        <f>E45</f>
        <v>600000</v>
      </c>
      <c r="F46" s="2"/>
      <c r="G46" s="2"/>
      <c r="H46" s="2"/>
      <c r="I46" s="2"/>
      <c r="J46" s="2"/>
      <c r="K46" s="2"/>
    </row>
    <row r="47" spans="2:12" ht="15.75" customHeight="1">
      <c r="B47" s="153" t="s">
        <v>195</v>
      </c>
      <c r="C47" s="153"/>
      <c r="D47" s="153"/>
      <c r="E47" s="153"/>
      <c r="F47" s="2"/>
      <c r="G47" s="2"/>
      <c r="H47" s="2"/>
      <c r="I47" s="2"/>
      <c r="J47" s="2"/>
      <c r="K47" s="2"/>
    </row>
    <row r="48" spans="2:12" ht="15.75" customHeight="1">
      <c r="B48" s="33" t="s">
        <v>121</v>
      </c>
      <c r="C48" s="33" t="s">
        <v>21</v>
      </c>
      <c r="D48" s="33" t="s">
        <v>150</v>
      </c>
      <c r="E48" s="33" t="s">
        <v>124</v>
      </c>
      <c r="F48" s="2"/>
      <c r="G48" s="2"/>
      <c r="H48" s="2"/>
      <c r="I48" s="2"/>
      <c r="J48" s="2"/>
      <c r="K48" s="2"/>
    </row>
    <row r="49" spans="2:11" ht="15.75" customHeight="1">
      <c r="B49" s="49" t="s">
        <v>196</v>
      </c>
      <c r="C49" s="101">
        <v>20</v>
      </c>
      <c r="D49" s="52">
        <v>60</v>
      </c>
      <c r="E49" s="52">
        <f t="shared" ref="E49:E57" si="4">D49*C49</f>
        <v>1200</v>
      </c>
      <c r="F49" s="2"/>
      <c r="G49" s="2"/>
      <c r="H49" s="2"/>
      <c r="I49" s="2"/>
      <c r="J49" s="2"/>
      <c r="K49" s="2"/>
    </row>
    <row r="50" spans="2:11" ht="15.75" customHeight="1">
      <c r="B50" s="49" t="s">
        <v>197</v>
      </c>
      <c r="C50" s="101">
        <v>5</v>
      </c>
      <c r="D50" s="52">
        <v>9</v>
      </c>
      <c r="E50" s="52">
        <f t="shared" si="4"/>
        <v>45</v>
      </c>
      <c r="F50" s="2"/>
      <c r="G50" s="2"/>
      <c r="H50" s="2"/>
      <c r="I50" s="2"/>
      <c r="J50" s="2"/>
      <c r="K50" s="2"/>
    </row>
    <row r="51" spans="2:11" ht="15.75" customHeight="1">
      <c r="B51" s="49" t="s">
        <v>199</v>
      </c>
      <c r="C51" s="101">
        <v>3</v>
      </c>
      <c r="D51" s="52">
        <v>60</v>
      </c>
      <c r="E51" s="52">
        <f t="shared" si="4"/>
        <v>180</v>
      </c>
      <c r="F51" s="2"/>
      <c r="G51" s="2"/>
      <c r="H51" s="2"/>
      <c r="I51" s="2"/>
      <c r="J51" s="2"/>
      <c r="K51" s="2"/>
    </row>
    <row r="52" spans="2:11" ht="15.75" customHeight="1">
      <c r="B52" s="49" t="s">
        <v>200</v>
      </c>
      <c r="C52" s="101">
        <v>8</v>
      </c>
      <c r="D52" s="52">
        <v>60</v>
      </c>
      <c r="E52" s="52">
        <f t="shared" si="4"/>
        <v>480</v>
      </c>
      <c r="F52" s="2"/>
      <c r="G52" s="2"/>
      <c r="K52" s="2"/>
    </row>
    <row r="53" spans="2:11" ht="15.75" customHeight="1">
      <c r="B53" s="49" t="s">
        <v>203</v>
      </c>
      <c r="C53" s="101">
        <v>10</v>
      </c>
      <c r="D53" s="52">
        <v>180</v>
      </c>
      <c r="E53" s="52">
        <f t="shared" si="4"/>
        <v>1800</v>
      </c>
      <c r="F53" s="2"/>
      <c r="G53" s="2"/>
      <c r="H53" s="96"/>
      <c r="I53" s="2"/>
      <c r="J53" s="2"/>
      <c r="K53" s="2"/>
    </row>
    <row r="54" spans="2:11" ht="15.75" customHeight="1">
      <c r="B54" s="49" t="s">
        <v>91</v>
      </c>
      <c r="C54" s="101">
        <v>2</v>
      </c>
      <c r="D54" s="52">
        <v>640</v>
      </c>
      <c r="E54" s="52">
        <f t="shared" si="4"/>
        <v>1280</v>
      </c>
      <c r="F54" s="96"/>
      <c r="G54" s="96"/>
      <c r="H54" s="2"/>
      <c r="I54" s="2"/>
      <c r="J54" s="2"/>
      <c r="K54" s="2"/>
    </row>
    <row r="55" spans="2:11" ht="15.75" customHeight="1">
      <c r="B55" s="49" t="s">
        <v>204</v>
      </c>
      <c r="C55" s="101">
        <v>4</v>
      </c>
      <c r="D55" s="52">
        <v>160</v>
      </c>
      <c r="E55" s="52">
        <f t="shared" si="4"/>
        <v>640</v>
      </c>
      <c r="F55" s="2"/>
      <c r="G55" s="2"/>
      <c r="H55" s="2"/>
      <c r="I55" s="2"/>
      <c r="J55" s="2"/>
      <c r="K55" s="2"/>
    </row>
    <row r="56" spans="2:11" ht="15.75" customHeight="1">
      <c r="B56" s="49" t="s">
        <v>205</v>
      </c>
      <c r="C56" s="101">
        <v>50</v>
      </c>
      <c r="D56" s="52">
        <v>60</v>
      </c>
      <c r="E56" s="52">
        <f t="shared" si="4"/>
        <v>3000</v>
      </c>
      <c r="F56" s="2"/>
      <c r="G56" s="2"/>
      <c r="H56" s="2"/>
      <c r="I56" s="2"/>
      <c r="J56" s="2"/>
      <c r="K56" s="2"/>
    </row>
    <row r="57" spans="2:11" ht="15.75" customHeight="1">
      <c r="B57" s="49" t="s">
        <v>206</v>
      </c>
      <c r="C57" s="101">
        <v>3</v>
      </c>
      <c r="D57" s="52">
        <v>2200</v>
      </c>
      <c r="E57" s="52">
        <f t="shared" si="4"/>
        <v>6600</v>
      </c>
      <c r="F57" s="2"/>
      <c r="G57" s="2"/>
      <c r="H57" s="96"/>
      <c r="I57" s="2"/>
      <c r="J57" s="2"/>
      <c r="K57" s="2"/>
    </row>
    <row r="58" spans="2:11" s="329" customFormat="1" ht="15.75" customHeight="1">
      <c r="B58" s="49"/>
      <c r="C58" s="101"/>
      <c r="D58" s="480" t="s">
        <v>245</v>
      </c>
      <c r="E58" s="104">
        <f>+SUM(E48:E57)</f>
        <v>15225</v>
      </c>
      <c r="F58" s="2"/>
      <c r="G58" s="2"/>
      <c r="H58" s="96"/>
      <c r="I58" s="2"/>
      <c r="J58" s="2"/>
      <c r="K58" s="2"/>
    </row>
    <row r="59" spans="2:11" ht="15.75" customHeight="1">
      <c r="B59" s="49"/>
      <c r="C59" s="101"/>
      <c r="D59" s="104" t="s">
        <v>124</v>
      </c>
      <c r="E59" s="104">
        <f>+E58*12+E67</f>
        <v>192120</v>
      </c>
      <c r="F59" s="96"/>
      <c r="G59" s="96"/>
      <c r="H59" s="2"/>
      <c r="I59" s="2"/>
      <c r="J59" s="2"/>
      <c r="K59" s="2"/>
    </row>
    <row r="60" spans="2:11" ht="15.75" customHeight="1">
      <c r="B60" s="153" t="s">
        <v>207</v>
      </c>
      <c r="C60" s="153"/>
      <c r="D60" s="153"/>
      <c r="E60" s="153"/>
      <c r="F60" s="2"/>
      <c r="G60" s="2"/>
      <c r="H60" s="2"/>
      <c r="I60" s="2"/>
      <c r="J60" s="2"/>
      <c r="K60" s="2"/>
    </row>
    <row r="61" spans="2:11" ht="15.75" customHeight="1">
      <c r="B61" s="164" t="s">
        <v>121</v>
      </c>
      <c r="C61" s="164" t="s">
        <v>21</v>
      </c>
      <c r="D61" s="164" t="s">
        <v>150</v>
      </c>
      <c r="E61" s="164" t="s">
        <v>124</v>
      </c>
      <c r="F61" s="2"/>
      <c r="G61" s="144"/>
      <c r="H61" s="2"/>
      <c r="I61" s="2"/>
      <c r="J61" s="2"/>
      <c r="K61" s="2"/>
    </row>
    <row r="62" spans="2:11" ht="15.75" customHeight="1">
      <c r="B62" s="49" t="s">
        <v>208</v>
      </c>
      <c r="C62" s="101">
        <v>8</v>
      </c>
      <c r="D62" s="52">
        <v>200</v>
      </c>
      <c r="E62" s="52">
        <f t="shared" ref="E62:E66" si="5">D62*C62</f>
        <v>1600</v>
      </c>
      <c r="F62" s="2"/>
      <c r="G62" s="2"/>
      <c r="H62" s="2"/>
      <c r="I62" s="2"/>
      <c r="J62" s="2"/>
      <c r="K62" s="2"/>
    </row>
    <row r="63" spans="2:11" ht="15.75" customHeight="1">
      <c r="B63" s="49" t="s">
        <v>209</v>
      </c>
      <c r="C63" s="101">
        <v>8</v>
      </c>
      <c r="D63" s="52">
        <v>35</v>
      </c>
      <c r="E63" s="52">
        <f t="shared" si="5"/>
        <v>280</v>
      </c>
      <c r="F63" s="2"/>
      <c r="G63" s="2"/>
      <c r="H63" s="2"/>
      <c r="I63" s="2"/>
      <c r="J63" s="2"/>
      <c r="K63" s="2"/>
    </row>
    <row r="64" spans="2:11" ht="15.75" customHeight="1">
      <c r="B64" s="49" t="s">
        <v>210</v>
      </c>
      <c r="C64" s="101">
        <v>6</v>
      </c>
      <c r="D64" s="52">
        <v>200</v>
      </c>
      <c r="E64" s="52">
        <f t="shared" si="5"/>
        <v>1200</v>
      </c>
      <c r="F64" s="2"/>
      <c r="G64" s="2"/>
      <c r="H64" s="2"/>
      <c r="I64" s="2"/>
      <c r="J64" s="2"/>
      <c r="K64" s="2"/>
    </row>
    <row r="65" spans="2:11" ht="15.75" customHeight="1">
      <c r="B65" s="49" t="s">
        <v>211</v>
      </c>
      <c r="C65" s="101">
        <v>20</v>
      </c>
      <c r="D65" s="52">
        <v>200</v>
      </c>
      <c r="E65" s="52">
        <f t="shared" si="5"/>
        <v>4000</v>
      </c>
      <c r="F65" s="2"/>
      <c r="G65" s="2"/>
      <c r="H65" s="2"/>
      <c r="I65" s="2"/>
      <c r="J65" s="2"/>
      <c r="K65" s="2"/>
    </row>
    <row r="66" spans="2:11" ht="15.75" customHeight="1">
      <c r="B66" s="49" t="s">
        <v>212</v>
      </c>
      <c r="C66" s="101">
        <v>6</v>
      </c>
      <c r="D66" s="52">
        <v>390</v>
      </c>
      <c r="E66" s="52">
        <f t="shared" si="5"/>
        <v>2340</v>
      </c>
      <c r="F66" s="2"/>
      <c r="G66" s="2"/>
      <c r="H66" s="2"/>
      <c r="I66" s="2"/>
      <c r="J66" s="2"/>
      <c r="K66" s="2"/>
    </row>
    <row r="67" spans="2:11" ht="15.75" customHeight="1">
      <c r="B67" s="49"/>
      <c r="C67" s="101"/>
      <c r="D67" s="52" t="s">
        <v>124</v>
      </c>
      <c r="E67" s="52">
        <f>+SUM(E62:E66)</f>
        <v>9420</v>
      </c>
      <c r="F67" s="2"/>
      <c r="G67" s="2"/>
      <c r="H67" s="2"/>
      <c r="I67" s="2"/>
      <c r="J67" s="2"/>
      <c r="K67" s="2"/>
    </row>
    <row r="68" spans="2:11" ht="15.75" customHeight="1">
      <c r="F68" s="2"/>
      <c r="G68" s="2"/>
      <c r="H68" s="2"/>
      <c r="I68" s="2"/>
      <c r="J68" s="2"/>
      <c r="K68" s="2"/>
    </row>
    <row r="69" spans="2:11" ht="15.75" customHeight="1">
      <c r="F69" s="2"/>
      <c r="G69" s="2"/>
      <c r="H69" s="2"/>
      <c r="I69" s="2"/>
      <c r="J69" s="2"/>
      <c r="K69" s="2"/>
    </row>
    <row r="70" spans="2:11" ht="15.75" customHeight="1">
      <c r="B70" s="158" t="s">
        <v>146</v>
      </c>
      <c r="C70" s="119"/>
      <c r="D70" s="121">
        <f>+E22+E30+E35+D42+E46+E59+E67</f>
        <v>975040</v>
      </c>
      <c r="F70" s="2"/>
      <c r="G70" s="2"/>
      <c r="H70" s="2"/>
      <c r="I70" s="2"/>
      <c r="J70" s="2"/>
      <c r="K70" s="2"/>
    </row>
    <row r="71" spans="2:11" ht="15.75" customHeight="1">
      <c r="F71" s="2"/>
      <c r="G71" s="2"/>
      <c r="H71" s="2"/>
      <c r="I71" s="2"/>
      <c r="J71" s="2"/>
      <c r="K71" s="2"/>
    </row>
    <row r="72" spans="2:11" ht="15.75" customHeight="1">
      <c r="F72" s="2"/>
      <c r="G72" s="2"/>
      <c r="H72" s="2"/>
      <c r="I72" s="2"/>
      <c r="J72" s="2"/>
      <c r="K72" s="2"/>
    </row>
    <row r="73" spans="2:11" ht="15.75" customHeight="1">
      <c r="F73" s="2"/>
      <c r="G73" s="2"/>
      <c r="H73" s="2"/>
      <c r="I73" s="2"/>
      <c r="J73" s="2"/>
      <c r="K73" s="2"/>
    </row>
    <row r="74" spans="2:11" ht="15.75" customHeight="1">
      <c r="F74" s="2"/>
      <c r="G74" s="2"/>
    </row>
    <row r="75" spans="2:11" ht="15.75" customHeight="1"/>
    <row r="76" spans="2:11" ht="15.75" customHeight="1"/>
    <row r="77" spans="2:11" ht="15.75" customHeight="1"/>
    <row r="78" spans="2:11" ht="15.75" customHeight="1"/>
    <row r="79" spans="2:11" ht="15.75" customHeight="1"/>
    <row r="80" spans="2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1">
    <mergeCell ref="B23:E23"/>
    <mergeCell ref="B31:E31"/>
    <mergeCell ref="B36:D36"/>
    <mergeCell ref="B43:D43"/>
    <mergeCell ref="B9:K10"/>
    <mergeCell ref="B12:E12"/>
    <mergeCell ref="H12:K12"/>
    <mergeCell ref="B15:E15"/>
    <mergeCell ref="H15:K15"/>
    <mergeCell ref="H18:K18"/>
    <mergeCell ref="H23:K23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J1000"/>
  <sheetViews>
    <sheetView workbookViewId="0">
      <selection activeCell="C3" sqref="C3"/>
    </sheetView>
  </sheetViews>
  <sheetFormatPr baseColWidth="10" defaultColWidth="12.6640625" defaultRowHeight="15" customHeight="1"/>
  <cols>
    <col min="1" max="1" width="9.33203125" customWidth="1"/>
    <col min="2" max="2" width="32.33203125" customWidth="1"/>
    <col min="3" max="3" width="20.1640625" customWidth="1"/>
    <col min="4" max="4" width="18" customWidth="1"/>
    <col min="5" max="9" width="9.33203125" customWidth="1"/>
    <col min="10" max="10" width="13.5" customWidth="1"/>
    <col min="11" max="17" width="9.33203125" customWidth="1"/>
    <col min="18" max="18" width="16.33203125" customWidth="1"/>
    <col min="19" max="19" width="11.5" customWidth="1"/>
    <col min="20" max="20" width="12.1640625" customWidth="1"/>
    <col min="21" max="27" width="9.33203125" customWidth="1"/>
    <col min="28" max="28" width="29.5" customWidth="1"/>
    <col min="29" max="29" width="13" customWidth="1"/>
    <col min="30" max="30" width="11.33203125" customWidth="1"/>
    <col min="31" max="36" width="9.33203125" customWidth="1"/>
  </cols>
  <sheetData>
    <row r="3" spans="2:36" ht="18">
      <c r="C3" s="476" t="s">
        <v>144</v>
      </c>
      <c r="D3" s="97"/>
    </row>
    <row r="10" spans="2:36">
      <c r="B10" s="376" t="s">
        <v>145</v>
      </c>
      <c r="C10" s="377"/>
      <c r="D10" s="377"/>
      <c r="E10" s="377"/>
      <c r="F10" s="377"/>
      <c r="G10" s="377"/>
      <c r="H10" s="377"/>
      <c r="I10" s="377"/>
      <c r="J10" s="37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2:36">
      <c r="B11" s="379"/>
      <c r="C11" s="380"/>
      <c r="D11" s="380"/>
      <c r="E11" s="380"/>
      <c r="F11" s="380"/>
      <c r="G11" s="380"/>
      <c r="H11" s="380"/>
      <c r="I11" s="380"/>
      <c r="J11" s="38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2:36">
      <c r="B12" s="2"/>
      <c r="C12" s="98"/>
      <c r="D12" s="99"/>
      <c r="E12" s="98"/>
      <c r="F12" s="98"/>
      <c r="G12" s="98"/>
      <c r="H12" s="98"/>
      <c r="I12" s="98"/>
      <c r="J12" s="9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2:36" ht="16">
      <c r="B13" s="382" t="s">
        <v>151</v>
      </c>
      <c r="C13" s="350"/>
      <c r="D13" s="350"/>
      <c r="E13" s="350"/>
      <c r="F13" s="350"/>
      <c r="G13" s="350"/>
      <c r="H13" s="350"/>
      <c r="I13" s="350"/>
      <c r="J13" s="340"/>
      <c r="K13" s="2"/>
      <c r="L13" s="2"/>
      <c r="M13" s="2"/>
      <c r="N13" s="2"/>
      <c r="O13" s="2"/>
      <c r="P13" s="2"/>
      <c r="Q13" s="2"/>
      <c r="R13" s="383" t="s">
        <v>151</v>
      </c>
      <c r="S13" s="352"/>
      <c r="T13" s="352"/>
      <c r="U13" s="352"/>
      <c r="V13" s="352"/>
      <c r="W13" s="352"/>
      <c r="X13" s="352"/>
      <c r="Y13" s="352"/>
      <c r="Z13" s="353"/>
      <c r="AA13" s="2"/>
      <c r="AB13" s="383" t="s">
        <v>154</v>
      </c>
      <c r="AC13" s="352"/>
      <c r="AD13" s="352"/>
      <c r="AE13" s="352"/>
      <c r="AF13" s="352"/>
      <c r="AG13" s="352"/>
      <c r="AH13" s="352"/>
      <c r="AI13" s="352"/>
      <c r="AJ13" s="353"/>
    </row>
    <row r="14" spans="2:36">
      <c r="B14" s="374" t="s">
        <v>155</v>
      </c>
      <c r="C14" s="102"/>
      <c r="D14" s="103"/>
      <c r="E14" s="384" t="s">
        <v>156</v>
      </c>
      <c r="F14" s="350"/>
      <c r="G14" s="350"/>
      <c r="H14" s="350"/>
      <c r="I14" s="350"/>
      <c r="J14" s="340"/>
      <c r="K14" s="2"/>
      <c r="L14" s="2"/>
      <c r="M14" s="2"/>
      <c r="N14" s="2"/>
      <c r="O14" s="2"/>
      <c r="P14" s="2"/>
      <c r="Q14" s="2"/>
      <c r="R14" s="373" t="s">
        <v>121</v>
      </c>
      <c r="S14" s="368" t="s">
        <v>158</v>
      </c>
      <c r="T14" s="371" t="s">
        <v>160</v>
      </c>
      <c r="U14" s="372" t="s">
        <v>161</v>
      </c>
      <c r="V14" s="352"/>
      <c r="W14" s="352"/>
      <c r="X14" s="352"/>
      <c r="Y14" s="352"/>
      <c r="Z14" s="353"/>
      <c r="AA14" s="2"/>
      <c r="AB14" s="373" t="s">
        <v>121</v>
      </c>
      <c r="AC14" s="368" t="s">
        <v>158</v>
      </c>
      <c r="AD14" s="371" t="s">
        <v>163</v>
      </c>
      <c r="AE14" s="372" t="s">
        <v>161</v>
      </c>
      <c r="AF14" s="352"/>
      <c r="AG14" s="352"/>
      <c r="AH14" s="352"/>
      <c r="AI14" s="352"/>
      <c r="AJ14" s="353"/>
    </row>
    <row r="15" spans="2:36">
      <c r="B15" s="375"/>
      <c r="C15" s="105" t="s">
        <v>165</v>
      </c>
      <c r="D15" s="107" t="s">
        <v>166</v>
      </c>
      <c r="E15" s="366">
        <v>1</v>
      </c>
      <c r="F15" s="366">
        <v>2</v>
      </c>
      <c r="G15" s="366">
        <v>3</v>
      </c>
      <c r="H15" s="366">
        <v>4</v>
      </c>
      <c r="I15" s="366">
        <v>5</v>
      </c>
      <c r="J15" s="366" t="s">
        <v>106</v>
      </c>
      <c r="K15" s="2"/>
      <c r="L15" s="2"/>
      <c r="M15" s="2"/>
      <c r="N15" s="2"/>
      <c r="O15" s="2"/>
      <c r="P15" s="2"/>
      <c r="Q15" s="2"/>
      <c r="R15" s="369"/>
      <c r="S15" s="369"/>
      <c r="T15" s="369"/>
      <c r="U15" s="368">
        <v>1</v>
      </c>
      <c r="V15" s="368">
        <v>2</v>
      </c>
      <c r="W15" s="368">
        <v>3</v>
      </c>
      <c r="X15" s="368">
        <v>4</v>
      </c>
      <c r="Y15" s="368">
        <v>5</v>
      </c>
      <c r="Z15" s="368" t="s">
        <v>106</v>
      </c>
      <c r="AA15" s="2"/>
      <c r="AB15" s="369"/>
      <c r="AC15" s="369"/>
      <c r="AD15" s="369"/>
      <c r="AE15" s="368">
        <v>1</v>
      </c>
      <c r="AF15" s="368">
        <v>2</v>
      </c>
      <c r="AG15" s="368">
        <v>3</v>
      </c>
      <c r="AH15" s="368">
        <v>4</v>
      </c>
      <c r="AI15" s="368">
        <v>5</v>
      </c>
      <c r="AJ15" s="368" t="s">
        <v>106</v>
      </c>
    </row>
    <row r="16" spans="2:36">
      <c r="B16" s="111"/>
      <c r="C16" s="112"/>
      <c r="D16" s="113"/>
      <c r="E16" s="367"/>
      <c r="F16" s="367"/>
      <c r="G16" s="367"/>
      <c r="H16" s="367"/>
      <c r="I16" s="367"/>
      <c r="J16" s="367"/>
      <c r="K16" s="2"/>
      <c r="L16" s="2"/>
      <c r="M16" s="2"/>
      <c r="N16" s="2"/>
      <c r="O16" s="2"/>
      <c r="P16" s="2"/>
      <c r="Q16" s="2"/>
      <c r="R16" s="370"/>
      <c r="S16" s="370"/>
      <c r="T16" s="370"/>
      <c r="U16" s="370"/>
      <c r="V16" s="370"/>
      <c r="W16" s="370"/>
      <c r="X16" s="370"/>
      <c r="Y16" s="370"/>
      <c r="Z16" s="370"/>
      <c r="AA16" s="2"/>
      <c r="AB16" s="370"/>
      <c r="AC16" s="370"/>
      <c r="AD16" s="370"/>
      <c r="AE16" s="370"/>
      <c r="AF16" s="370"/>
      <c r="AG16" s="370"/>
      <c r="AH16" s="370"/>
      <c r="AI16" s="370"/>
      <c r="AJ16" s="370"/>
    </row>
    <row r="17" spans="2:36">
      <c r="B17" s="114" t="s">
        <v>174</v>
      </c>
      <c r="C17" s="115"/>
      <c r="D17" s="116"/>
      <c r="E17" s="118"/>
      <c r="F17" s="118"/>
      <c r="G17" s="118"/>
      <c r="H17" s="118"/>
      <c r="I17" s="118"/>
      <c r="J17" s="120"/>
      <c r="K17" s="2"/>
      <c r="L17" s="2"/>
      <c r="M17" s="2"/>
      <c r="N17" s="2"/>
      <c r="O17" s="2"/>
      <c r="P17" s="2"/>
      <c r="Q17" s="2"/>
      <c r="R17" s="122" t="s">
        <v>174</v>
      </c>
      <c r="S17" s="123"/>
      <c r="T17" s="124"/>
      <c r="U17" s="125"/>
      <c r="V17" s="125"/>
      <c r="W17" s="125"/>
      <c r="X17" s="125"/>
      <c r="Y17" s="125"/>
      <c r="Z17" s="126"/>
      <c r="AA17" s="2"/>
      <c r="AB17" s="122" t="s">
        <v>178</v>
      </c>
      <c r="AC17" s="123"/>
      <c r="AD17" s="124"/>
      <c r="AE17" s="125"/>
      <c r="AF17" s="125"/>
      <c r="AG17" s="125"/>
      <c r="AH17" s="125"/>
      <c r="AI17" s="125"/>
      <c r="AJ17" s="126"/>
    </row>
    <row r="18" spans="2:36">
      <c r="B18" s="127"/>
      <c r="C18" s="128"/>
      <c r="D18" s="129"/>
      <c r="E18" s="98"/>
      <c r="F18" s="98"/>
      <c r="G18" s="98"/>
      <c r="H18" s="98"/>
      <c r="I18" s="98"/>
      <c r="J18" s="130"/>
      <c r="K18" s="2"/>
      <c r="L18" s="2"/>
      <c r="M18" s="2"/>
      <c r="N18" s="2"/>
      <c r="O18" s="2"/>
      <c r="P18" s="2"/>
      <c r="Q18" s="2"/>
      <c r="R18" s="131"/>
      <c r="S18" s="128"/>
      <c r="T18" s="129"/>
      <c r="U18" s="98"/>
      <c r="V18" s="98"/>
      <c r="W18" s="98"/>
      <c r="X18" s="98"/>
      <c r="Y18" s="98"/>
      <c r="Z18" s="133"/>
      <c r="AA18" s="2"/>
      <c r="AB18" s="475" t="s">
        <v>152</v>
      </c>
      <c r="AC18" s="137">
        <v>150000</v>
      </c>
      <c r="AD18" s="138">
        <v>1</v>
      </c>
      <c r="AE18" s="140">
        <v>150000</v>
      </c>
      <c r="AF18" s="140">
        <v>156000</v>
      </c>
      <c r="AG18" s="140">
        <v>162240</v>
      </c>
      <c r="AH18" s="140">
        <v>168729.60000000001</v>
      </c>
      <c r="AI18" s="140">
        <v>175478.78400000001</v>
      </c>
      <c r="AJ18" s="141">
        <v>812448.38399999996</v>
      </c>
    </row>
    <row r="19" spans="2:36">
      <c r="B19" s="142" t="str">
        <f>+'INVERSION INICIAL'!B15</f>
        <v>Maquinaria</v>
      </c>
      <c r="C19" s="143">
        <f>+'INVERSION INICIAL'!E22</f>
        <v>64100</v>
      </c>
      <c r="D19" s="145">
        <v>0.1</v>
      </c>
      <c r="E19" s="146">
        <f t="shared" ref="E19:E22" si="0">C19*D19</f>
        <v>6410</v>
      </c>
      <c r="F19" s="146">
        <f t="shared" ref="F19:F22" si="1">C19*D19</f>
        <v>6410</v>
      </c>
      <c r="G19" s="146">
        <f>C19*D19</f>
        <v>6410</v>
      </c>
      <c r="H19" s="146">
        <f>C19*D19</f>
        <v>6410</v>
      </c>
      <c r="I19" s="146">
        <f>C19*D19</f>
        <v>6410</v>
      </c>
      <c r="J19" s="148">
        <f t="shared" ref="J19:J23" si="2">E19+F19+G19+H19+I19</f>
        <v>32050</v>
      </c>
      <c r="K19" s="2"/>
      <c r="L19" s="2" t="s">
        <v>190</v>
      </c>
      <c r="M19" s="2"/>
      <c r="N19" s="2"/>
      <c r="O19" s="2"/>
      <c r="P19" s="2"/>
      <c r="Q19" s="2"/>
      <c r="R19" s="149" t="s">
        <v>148</v>
      </c>
      <c r="S19" s="143">
        <f t="shared" ref="S19:S22" si="3">C19</f>
        <v>64100</v>
      </c>
      <c r="T19" s="145">
        <v>0.1</v>
      </c>
      <c r="U19" s="146">
        <f t="shared" ref="U19:U24" si="4">E19</f>
        <v>6410</v>
      </c>
      <c r="V19" s="146">
        <f t="shared" ref="V19:Y19" si="5">E19</f>
        <v>6410</v>
      </c>
      <c r="W19" s="146">
        <f t="shared" si="5"/>
        <v>6410</v>
      </c>
      <c r="X19" s="146">
        <f t="shared" si="5"/>
        <v>6410</v>
      </c>
      <c r="Y19" s="146">
        <f t="shared" si="5"/>
        <v>6410</v>
      </c>
      <c r="Z19" s="146">
        <f>J19</f>
        <v>32050</v>
      </c>
      <c r="AA19" s="2"/>
      <c r="AB19" s="151" t="s">
        <v>193</v>
      </c>
      <c r="AC19" s="473" t="s">
        <v>194</v>
      </c>
      <c r="AD19" s="145"/>
      <c r="AE19" s="146">
        <v>150000</v>
      </c>
      <c r="AF19" s="146">
        <v>156000</v>
      </c>
      <c r="AG19" s="146">
        <v>162240</v>
      </c>
      <c r="AH19" s="146">
        <v>168729.60000000001</v>
      </c>
      <c r="AI19" s="146">
        <v>175478.78400000001</v>
      </c>
      <c r="AJ19" s="154">
        <v>812448.38399999996</v>
      </c>
    </row>
    <row r="20" spans="2:36">
      <c r="B20" s="155" t="str">
        <f>+'INVERSION INICIAL'!B23</f>
        <v xml:space="preserve">Mobiliario </v>
      </c>
      <c r="C20" s="137">
        <f>+'INVERSION INICIAL'!E30</f>
        <v>75800</v>
      </c>
      <c r="D20" s="138">
        <v>0.1</v>
      </c>
      <c r="E20" s="140">
        <f t="shared" si="0"/>
        <v>7580</v>
      </c>
      <c r="F20" s="140">
        <f t="shared" si="1"/>
        <v>7580</v>
      </c>
      <c r="G20" s="140">
        <f t="shared" ref="G20:I20" si="6">F20</f>
        <v>7580</v>
      </c>
      <c r="H20" s="140">
        <f t="shared" si="6"/>
        <v>7580</v>
      </c>
      <c r="I20" s="140">
        <f t="shared" si="6"/>
        <v>7580</v>
      </c>
      <c r="J20" s="156">
        <f t="shared" si="2"/>
        <v>37900</v>
      </c>
      <c r="K20" s="2"/>
      <c r="L20" s="2" t="s">
        <v>198</v>
      </c>
      <c r="M20" s="2"/>
      <c r="N20" s="2"/>
      <c r="O20" s="2"/>
      <c r="P20" s="2"/>
      <c r="Q20" s="2"/>
      <c r="R20" s="135" t="s">
        <v>167</v>
      </c>
      <c r="S20" s="137">
        <f t="shared" si="3"/>
        <v>75800</v>
      </c>
      <c r="T20" s="138">
        <v>0.1</v>
      </c>
      <c r="U20" s="140">
        <f t="shared" si="4"/>
        <v>7580</v>
      </c>
      <c r="V20" s="140">
        <f t="shared" ref="V20:Z20" si="7">F20</f>
        <v>7580</v>
      </c>
      <c r="W20" s="140">
        <f t="shared" si="7"/>
        <v>7580</v>
      </c>
      <c r="X20" s="140">
        <f t="shared" si="7"/>
        <v>7580</v>
      </c>
      <c r="Y20" s="140">
        <f t="shared" si="7"/>
        <v>7580</v>
      </c>
      <c r="Z20" s="141">
        <f t="shared" si="7"/>
        <v>37900</v>
      </c>
      <c r="AA20" s="2"/>
      <c r="AB20" s="157"/>
      <c r="AC20" s="472" t="s">
        <v>202</v>
      </c>
      <c r="AD20" s="159"/>
      <c r="AE20" s="161">
        <v>150000</v>
      </c>
      <c r="AF20" s="161">
        <v>306000</v>
      </c>
      <c r="AG20" s="161">
        <v>468240</v>
      </c>
      <c r="AH20" s="161">
        <v>636969.6</v>
      </c>
      <c r="AI20" s="161">
        <v>812448.38399999996</v>
      </c>
      <c r="AJ20" s="162">
        <v>812448.38399999996</v>
      </c>
    </row>
    <row r="21" spans="2:36" ht="15.75" customHeight="1">
      <c r="B21" s="142" t="str">
        <f>+'INVERSION INICIAL'!B31</f>
        <v>Equipo de cómputo</v>
      </c>
      <c r="C21" s="143">
        <f>+'INVERSION INICIAL'!E35</f>
        <v>8000</v>
      </c>
      <c r="D21" s="145">
        <v>0.33333333329999998</v>
      </c>
      <c r="E21" s="146">
        <f t="shared" si="0"/>
        <v>2666.6666663999999</v>
      </c>
      <c r="F21" s="146">
        <f t="shared" si="1"/>
        <v>2666.6666663999999</v>
      </c>
      <c r="G21" s="146">
        <f t="shared" ref="G21:G22" si="8">F21</f>
        <v>2666.6666663999999</v>
      </c>
      <c r="H21" s="146">
        <v>0</v>
      </c>
      <c r="I21" s="146">
        <v>0</v>
      </c>
      <c r="J21" s="148">
        <f t="shared" si="2"/>
        <v>7999.9999991999994</v>
      </c>
      <c r="K21" s="2"/>
      <c r="L21" s="2"/>
      <c r="M21" s="2"/>
      <c r="N21" s="2"/>
      <c r="O21" s="2"/>
      <c r="P21" s="2"/>
      <c r="Q21" s="2"/>
      <c r="R21" s="149" t="s">
        <v>177</v>
      </c>
      <c r="S21" s="143">
        <f t="shared" si="3"/>
        <v>8000</v>
      </c>
      <c r="T21" s="145">
        <v>0.33333333329999998</v>
      </c>
      <c r="U21" s="146">
        <f t="shared" si="4"/>
        <v>2666.6666663999999</v>
      </c>
      <c r="V21" s="146">
        <v>2666.6666663999999</v>
      </c>
      <c r="W21" s="146">
        <v>2666.6666663999999</v>
      </c>
      <c r="X21" s="146">
        <v>0</v>
      </c>
      <c r="Y21" s="146">
        <v>0</v>
      </c>
      <c r="Z21" s="154">
        <f>J21</f>
        <v>7999.9999991999994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2:36" ht="15.75" customHeight="1">
      <c r="B22" s="155" t="str">
        <f>+'INVERSION INICIAL'!B36</f>
        <v>Obras Civiles</v>
      </c>
      <c r="C22" s="137">
        <f>+'INVERSION INICIAL'!D42</f>
        <v>25600</v>
      </c>
      <c r="D22" s="138">
        <v>0.1</v>
      </c>
      <c r="E22" s="140">
        <f t="shared" si="0"/>
        <v>2560</v>
      </c>
      <c r="F22" s="140">
        <f t="shared" si="1"/>
        <v>2560</v>
      </c>
      <c r="G22" s="140">
        <f t="shared" si="8"/>
        <v>2560</v>
      </c>
      <c r="H22" s="140">
        <f t="shared" ref="H22:I22" si="9">G22</f>
        <v>2560</v>
      </c>
      <c r="I22" s="140">
        <f t="shared" si="9"/>
        <v>2560</v>
      </c>
      <c r="J22" s="156">
        <f t="shared" si="2"/>
        <v>12800</v>
      </c>
      <c r="K22" s="2"/>
      <c r="L22" s="2"/>
      <c r="M22" s="2"/>
      <c r="N22" s="2"/>
      <c r="O22" s="2"/>
      <c r="P22" s="2"/>
      <c r="Q22" s="2"/>
      <c r="R22" s="135" t="s">
        <v>181</v>
      </c>
      <c r="S22" s="137">
        <f t="shared" si="3"/>
        <v>25600</v>
      </c>
      <c r="T22" s="138">
        <v>0.1</v>
      </c>
      <c r="U22" s="140">
        <f t="shared" si="4"/>
        <v>2560</v>
      </c>
      <c r="V22" s="140">
        <f t="shared" ref="V22:Z22" si="10">F22</f>
        <v>2560</v>
      </c>
      <c r="W22" s="140">
        <f t="shared" si="10"/>
        <v>2560</v>
      </c>
      <c r="X22" s="140">
        <f t="shared" si="10"/>
        <v>2560</v>
      </c>
      <c r="Y22" s="140">
        <f t="shared" si="10"/>
        <v>2560</v>
      </c>
      <c r="Z22" s="141">
        <f t="shared" si="10"/>
        <v>12800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2:36" ht="15.75" customHeight="1">
      <c r="B23" s="165"/>
      <c r="C23" s="166" t="s">
        <v>194</v>
      </c>
      <c r="D23" s="145"/>
      <c r="E23" s="146">
        <f t="shared" ref="E23:I23" si="11">SUM(E19:E22)</f>
        <v>19216.6666664</v>
      </c>
      <c r="F23" s="146">
        <f t="shared" si="11"/>
        <v>19216.6666664</v>
      </c>
      <c r="G23" s="146">
        <f t="shared" si="11"/>
        <v>19216.6666664</v>
      </c>
      <c r="H23" s="146">
        <f t="shared" si="11"/>
        <v>16550</v>
      </c>
      <c r="I23" s="146">
        <f t="shared" si="11"/>
        <v>16550</v>
      </c>
      <c r="J23" s="148">
        <f t="shared" si="2"/>
        <v>90749.999999199994</v>
      </c>
      <c r="K23" s="2"/>
      <c r="L23" s="2"/>
      <c r="M23" s="2"/>
      <c r="N23" s="2"/>
      <c r="O23" s="2"/>
      <c r="P23" s="2"/>
      <c r="Q23" s="2"/>
      <c r="R23" s="151" t="s">
        <v>193</v>
      </c>
      <c r="S23" s="471" t="s">
        <v>194</v>
      </c>
      <c r="T23" s="145"/>
      <c r="U23" s="146">
        <f t="shared" si="4"/>
        <v>19216.6666664</v>
      </c>
      <c r="V23" s="146">
        <f t="shared" ref="V23:Z23" si="12">F23</f>
        <v>19216.6666664</v>
      </c>
      <c r="W23" s="146">
        <f t="shared" si="12"/>
        <v>19216.6666664</v>
      </c>
      <c r="X23" s="146">
        <f t="shared" si="12"/>
        <v>16550</v>
      </c>
      <c r="Y23" s="146">
        <f t="shared" si="12"/>
        <v>16550</v>
      </c>
      <c r="Z23" s="154">
        <f t="shared" si="12"/>
        <v>90749.999999199994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2:36" ht="15.75" customHeight="1">
      <c r="B24" s="155"/>
      <c r="C24" s="167" t="s">
        <v>213</v>
      </c>
      <c r="D24" s="138"/>
      <c r="E24" s="168">
        <f>E23</f>
        <v>19216.6666664</v>
      </c>
      <c r="F24" s="168">
        <f>F23+E24</f>
        <v>38433.333332800001</v>
      </c>
      <c r="G24" s="168">
        <f t="shared" ref="G24:I24" si="13">F24+G23</f>
        <v>57649.999999200001</v>
      </c>
      <c r="H24" s="168">
        <f t="shared" si="13"/>
        <v>74199.999999199994</v>
      </c>
      <c r="I24" s="168">
        <f t="shared" si="13"/>
        <v>90749.999999199994</v>
      </c>
      <c r="J24" s="169">
        <f>+I24</f>
        <v>90749.999999199994</v>
      </c>
      <c r="K24" s="2"/>
      <c r="L24" s="2"/>
      <c r="M24" s="2"/>
      <c r="N24" s="2"/>
      <c r="O24" s="2"/>
      <c r="P24" s="2"/>
      <c r="Q24" s="2"/>
      <c r="R24" s="157"/>
      <c r="S24" s="472" t="s">
        <v>213</v>
      </c>
      <c r="T24" s="170"/>
      <c r="U24" s="161">
        <f t="shared" si="4"/>
        <v>19216.6666664</v>
      </c>
      <c r="V24" s="161">
        <f t="shared" ref="V24:Z24" si="14">F24</f>
        <v>38433.333332800001</v>
      </c>
      <c r="W24" s="161">
        <f t="shared" si="14"/>
        <v>57649.999999200001</v>
      </c>
      <c r="X24" s="161">
        <f t="shared" si="14"/>
        <v>74199.999999199994</v>
      </c>
      <c r="Y24" s="161">
        <f t="shared" si="14"/>
        <v>90749.999999199994</v>
      </c>
      <c r="Z24" s="162">
        <f t="shared" si="14"/>
        <v>90749.999999199994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2:36" ht="15.75" customHeight="1">
      <c r="B25" s="142"/>
      <c r="C25" s="123"/>
      <c r="D25" s="145"/>
      <c r="E25" s="146"/>
      <c r="F25" s="146"/>
      <c r="G25" s="146"/>
      <c r="H25" s="146"/>
      <c r="I25" s="146"/>
      <c r="J25" s="14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2:36" ht="15.75" customHeight="1">
      <c r="B26" s="173"/>
      <c r="C26" s="123"/>
      <c r="D26" s="145"/>
      <c r="E26" s="146"/>
      <c r="F26" s="146"/>
      <c r="G26" s="146"/>
      <c r="H26" s="146"/>
      <c r="I26" s="146"/>
      <c r="J26" s="14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2:36" ht="15.75" customHeight="1">
      <c r="B27" s="176" t="s">
        <v>152</v>
      </c>
      <c r="C27" s="137">
        <f>'INVERSION INICIAL'!J16</f>
        <v>150000</v>
      </c>
      <c r="D27" s="138">
        <v>1</v>
      </c>
      <c r="E27" s="140">
        <f>C27*D27</f>
        <v>150000</v>
      </c>
      <c r="F27" s="178">
        <v>156000</v>
      </c>
      <c r="G27" s="178">
        <v>162240</v>
      </c>
      <c r="H27" s="178">
        <v>168730</v>
      </c>
      <c r="I27" s="178">
        <v>175479</v>
      </c>
      <c r="J27" s="156">
        <f t="shared" ref="J27:J28" si="15">E27+F27+G27+H27+I27</f>
        <v>812449</v>
      </c>
      <c r="K27" s="2"/>
      <c r="L27" s="474" t="s">
        <v>295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2:36" ht="15.75" customHeight="1">
      <c r="B28" s="165"/>
      <c r="C28" s="152" t="s">
        <v>194</v>
      </c>
      <c r="D28" s="145"/>
      <c r="E28" s="146">
        <f t="shared" ref="E28:I28" si="16">+SUM(E27)</f>
        <v>150000</v>
      </c>
      <c r="F28" s="146">
        <f t="shared" si="16"/>
        <v>156000</v>
      </c>
      <c r="G28" s="146">
        <f t="shared" si="16"/>
        <v>162240</v>
      </c>
      <c r="H28" s="146">
        <f t="shared" si="16"/>
        <v>168730</v>
      </c>
      <c r="I28" s="146">
        <f t="shared" si="16"/>
        <v>175479</v>
      </c>
      <c r="J28" s="148">
        <f t="shared" si="15"/>
        <v>812449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2:36" ht="15.75" customHeight="1">
      <c r="B29" s="155"/>
      <c r="C29" s="167" t="s">
        <v>202</v>
      </c>
      <c r="D29" s="129"/>
      <c r="E29" s="168">
        <f>E28</f>
        <v>150000</v>
      </c>
      <c r="F29" s="168">
        <f t="shared" ref="F29:I29" si="17">E29+F28</f>
        <v>306000</v>
      </c>
      <c r="G29" s="168">
        <f t="shared" si="17"/>
        <v>468240</v>
      </c>
      <c r="H29" s="168">
        <f t="shared" si="17"/>
        <v>636970</v>
      </c>
      <c r="I29" s="168">
        <f t="shared" si="17"/>
        <v>812449</v>
      </c>
      <c r="J29" s="169">
        <f>+I29</f>
        <v>812449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2:36" ht="15.75" customHeight="1">
      <c r="B30" s="165"/>
      <c r="C30" s="166"/>
      <c r="D30" s="123"/>
      <c r="E30" s="146"/>
      <c r="F30" s="146"/>
      <c r="G30" s="146"/>
      <c r="H30" s="146"/>
      <c r="I30" s="146"/>
      <c r="J30" s="14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2:36" ht="15.75" customHeight="1">
      <c r="B31" s="155" t="s">
        <v>220</v>
      </c>
      <c r="C31" s="167"/>
      <c r="D31" s="138"/>
      <c r="E31" s="168"/>
      <c r="F31" s="168"/>
      <c r="G31" s="168"/>
      <c r="H31" s="168"/>
      <c r="I31" s="168"/>
      <c r="J31" s="16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2:36" ht="15.75" customHeight="1">
      <c r="B32" s="155"/>
      <c r="C32" s="167"/>
      <c r="D32" s="138"/>
      <c r="E32" s="168"/>
      <c r="F32" s="168"/>
      <c r="G32" s="168"/>
      <c r="H32" s="168"/>
      <c r="I32" s="168"/>
      <c r="J32" s="16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2:36" ht="15.75" customHeight="1">
      <c r="B33" s="142"/>
      <c r="C33" s="123"/>
      <c r="D33" s="145"/>
      <c r="E33" s="146"/>
      <c r="F33" s="146"/>
      <c r="G33" s="146"/>
      <c r="H33" s="146"/>
      <c r="I33" s="146"/>
      <c r="J33" s="14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2:36" ht="15.75" customHeight="1">
      <c r="B34" s="127" t="s">
        <v>223</v>
      </c>
      <c r="C34" s="128"/>
      <c r="D34" s="129"/>
      <c r="E34" s="186">
        <f t="shared" ref="E34:I34" si="18">E23+E28</f>
        <v>169216.66666640001</v>
      </c>
      <c r="F34" s="140">
        <f t="shared" si="18"/>
        <v>175216.66666640001</v>
      </c>
      <c r="G34" s="140">
        <f t="shared" si="18"/>
        <v>181456.66666640001</v>
      </c>
      <c r="H34" s="140">
        <f t="shared" si="18"/>
        <v>185280</v>
      </c>
      <c r="I34" s="140">
        <f t="shared" si="18"/>
        <v>192029</v>
      </c>
      <c r="J34" s="156">
        <f t="shared" ref="J34:J35" si="19">E34+F34+G34+H34+I34</f>
        <v>903198.99999919999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2:36" ht="15.75" customHeight="1">
      <c r="B35" s="191" t="s">
        <v>213</v>
      </c>
      <c r="C35" s="192"/>
      <c r="D35" s="193"/>
      <c r="E35" s="194">
        <f>E34</f>
        <v>169216.66666640001</v>
      </c>
      <c r="F35" s="194">
        <f t="shared" ref="F35:I35" si="20">E35+F34</f>
        <v>344433.33333280002</v>
      </c>
      <c r="G35" s="194">
        <f t="shared" si="20"/>
        <v>525889.99999919999</v>
      </c>
      <c r="H35" s="194">
        <f t="shared" si="20"/>
        <v>711169.99999919999</v>
      </c>
      <c r="I35" s="194">
        <f t="shared" si="20"/>
        <v>903198.99999919999</v>
      </c>
      <c r="J35" s="197">
        <f t="shared" si="19"/>
        <v>2653908.9999968</v>
      </c>
    </row>
    <row r="36" spans="2:36" ht="15.75" customHeight="1"/>
    <row r="37" spans="2:36" ht="15.75" customHeight="1"/>
    <row r="38" spans="2:36" ht="15.75" customHeight="1"/>
    <row r="39" spans="2:36" ht="15.75" customHeight="1"/>
    <row r="40" spans="2:36" ht="15.75" customHeight="1"/>
    <row r="41" spans="2:36" ht="15.75" customHeight="1"/>
    <row r="42" spans="2:36" ht="15.75" customHeight="1"/>
    <row r="43" spans="2:36" ht="15.75" customHeight="1"/>
    <row r="44" spans="2:36" ht="15.75" customHeight="1"/>
    <row r="45" spans="2:36" ht="15.75" customHeight="1"/>
    <row r="46" spans="2:36" ht="15.75" customHeight="1"/>
    <row r="47" spans="2:36" ht="15.75" customHeight="1"/>
    <row r="48" spans="2:3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0:J11"/>
    <mergeCell ref="B13:J13"/>
    <mergeCell ref="R13:Z13"/>
    <mergeCell ref="AB13:AJ13"/>
    <mergeCell ref="E14:J14"/>
    <mergeCell ref="R14:R16"/>
    <mergeCell ref="J15:J16"/>
    <mergeCell ref="AE14:AJ14"/>
    <mergeCell ref="AE15:AE16"/>
    <mergeCell ref="AF15:AF16"/>
    <mergeCell ref="AG15:AG16"/>
    <mergeCell ref="AH15:AH16"/>
    <mergeCell ref="AI15:AI16"/>
    <mergeCell ref="AJ15:AJ16"/>
    <mergeCell ref="AC14:AC16"/>
    <mergeCell ref="AD14:AD16"/>
    <mergeCell ref="B14:B15"/>
    <mergeCell ref="E15:E16"/>
    <mergeCell ref="F15:F16"/>
    <mergeCell ref="G15:G16"/>
    <mergeCell ref="H15:H16"/>
    <mergeCell ref="I15:I16"/>
    <mergeCell ref="S14:S16"/>
    <mergeCell ref="T14:T16"/>
    <mergeCell ref="U14:Z14"/>
    <mergeCell ref="AB14:AB16"/>
    <mergeCell ref="U15:U16"/>
    <mergeCell ref="V15:V16"/>
    <mergeCell ref="W15:W16"/>
    <mergeCell ref="X15:X16"/>
    <mergeCell ref="Y15:Y16"/>
    <mergeCell ref="Z15:Z16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F1000"/>
  <sheetViews>
    <sheetView workbookViewId="0">
      <selection activeCell="G14" sqref="G14"/>
    </sheetView>
  </sheetViews>
  <sheetFormatPr baseColWidth="10" defaultColWidth="12.6640625" defaultRowHeight="15" customHeight="1"/>
  <cols>
    <col min="1" max="2" width="9.33203125" customWidth="1"/>
    <col min="3" max="3" width="14" customWidth="1"/>
    <col min="4" max="26" width="9.33203125" customWidth="1"/>
  </cols>
  <sheetData>
    <row r="3" spans="1:6" ht="18">
      <c r="D3" s="171" t="s">
        <v>214</v>
      </c>
      <c r="E3" s="172"/>
      <c r="F3" s="172"/>
    </row>
    <row r="8" spans="1:6">
      <c r="B8" s="343" t="s">
        <v>215</v>
      </c>
      <c r="C8" s="334"/>
      <c r="D8" s="332"/>
      <c r="E8" s="2"/>
      <c r="F8" s="2"/>
    </row>
    <row r="9" spans="1:6">
      <c r="B9" s="164" t="s">
        <v>121</v>
      </c>
      <c r="C9" s="164" t="s">
        <v>158</v>
      </c>
      <c r="D9" s="164" t="s">
        <v>216</v>
      </c>
      <c r="E9" s="2"/>
      <c r="F9" s="2"/>
    </row>
    <row r="10" spans="1:6">
      <c r="B10" s="49" t="s">
        <v>217</v>
      </c>
      <c r="C10" s="52">
        <f>+$C$16*D10</f>
        <v>867030</v>
      </c>
      <c r="D10" s="174">
        <v>0.75</v>
      </c>
      <c r="E10" s="2"/>
      <c r="F10" s="175"/>
    </row>
    <row r="11" spans="1:6">
      <c r="B11" s="49" t="s">
        <v>218</v>
      </c>
      <c r="C11" s="52">
        <f>+C16-C10</f>
        <v>289010</v>
      </c>
      <c r="D11" s="177">
        <f>100%-D10</f>
        <v>0.25</v>
      </c>
      <c r="E11" s="2"/>
      <c r="F11" s="2"/>
    </row>
    <row r="12" spans="1:6">
      <c r="B12" s="49" t="s">
        <v>106</v>
      </c>
      <c r="C12" s="52">
        <f t="shared" ref="C12:D12" si="0">+SUM(C10:C11)</f>
        <v>1156040</v>
      </c>
      <c r="D12" s="177">
        <f t="shared" si="0"/>
        <v>1</v>
      </c>
      <c r="E12" s="2"/>
      <c r="F12" s="2"/>
    </row>
    <row r="13" spans="1:6">
      <c r="B13" s="2"/>
      <c r="C13" s="2"/>
      <c r="D13" s="179" t="s">
        <v>219</v>
      </c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A16" s="95" t="s">
        <v>142</v>
      </c>
      <c r="B16" s="180"/>
      <c r="C16" s="181">
        <f>'INVERSION INICIAL'!J36</f>
        <v>1156040</v>
      </c>
      <c r="D16" s="182"/>
      <c r="E16" s="2"/>
      <c r="F1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8:D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 PRIMA</vt:lpstr>
      <vt:lpstr>MANTENIMIENTO</vt:lpstr>
      <vt:lpstr>SUPESTOS EXTERNOS</vt:lpstr>
      <vt:lpstr>COSTO UNITARIO POR SERVICIO</vt:lpstr>
      <vt:lpstr>COSTO UNITARIO (PONDERADO)</vt:lpstr>
      <vt:lpstr>INGRESOS ADICIONALES</vt:lpstr>
      <vt:lpstr>INVERSION INICIAL</vt:lpstr>
      <vt:lpstr>DEPRECIACION</vt:lpstr>
      <vt:lpstr>%DEUDA</vt:lpstr>
      <vt:lpstr>AMORTIZACION</vt:lpstr>
      <vt:lpstr>PRESUPUESTO DE VENTAS</vt:lpstr>
      <vt:lpstr>ESTADO DE RESULTADOS</vt:lpstr>
      <vt:lpstr>FLUJOS DE EFECTIVO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Microsoft Office User</cp:lastModifiedBy>
  <dcterms:created xsi:type="dcterms:W3CDTF">2019-11-21T15:13:21Z</dcterms:created>
  <dcterms:modified xsi:type="dcterms:W3CDTF">2019-12-04T22:21:28Z</dcterms:modified>
</cp:coreProperties>
</file>