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
    </mc:Choice>
  </mc:AlternateContent>
  <xr:revisionPtr revIDLastSave="0" documentId="13_ncr:1_{31DD421B-474D-4926-9D2C-A8894C308A57}" xr6:coauthVersionLast="45" xr6:coauthVersionMax="45" xr10:uidLastSave="{00000000-0000-0000-0000-000000000000}"/>
  <bookViews>
    <workbookView xWindow="405" yWindow="2280" windowWidth="21600" windowHeight="14655" tabRatio="823" activeTab="7"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5" l="1"/>
  <c r="I2" i="5"/>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<sst xmlns="http://schemas.openxmlformats.org/spreadsheetml/2006/main" count="555" uniqueCount="303">
  <si>
    <t>Species</t>
  </si>
  <si>
    <t>lar_gla</t>
  </si>
  <si>
    <t>Feather</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</si>
  <si>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</si>
  <si>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</si>
  <si>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</si>
  <si>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</si>
  <si>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</si>
  <si>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</si>
  <si>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</si>
  <si>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</si>
  <si>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</si>
  <si>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</si>
  <si>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</si>
  <si>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</si>
  <si>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</si>
  <si>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</si>
  <si>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</si>
  <si>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</si>
  <si>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</si>
  <si>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</si>
  <si>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</si>
  <si>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</si>
  <si>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</si>
  <si>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</si>
  <si>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</si>
  <si>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</si>
  <si>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</si>
  <si>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</si>
  <si>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</si>
  <si>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</si>
  <si>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</si>
  <si>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</si>
  <si>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</si>
  <si>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</si>
  <si>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</si>
  <si>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</si>
  <si>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</si>
  <si>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</si>
  <si>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</si>
  <si>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</si>
  <si>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</si>
  <si>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</si>
  <si>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</si>
  <si>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</si>
  <si>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</si>
  <si>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</si>
  <si>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</si>
  <si>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</si>
  <si>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</si>
  <si>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</si>
  <si>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</si>
  <si>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</si>
  <si>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</si>
  <si>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</si>
  <si>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</si>
  <si>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</si>
  <si>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</si>
  <si>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</si>
  <si>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</si>
  <si>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</si>
  <si>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</si>
  <si>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</si>
  <si>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</si>
  <si>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</si>
  <si>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</si>
  <si>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</si>
  <si>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</si>
  <si>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</si>
  <si>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</si>
  <si>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</si>
  <si>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</si>
  <si>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</si>
  <si>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</si>
  <si>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</si>
  <si>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</si>
  <si>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</si>
  <si>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</si>
  <si>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</si>
  <si>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</si>
  <si>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</si>
  <si>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</si>
  <si>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</si>
  <si>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</si>
  <si>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</si>
  <si>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</si>
  <si>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</si>
  <si>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</si>
  <si>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</si>
  <si>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</si>
  <si>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</si>
  <si>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</si>
  <si>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</si>
  <si>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</si>
  <si>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</si>
  <si>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</si>
  <si>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</si>
  <si>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</si>
  <si>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</si>
  <si>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</si>
  <si>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</si>
  <si>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</si>
  <si>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</si>
  <si>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</si>
  <si>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</si>
  <si>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</si>
  <si>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</si>
  <si>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</si>
  <si>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</si>
  <si>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</si>
  <si>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</si>
  <si>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</si>
  <si>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</si>
  <si>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</si>
  <si>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</si>
  <si>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</si>
  <si>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</si>
  <si>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</si>
  <si>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</si>
  <si>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</si>
  <si>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</si>
  <si>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</si>
  <si>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</si>
  <si>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</si>
  <si>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</si>
  <si>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</si>
  <si>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</si>
  <si>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</si>
  <si>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</si>
  <si>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</si>
  <si>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</si>
  <si>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</si>
  <si>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</si>
  <si>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</si>
  <si>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</si>
  <si>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</si>
  <si>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</si>
  <si>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</si>
  <si>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</si>
  <si>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</si>
  <si>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</si>
  <si>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</si>
  <si>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</si>
  <si>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</si>
  <si>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</si>
  <si>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</si>
  <si>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</si>
  <si>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</si>
  <si>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</si>
  <si>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</si>
  <si>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</si>
  <si>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</si>
  <si>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</si>
  <si>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</si>
  <si>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</si>
  <si>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</si>
  <si>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</si>
  <si>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</si>
  <si>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</si>
  <si>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</si>
  <si>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</si>
  <si>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</si>
  <si>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</si>
  <si>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</si>
  <si>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</si>
  <si>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</si>
  <si>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</si>
  <si>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</si>
  <si>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</si>
  <si>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</si>
  <si>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</si>
  <si>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</si>
  <si>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</si>
  <si>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</si>
  <si>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</si>
  <si>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</si>
  <si>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</si>
  <si>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</si>
  <si>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</si>
  <si>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</si>
  <si>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</si>
  <si>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</si>
  <si>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</si>
  <si>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</si>
  <si>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</si>
  <si>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</si>
  <si>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</si>
  <si>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</si>
  <si>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</si>
  <si>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</si>
  <si>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</si>
  <si>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</si>
  <si>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</si>
  <si>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</si>
  <si>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</si>
  <si>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</si>
  <si>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</si>
  <si>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</si>
  <si>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</si>
  <si>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</si>
  <si>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</si>
  <si>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</si>
  <si>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</si>
  <si>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</si>
  <si>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</si>
  <si>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</si>
  <si>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</si>
  <si>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</si>
  <si>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</si>
  <si>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</si>
  <si>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</si>
  <si>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</si>
  <si>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</si>
  <si>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</si>
  <si>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</si>
  <si>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</si>
  <si>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</si>
  <si>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</si>
  <si>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</si>
  <si>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</si>
  <si>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</si>
  <si>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</si>
  <si>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</si>
  <si>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</si>
  <si>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</si>
  <si>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</si>
  <si>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</si>
  <si>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</si>
  <si>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</si>
  <si>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</si>
  <si>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</si>
  <si>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</si>
  <si>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</si>
  <si>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</si>
  <si>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</si>
  <si>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</si>
  <si>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</si>
  <si>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</si>
  <si>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</si>
  <si>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</si>
  <si>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</si>
  <si>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</si>
  <si>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</si>
  <si>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</si>
  <si>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</si>
  <si>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</si>
  <si>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</si>
  <si>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</si>
  <si>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</si>
  <si>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</si>
  <si>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</si>
  <si>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</si>
  <si>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</si>
  <si>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</si>
  <si>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</si>
  <si>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</si>
  <si>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</si>
  <si>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</si>
  <si>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</si>
  <si>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</si>
  <si>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</si>
  <si>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</si>
  <si>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</si>
  <si>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</si>
  <si>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</si>
  <si>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</si>
  <si>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</si>
  <si>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</si>
  <si>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</si>
  <si>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</si>
  <si>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</si>
  <si>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</si>
  <si>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</si>
  <si>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</si>
  <si>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</si>
  <si>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</si>
  <si>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</si>
  <si>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</si>
  <si>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</si>
  <si>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</si>
  <si>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</si>
  <si>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</si>
  <si>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</si>
  <si>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</si>
  <si>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</si>
  <si>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antbrachial_muscle_mass</t>
  </si>
  <si>
    <t>manus_muscle_mass</t>
  </si>
  <si>
    <t>propatagiale_skin_mas</t>
  </si>
  <si>
    <t>manus_skin_mass</t>
  </si>
  <si>
    <t>head_mass</t>
  </si>
  <si>
    <t>tail_mass</t>
  </si>
  <si>
    <t>l_cal</t>
  </si>
  <si>
    <t>l_vane</t>
  </si>
  <si>
    <t>w_r</t>
  </si>
  <si>
    <t>w_vp</t>
  </si>
  <si>
    <t>w_vd</t>
  </si>
  <si>
    <t>Length</t>
  </si>
  <si>
    <t>Mass</t>
  </si>
  <si>
    <t>bone_mass</t>
  </si>
  <si>
    <t>bone_len</t>
  </si>
  <si>
    <t>bone_out_rad</t>
  </si>
  <si>
    <t>bone_in_rad</t>
  </si>
  <si>
    <t>bone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</si>
</sst>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52</v>
      </c>
      <c r="B1" t="s">
        <v>53</v>
      </c>
      <c r="C1" s="2" t="s">
        <v>57</v>
      </c>
      <c r="D1" s="2" t="s">
        <v>59</v>
      </c>
      <c r="E1" t="s">
        <v>58</v>
      </c>
    </row>
    <row r="2" spans="1:5" x14ac:dyDescent="0.25">
      <c r="A2" t="s">
        <v>1</v>
      </c>
      <c r="B2" t="s">
        <v>54</v>
      </c>
      <c r="C2" t="s">
        <v>54</v>
      </c>
      <c r="D2" t="s">
        <v>54</v>
      </c>
      <c r="E2" t="s">
        <v>55</v>
      </c>
    </row>
    <row r="3" spans="1:5" x14ac:dyDescent="0.25">
      <c r="A3" t="s">
        <v>44</v>
      </c>
      <c r="B3" t="s">
        <v>54</v>
      </c>
      <c r="C3" t="s">
        <v>55</v>
      </c>
      <c r="D3" t="s">
        <v>55</v>
      </c>
      <c r="E3" t="s">
        <v>55</v>
      </c>
    </row>
    <row r="4" spans="1:5" x14ac:dyDescent="0.25">
      <c r="A4" t="s">
        <v>45</v>
      </c>
      <c r="B4" t="s">
        <v>54</v>
      </c>
      <c r="C4" t="s">
        <v>55</v>
      </c>
      <c r="D4" t="s">
        <v>55</v>
      </c>
      <c r="E4" t="s">
        <v>55</v>
      </c>
    </row>
    <row r="5" spans="1:5" x14ac:dyDescent="0.25">
      <c r="A5" t="s">
        <v>46</v>
      </c>
      <c r="B5" t="s">
        <v>54</v>
      </c>
      <c r="C5" t="s">
        <v>55</v>
      </c>
      <c r="D5" t="s">
        <v>55</v>
      </c>
      <c r="E5" t="s">
        <v>55</v>
      </c>
    </row>
    <row r="6" spans="1:5" x14ac:dyDescent="0.25">
      <c r="A6" t="s">
        <v>56</v>
      </c>
      <c r="B6" t="s">
        <v>54</v>
      </c>
      <c r="C6" t="s">
        <v>55</v>
      </c>
      <c r="D6" t="s">
        <v>55</v>
      </c>
      <c r="E6" t="s">
        <v>55</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115</v>
      </c>
      <c r="C1" s="6" t="s">
        <v>68</v>
      </c>
      <c r="D1" s="6" t="s">
        <v>60</v>
      </c>
      <c r="E1" s="6" t="s">
        <v>177</v>
      </c>
      <c r="F1" s="6" t="s">
        <v>178</v>
      </c>
      <c r="G1" s="8" t="s">
        <v>234</v>
      </c>
      <c r="H1" s="9" t="s">
        <v>235</v>
      </c>
      <c r="I1" s="6" t="s">
        <v>153</v>
      </c>
      <c r="J1" s="6" t="s">
        <v>198</v>
      </c>
      <c r="K1" s="6" t="s">
        <v>191</v>
      </c>
      <c r="L1" s="6" t="s">
        <v>154</v>
      </c>
      <c r="M1" s="13" t="s">
        <v>243</v>
      </c>
      <c r="N1" s="13" t="s">
        <v>244</v>
      </c>
      <c r="O1" s="13" t="s">
        <v>249</v>
      </c>
    </row>
    <row r="2" spans="1:15" x14ac:dyDescent="0.25">
      <c r="A2" t="s">
        <v>80</v>
      </c>
      <c r="B2" s="3" t="s">
        <v>116</v>
      </c>
      <c r="C2" t="s">
        <v>92</v>
      </c>
      <c r="D2" t="s">
        <v>146</v>
      </c>
      <c r="E2">
        <v>0.14599999999999999</v>
      </c>
      <c r="F2">
        <v>4.5599999999999998E-3</v>
      </c>
      <c r="G2">
        <v>0.19400000000000001</v>
      </c>
      <c r="H2" s="4">
        <v>2.003E-5</v>
      </c>
      <c r="I2" s="5">
        <v>5.2999999999999999E-2</v>
      </c>
      <c r="J2" t="s">
        <v>61</v>
      </c>
      <c r="K2">
        <v>1995</v>
      </c>
      <c r="L2" t="s">
        <v>155</v>
      </c>
      <c r="M2" s="14">
        <f>0.00194*E2^1.953</f>
        <v>4.5267119242579751E-5</v>
      </c>
      <c r="N2" s="14">
        <f t="shared" ref="N2:N33" si="0">0.00376*E2^2.05</f>
        <v>7.2796617337047068E-5</v>
      </c>
      <c r="O2" s="4">
        <f>E2*(SQRT((0.14*F2/E2))*G2)^2</f>
        <v>2.4026822400000005E-5</v>
      </c>
    </row>
    <row r="3" spans="1:15" x14ac:dyDescent="0.25">
      <c r="A3" t="s">
        <v>62</v>
      </c>
      <c r="B3" s="3" t="s">
        <v>117</v>
      </c>
      <c r="C3" t="s">
        <v>93</v>
      </c>
      <c r="D3" t="s">
        <v>146</v>
      </c>
      <c r="E3">
        <v>2.14</v>
      </c>
      <c r="F3">
        <v>0.1671</v>
      </c>
      <c r="G3">
        <v>0.83</v>
      </c>
      <c r="H3" s="4">
        <v>1.2333999999999999E-2</v>
      </c>
      <c r="I3" s="5">
        <v>0.216</v>
      </c>
      <c r="J3" t="s">
        <v>61</v>
      </c>
      <c r="K3">
        <v>1995</v>
      </c>
      <c r="M3" s="14">
        <f t="shared" ref="M3:M51" si="1">0.00194*E3^1.953</f>
        <v>8.5723487123396374E-3</v>
      </c>
      <c r="N3" s="14">
        <f t="shared" si="0"/>
        <v>1.7886941239689945E-2</v>
      </c>
      <c r="O3" s="4">
        <f t="shared" ref="O3:O61" si="2">E3*(SQRT((0.14*F3/E3))*G3)^2</f>
        <v>1.6116126600000003E-2</v>
      </c>
    </row>
    <row r="4" spans="1:15" x14ac:dyDescent="0.25">
      <c r="A4" t="s">
        <v>63</v>
      </c>
      <c r="B4" s="3" t="s">
        <v>118</v>
      </c>
      <c r="C4" t="s">
        <v>94</v>
      </c>
      <c r="D4" t="s">
        <v>114</v>
      </c>
      <c r="E4">
        <v>0.56899999999999995</v>
      </c>
      <c r="F4">
        <v>3.8850000000000003E-2</v>
      </c>
      <c r="G4">
        <v>0.39</v>
      </c>
      <c r="H4" s="4">
        <v>6.5660000000000002E-4</v>
      </c>
      <c r="I4" s="5">
        <v>0.108</v>
      </c>
      <c r="J4" t="s">
        <v>61</v>
      </c>
      <c r="K4">
        <v>1995</v>
      </c>
      <c r="M4" s="14">
        <f t="shared" si="1"/>
        <v>6.4496476026424754E-4</v>
      </c>
      <c r="N4" s="14">
        <f t="shared" si="0"/>
        <v>1.1834992608754837E-3</v>
      </c>
      <c r="O4" s="4">
        <f t="shared" si="2"/>
        <v>8.2727190000000017E-4</v>
      </c>
    </row>
    <row r="5" spans="1:15" x14ac:dyDescent="0.25">
      <c r="A5" t="s">
        <v>64</v>
      </c>
      <c r="B5" s="3" t="s">
        <v>119</v>
      </c>
      <c r="C5" t="s">
        <v>95</v>
      </c>
      <c r="D5" t="s">
        <v>145</v>
      </c>
      <c r="E5">
        <v>0.27900000000000003</v>
      </c>
      <c r="F5">
        <v>2.2610000000000002E-2</v>
      </c>
      <c r="G5">
        <v>0.35499999999999998</v>
      </c>
      <c r="H5" s="4">
        <v>2.63E-4</v>
      </c>
      <c r="I5" s="5">
        <v>9.2999999999999999E-2</v>
      </c>
      <c r="J5" t="s">
        <v>61</v>
      </c>
      <c r="K5">
        <v>1995</v>
      </c>
      <c r="M5" s="14">
        <f t="shared" si="1"/>
        <v>1.6034917836280793E-4</v>
      </c>
      <c r="N5" s="14">
        <f t="shared" si="0"/>
        <v>2.7458478040662162E-4</v>
      </c>
      <c r="O5" s="4">
        <f t="shared" si="2"/>
        <v>3.9891953499999994E-4</v>
      </c>
    </row>
    <row r="6" spans="1:15" x14ac:dyDescent="0.25">
      <c r="A6" t="s">
        <v>65</v>
      </c>
      <c r="B6" s="3" t="s">
        <v>120</v>
      </c>
      <c r="C6" t="s">
        <v>95</v>
      </c>
      <c r="D6" t="s">
        <v>145</v>
      </c>
      <c r="E6">
        <v>0.77100000000000002</v>
      </c>
      <c r="F6">
        <v>7.2510000000000005E-2</v>
      </c>
      <c r="G6">
        <v>0.59</v>
      </c>
      <c r="H6" s="4">
        <v>2.5360000000000001E-3</v>
      </c>
      <c r="I6" s="5">
        <v>0.155</v>
      </c>
      <c r="J6" t="s">
        <v>61</v>
      </c>
      <c r="K6">
        <v>1995</v>
      </c>
      <c r="M6" s="14">
        <f t="shared" si="1"/>
        <v>1.167397960559529E-3</v>
      </c>
      <c r="N6" s="14">
        <f t="shared" si="0"/>
        <v>2.2062225535244952E-3</v>
      </c>
      <c r="O6" s="4">
        <f t="shared" si="2"/>
        <v>3.5337023400000009E-3</v>
      </c>
    </row>
    <row r="7" spans="1:15" x14ac:dyDescent="0.25">
      <c r="A7" t="s">
        <v>66</v>
      </c>
      <c r="B7" s="3" t="s">
        <v>121</v>
      </c>
      <c r="C7" t="s">
        <v>96</v>
      </c>
      <c r="D7" t="s">
        <v>149</v>
      </c>
      <c r="F7">
        <v>1.374E-2</v>
      </c>
      <c r="G7">
        <v>0.35499999999999998</v>
      </c>
      <c r="H7" s="4">
        <v>1.595E-4</v>
      </c>
      <c r="I7" s="5">
        <v>8.5999999999999993E-2</v>
      </c>
      <c r="J7" t="s">
        <v>61</v>
      </c>
      <c r="K7">
        <v>1995</v>
      </c>
      <c r="M7" s="14">
        <f t="shared" si="1"/>
        <v>0</v>
      </c>
      <c r="N7" s="14">
        <f t="shared" si="0"/>
        <v>0</v>
      </c>
      <c r="O7" s="4" t="e">
        <f>E7*(SQRT((0.14*F7/E7))*G7)^2</f>
        <v>#DIV/0!</v>
      </c>
    </row>
    <row r="8" spans="1:15" x14ac:dyDescent="0.25">
      <c r="A8" s="2" t="s">
        <v>67</v>
      </c>
      <c r="B8" s="3" t="s">
        <v>122</v>
      </c>
      <c r="C8" t="s">
        <v>97</v>
      </c>
      <c r="D8" t="s">
        <v>114</v>
      </c>
      <c r="E8">
        <v>0.39300000000000002</v>
      </c>
      <c r="F8">
        <v>1.915E-2</v>
      </c>
      <c r="G8">
        <v>0.254</v>
      </c>
      <c r="H8" s="4">
        <v>1.0069999999999999E-4</v>
      </c>
      <c r="I8" s="5">
        <v>0.06</v>
      </c>
      <c r="J8" t="s">
        <v>61</v>
      </c>
      <c r="K8">
        <v>1995</v>
      </c>
      <c r="M8" s="14">
        <f t="shared" si="1"/>
        <v>3.1307643568253722E-4</v>
      </c>
      <c r="N8" s="14">
        <f t="shared" si="0"/>
        <v>5.5423324544541324E-4</v>
      </c>
      <c r="O8" s="4">
        <f t="shared" si="2"/>
        <v>1.7296739600000007E-4</v>
      </c>
    </row>
    <row r="9" spans="1:15" x14ac:dyDescent="0.25">
      <c r="A9" t="s">
        <v>79</v>
      </c>
      <c r="B9" s="3" t="s">
        <v>123</v>
      </c>
      <c r="C9" t="s">
        <v>97</v>
      </c>
      <c r="D9" t="s">
        <v>114</v>
      </c>
      <c r="E9">
        <v>0.13200000000000001</v>
      </c>
      <c r="F9">
        <v>4.0000000000000001E-3</v>
      </c>
      <c r="G9">
        <v>0.16400000000000001</v>
      </c>
      <c r="H9" s="4">
        <v>8.4819999999999994E-6</v>
      </c>
      <c r="I9" s="5">
        <v>3.6999999999999998E-2</v>
      </c>
      <c r="J9" t="s">
        <v>61</v>
      </c>
      <c r="K9">
        <v>1995</v>
      </c>
      <c r="M9" s="14">
        <f t="shared" si="1"/>
        <v>3.7177708471026745E-5</v>
      </c>
      <c r="N9" s="14">
        <f t="shared" si="0"/>
        <v>5.9205820467965174E-5</v>
      </c>
      <c r="O9" s="4">
        <f t="shared" si="2"/>
        <v>1.5061760000000004E-5</v>
      </c>
    </row>
    <row r="10" spans="1:15" x14ac:dyDescent="0.25">
      <c r="A10" t="s">
        <v>69</v>
      </c>
      <c r="B10" s="3" t="s">
        <v>124</v>
      </c>
      <c r="C10" t="s">
        <v>98</v>
      </c>
      <c r="D10" t="s">
        <v>152</v>
      </c>
      <c r="E10">
        <v>0.36399999999999999</v>
      </c>
      <c r="F10">
        <v>1.4199999999999999E-2</v>
      </c>
      <c r="G10">
        <v>0.27100000000000002</v>
      </c>
      <c r="H10" s="4">
        <v>9.557999999999999E-5</v>
      </c>
      <c r="I10" s="5">
        <v>6.5000000000000002E-2</v>
      </c>
      <c r="J10" t="s">
        <v>61</v>
      </c>
      <c r="K10">
        <v>1995</v>
      </c>
      <c r="M10" s="14">
        <f t="shared" si="1"/>
        <v>2.6954590120052956E-4</v>
      </c>
      <c r="N10" s="14">
        <f t="shared" si="0"/>
        <v>4.7363706517609348E-4</v>
      </c>
      <c r="O10" s="4">
        <f t="shared" si="2"/>
        <v>1.4600070800000002E-4</v>
      </c>
    </row>
    <row r="11" spans="1:15" x14ac:dyDescent="0.25">
      <c r="A11" t="s">
        <v>70</v>
      </c>
      <c r="B11" s="3" t="s">
        <v>125</v>
      </c>
      <c r="C11" t="s">
        <v>99</v>
      </c>
      <c r="D11" t="s">
        <v>146</v>
      </c>
      <c r="E11">
        <v>0.16300000000000001</v>
      </c>
      <c r="F11">
        <v>1.2449999999999999E-2</v>
      </c>
      <c r="G11">
        <v>0.27900000000000003</v>
      </c>
      <c r="H11" s="4">
        <v>8.4980000000000003E-5</v>
      </c>
      <c r="I11" s="5">
        <v>6.8000000000000005E-2</v>
      </c>
      <c r="J11" t="s">
        <v>61</v>
      </c>
      <c r="K11">
        <v>1995</v>
      </c>
      <c r="M11" s="14">
        <f t="shared" si="1"/>
        <v>5.6131173433869515E-5</v>
      </c>
      <c r="N11" s="14">
        <f t="shared" si="0"/>
        <v>9.1237301955231917E-5</v>
      </c>
      <c r="O11" s="4">
        <f t="shared" si="2"/>
        <v>1.3567686300000004E-4</v>
      </c>
    </row>
    <row r="12" spans="1:15" x14ac:dyDescent="0.25">
      <c r="A12" t="s">
        <v>71</v>
      </c>
      <c r="B12" s="3" t="s">
        <v>126</v>
      </c>
      <c r="C12" t="s">
        <v>100</v>
      </c>
      <c r="D12" t="s">
        <v>146</v>
      </c>
      <c r="E12">
        <v>0.25600000000000001</v>
      </c>
      <c r="F12">
        <v>1.898E-2</v>
      </c>
      <c r="G12">
        <v>0.46100000000000002</v>
      </c>
      <c r="H12" s="4">
        <v>4.0249999999999997E-4</v>
      </c>
      <c r="I12" s="5">
        <v>0.11799999999999999</v>
      </c>
      <c r="J12" t="s">
        <v>61</v>
      </c>
      <c r="K12">
        <v>1995</v>
      </c>
      <c r="M12" s="14">
        <f t="shared" si="1"/>
        <v>1.3554839581986163E-4</v>
      </c>
      <c r="N12" s="14">
        <f t="shared" si="0"/>
        <v>2.3018645988824853E-4</v>
      </c>
      <c r="O12" s="4">
        <f t="shared" si="2"/>
        <v>5.6471080119999996E-4</v>
      </c>
    </row>
    <row r="13" spans="1:15" x14ac:dyDescent="0.25">
      <c r="A13" t="s">
        <v>72</v>
      </c>
      <c r="B13" s="3" t="s">
        <v>127</v>
      </c>
      <c r="C13" t="s">
        <v>101</v>
      </c>
      <c r="D13" t="s">
        <v>146</v>
      </c>
      <c r="E13">
        <v>0.1</v>
      </c>
      <c r="F13">
        <v>5.0400000000000002E-3</v>
      </c>
      <c r="G13">
        <v>0.183</v>
      </c>
      <c r="H13" s="4">
        <v>1.6179999999999998E-5</v>
      </c>
      <c r="I13" s="5">
        <v>4.5999999999999999E-2</v>
      </c>
      <c r="J13" t="s">
        <v>61</v>
      </c>
      <c r="K13">
        <v>1995</v>
      </c>
      <c r="M13" s="14">
        <f t="shared" si="1"/>
        <v>2.1617313951679575E-5</v>
      </c>
      <c r="N13" s="14">
        <f t="shared" si="0"/>
        <v>3.3511035273828866E-5</v>
      </c>
      <c r="O13" s="4">
        <f t="shared" si="2"/>
        <v>2.3629838400000002E-5</v>
      </c>
    </row>
    <row r="14" spans="1:15" x14ac:dyDescent="0.25">
      <c r="A14" t="s">
        <v>78</v>
      </c>
      <c r="B14" s="3" t="s">
        <v>128</v>
      </c>
      <c r="C14" t="s">
        <v>101</v>
      </c>
      <c r="D14" t="s">
        <v>146</v>
      </c>
      <c r="E14">
        <v>0.69099999999999995</v>
      </c>
      <c r="F14">
        <v>3.107E-2</v>
      </c>
      <c r="G14">
        <v>0.33500000000000002</v>
      </c>
      <c r="H14" s="4">
        <v>4.2479999999999997E-4</v>
      </c>
      <c r="I14" s="5">
        <v>0.1</v>
      </c>
      <c r="J14" t="s">
        <v>61</v>
      </c>
      <c r="K14">
        <v>1995</v>
      </c>
      <c r="M14" s="14">
        <f t="shared" si="1"/>
        <v>9.4254556975263584E-4</v>
      </c>
      <c r="N14" s="14">
        <f t="shared" si="0"/>
        <v>1.7624542082149727E-3</v>
      </c>
      <c r="O14" s="4">
        <f t="shared" si="2"/>
        <v>4.8815630500000025E-4</v>
      </c>
    </row>
    <row r="15" spans="1:15" x14ac:dyDescent="0.25">
      <c r="A15" t="s">
        <v>77</v>
      </c>
      <c r="B15" s="3" t="s">
        <v>129</v>
      </c>
      <c r="C15" t="s">
        <v>102</v>
      </c>
      <c r="D15" t="s">
        <v>147</v>
      </c>
      <c r="E15">
        <v>0.29299999999999998</v>
      </c>
      <c r="F15">
        <v>2.247E-2</v>
      </c>
      <c r="G15">
        <v>0.32300000000000001</v>
      </c>
      <c r="H15" s="4">
        <v>1.7269999999999997E-4</v>
      </c>
      <c r="I15" s="5">
        <v>7.0999999999999994E-2</v>
      </c>
      <c r="J15" t="s">
        <v>61</v>
      </c>
      <c r="K15">
        <v>1995</v>
      </c>
      <c r="M15" s="14">
        <f t="shared" si="1"/>
        <v>1.7643883944834174E-4</v>
      </c>
      <c r="N15" s="14">
        <f t="shared" si="0"/>
        <v>3.0357532361587785E-4</v>
      </c>
      <c r="O15" s="4">
        <f t="shared" si="2"/>
        <v>3.2819816820000007E-4</v>
      </c>
    </row>
    <row r="16" spans="1:15" x14ac:dyDescent="0.25">
      <c r="A16" t="s">
        <v>73</v>
      </c>
      <c r="B16" s="3" t="s">
        <v>130</v>
      </c>
      <c r="C16" t="s">
        <v>103</v>
      </c>
      <c r="D16" t="s">
        <v>148</v>
      </c>
      <c r="E16">
        <v>0.39800000000000002</v>
      </c>
      <c r="F16">
        <v>3.141E-2</v>
      </c>
      <c r="G16">
        <v>0.42099999999999999</v>
      </c>
      <c r="H16" s="4">
        <v>5.7850000000000002E-4</v>
      </c>
      <c r="I16" s="5">
        <v>0.111</v>
      </c>
      <c r="J16" t="s">
        <v>61</v>
      </c>
      <c r="K16">
        <v>1995</v>
      </c>
      <c r="M16" s="14">
        <f t="shared" si="1"/>
        <v>3.2090269891190434E-4</v>
      </c>
      <c r="N16" s="14">
        <f t="shared" si="0"/>
        <v>5.6878501050567048E-4</v>
      </c>
      <c r="O16" s="4">
        <f t="shared" si="2"/>
        <v>7.7939957339999985E-4</v>
      </c>
    </row>
    <row r="17" spans="1:15" x14ac:dyDescent="0.25">
      <c r="A17" t="s">
        <v>74</v>
      </c>
      <c r="B17" s="3" t="s">
        <v>131</v>
      </c>
      <c r="C17" t="s">
        <v>104</v>
      </c>
      <c r="D17" t="s">
        <v>150</v>
      </c>
      <c r="E17">
        <v>3.4299999999999997E-2</v>
      </c>
      <c r="F17">
        <v>1.5500000000000002E-3</v>
      </c>
      <c r="G17">
        <v>0.13</v>
      </c>
      <c r="H17" s="4">
        <v>2.3439999999999999E-6</v>
      </c>
      <c r="I17" s="5">
        <v>0.03</v>
      </c>
      <c r="J17" t="s">
        <v>61</v>
      </c>
      <c r="K17">
        <v>1995</v>
      </c>
      <c r="M17" s="14">
        <f t="shared" si="1"/>
        <v>2.6744294527389184E-6</v>
      </c>
      <c r="N17" s="14">
        <f t="shared" si="0"/>
        <v>3.737152248554516E-6</v>
      </c>
      <c r="O17" s="4">
        <f t="shared" si="2"/>
        <v>3.6673000000000017E-6</v>
      </c>
    </row>
    <row r="18" spans="1:15" x14ac:dyDescent="0.25">
      <c r="A18" t="s">
        <v>76</v>
      </c>
      <c r="B18" s="3" t="s">
        <v>132</v>
      </c>
      <c r="C18" t="s">
        <v>105</v>
      </c>
      <c r="D18" t="s">
        <v>150</v>
      </c>
      <c r="E18">
        <v>0.17899999999999999</v>
      </c>
      <c r="F18">
        <v>1.175E-2</v>
      </c>
      <c r="G18">
        <v>0.23499999999999999</v>
      </c>
      <c r="H18" s="4">
        <v>4.7539999999999995E-5</v>
      </c>
      <c r="I18" s="5">
        <v>5.0999999999999997E-2</v>
      </c>
      <c r="J18" t="s">
        <v>61</v>
      </c>
      <c r="K18">
        <v>1995</v>
      </c>
      <c r="M18" s="14">
        <f t="shared" si="1"/>
        <v>6.7394382652632656E-5</v>
      </c>
      <c r="N18" s="14">
        <f t="shared" si="0"/>
        <v>1.105443520497796E-4</v>
      </c>
      <c r="O18" s="4">
        <f t="shared" si="2"/>
        <v>9.084512499999999E-5</v>
      </c>
    </row>
    <row r="19" spans="1:15" x14ac:dyDescent="0.25">
      <c r="A19" t="s">
        <v>75</v>
      </c>
      <c r="B19" s="3" t="s">
        <v>133</v>
      </c>
      <c r="C19" t="s">
        <v>105</v>
      </c>
      <c r="D19" t="s">
        <v>150</v>
      </c>
      <c r="E19">
        <v>6.2899999999999998E-2</v>
      </c>
      <c r="F19">
        <v>4.1700000000000001E-3</v>
      </c>
      <c r="G19">
        <v>0.19</v>
      </c>
      <c r="H19" s="4">
        <v>1.115E-5</v>
      </c>
      <c r="I19" s="5">
        <v>4.2000000000000003E-2</v>
      </c>
      <c r="J19" t="s">
        <v>61</v>
      </c>
      <c r="K19">
        <v>1995</v>
      </c>
      <c r="M19" s="14">
        <f t="shared" si="1"/>
        <v>8.7411070807510653E-6</v>
      </c>
      <c r="N19" s="14">
        <f t="shared" si="0"/>
        <v>1.2954530209105578E-5</v>
      </c>
      <c r="O19" s="4">
        <f t="shared" si="2"/>
        <v>2.1075180000000006E-5</v>
      </c>
    </row>
    <row r="20" spans="1:15" x14ac:dyDescent="0.25">
      <c r="A20" t="s">
        <v>81</v>
      </c>
      <c r="B20" s="3" t="s">
        <v>134</v>
      </c>
      <c r="C20" t="s">
        <v>106</v>
      </c>
      <c r="D20" t="s">
        <v>151</v>
      </c>
      <c r="E20">
        <v>1.52E-2</v>
      </c>
      <c r="F20">
        <v>8.4999999999999995E-4</v>
      </c>
      <c r="G20">
        <v>0.14000000000000001</v>
      </c>
      <c r="H20" s="4">
        <v>1.3480000000000001E-6</v>
      </c>
      <c r="I20" s="5">
        <v>0.03</v>
      </c>
      <c r="J20" t="s">
        <v>61</v>
      </c>
      <c r="K20">
        <v>1995</v>
      </c>
      <c r="M20" s="14">
        <f t="shared" si="1"/>
        <v>5.4568530318211099E-7</v>
      </c>
      <c r="N20" s="14">
        <f t="shared" si="0"/>
        <v>7.046398495280267E-7</v>
      </c>
      <c r="O20" s="4">
        <f t="shared" si="2"/>
        <v>2.3324000000000012E-6</v>
      </c>
    </row>
    <row r="21" spans="1:15" x14ac:dyDescent="0.25">
      <c r="A21" t="s">
        <v>82</v>
      </c>
      <c r="B21" s="3" t="s">
        <v>135</v>
      </c>
      <c r="C21" t="s">
        <v>107</v>
      </c>
      <c r="D21" t="s">
        <v>151</v>
      </c>
      <c r="E21">
        <v>1.4999999999999999E-2</v>
      </c>
      <c r="F21">
        <v>6.8999999999999997E-4</v>
      </c>
      <c r="G21">
        <v>0.108</v>
      </c>
      <c r="H21" s="4">
        <v>5.8099999999999992E-7</v>
      </c>
      <c r="I21" s="5">
        <v>2.1999999999999999E-2</v>
      </c>
      <c r="J21" t="s">
        <v>61</v>
      </c>
      <c r="K21">
        <v>1995</v>
      </c>
      <c r="M21" s="14">
        <f t="shared" si="1"/>
        <v>5.3175056358067598E-7</v>
      </c>
      <c r="N21" s="14">
        <f t="shared" si="0"/>
        <v>6.8576438437052571E-7</v>
      </c>
      <c r="O21" s="4">
        <f t="shared" si="2"/>
        <v>1.1267424E-6</v>
      </c>
    </row>
    <row r="22" spans="1:15" x14ac:dyDescent="0.25">
      <c r="A22" t="s">
        <v>83</v>
      </c>
      <c r="B22" s="3" t="s">
        <v>136</v>
      </c>
      <c r="C22" t="s">
        <v>107</v>
      </c>
      <c r="D22" t="s">
        <v>151</v>
      </c>
      <c r="E22">
        <v>5.62E-2</v>
      </c>
      <c r="F22">
        <v>3.14E-3</v>
      </c>
      <c r="G22">
        <v>0.184</v>
      </c>
      <c r="H22" s="4">
        <v>9.115E-6</v>
      </c>
      <c r="I22" s="5">
        <v>4.2000000000000003E-2</v>
      </c>
      <c r="J22" t="s">
        <v>61</v>
      </c>
      <c r="K22">
        <v>1995</v>
      </c>
      <c r="M22" s="14">
        <f t="shared" si="1"/>
        <v>7.0151466492368822E-6</v>
      </c>
      <c r="N22" s="14">
        <f t="shared" si="0"/>
        <v>1.0283650110450111E-5</v>
      </c>
      <c r="O22" s="4">
        <f t="shared" si="2"/>
        <v>1.4883097600000003E-5</v>
      </c>
    </row>
    <row r="23" spans="1:15" x14ac:dyDescent="0.25">
      <c r="A23" t="s">
        <v>84</v>
      </c>
      <c r="B23" s="3" t="s">
        <v>137</v>
      </c>
      <c r="C23" t="s">
        <v>107</v>
      </c>
      <c r="D23" t="s">
        <v>151</v>
      </c>
      <c r="E23">
        <v>6.7599999999999993E-2</v>
      </c>
      <c r="F23">
        <v>3.3900000000000002E-3</v>
      </c>
      <c r="G23">
        <v>0.17100000000000001</v>
      </c>
      <c r="H23" s="4">
        <v>6.0979999999999999E-6</v>
      </c>
      <c r="I23" s="5">
        <v>3.3000000000000002E-2</v>
      </c>
      <c r="J23" t="s">
        <v>61</v>
      </c>
      <c r="K23">
        <v>1995</v>
      </c>
      <c r="M23" s="14">
        <f t="shared" si="1"/>
        <v>1.0062076783723573E-5</v>
      </c>
      <c r="N23" s="14">
        <f t="shared" si="0"/>
        <v>1.5016840625765583E-5</v>
      </c>
      <c r="O23" s="4">
        <f t="shared" si="2"/>
        <v>1.3877778600000006E-5</v>
      </c>
    </row>
    <row r="24" spans="1:15" x14ac:dyDescent="0.25">
      <c r="A24" t="s">
        <v>85</v>
      </c>
      <c r="B24" s="3" t="s">
        <v>138</v>
      </c>
      <c r="C24" t="s">
        <v>108</v>
      </c>
      <c r="D24" t="s">
        <v>151</v>
      </c>
      <c r="E24">
        <v>1.46E-2</v>
      </c>
      <c r="F24">
        <v>8.4000000000000003E-4</v>
      </c>
      <c r="G24">
        <v>0.112</v>
      </c>
      <c r="H24" s="4">
        <v>6.7300000000000006E-7</v>
      </c>
      <c r="I24" s="5">
        <v>2.1000000000000001E-2</v>
      </c>
      <c r="J24" t="s">
        <v>61</v>
      </c>
      <c r="K24">
        <v>1995</v>
      </c>
      <c r="M24" s="14">
        <f t="shared" si="1"/>
        <v>5.0440903523451658E-7</v>
      </c>
      <c r="N24" s="14">
        <f t="shared" si="0"/>
        <v>6.4880053494606504E-7</v>
      </c>
      <c r="O24" s="4">
        <f t="shared" si="2"/>
        <v>1.4751744000000002E-6</v>
      </c>
    </row>
    <row r="25" spans="1:15" x14ac:dyDescent="0.25">
      <c r="A25" t="s">
        <v>86</v>
      </c>
      <c r="B25" s="3" t="s">
        <v>139</v>
      </c>
      <c r="C25" t="s">
        <v>108</v>
      </c>
      <c r="D25" t="s">
        <v>151</v>
      </c>
      <c r="E25">
        <v>9.4999999999999998E-3</v>
      </c>
      <c r="F25">
        <v>4.8000000000000001E-4</v>
      </c>
      <c r="G25">
        <v>9.5000000000000001E-2</v>
      </c>
      <c r="H25" s="4">
        <v>2.8599999999999994E-7</v>
      </c>
      <c r="I25" s="5">
        <v>1.7999999999999999E-2</v>
      </c>
      <c r="J25" t="s">
        <v>61</v>
      </c>
      <c r="K25">
        <v>1995</v>
      </c>
      <c r="M25" s="14">
        <f t="shared" si="1"/>
        <v>2.1791941835153605E-7</v>
      </c>
      <c r="N25" s="14">
        <f t="shared" si="0"/>
        <v>2.6885693032726867E-7</v>
      </c>
      <c r="O25" s="4">
        <f t="shared" si="2"/>
        <v>6.0648000000000001E-7</v>
      </c>
    </row>
    <row r="26" spans="1:15" x14ac:dyDescent="0.25">
      <c r="A26" t="s">
        <v>87</v>
      </c>
      <c r="B26" s="3" t="s">
        <v>140</v>
      </c>
      <c r="C26" t="s">
        <v>109</v>
      </c>
      <c r="D26" t="s">
        <v>151</v>
      </c>
      <c r="E26">
        <v>1.9900000000000001E-2</v>
      </c>
      <c r="F26">
        <v>1.1000000000000001E-3</v>
      </c>
      <c r="G26">
        <v>0.11600000000000001</v>
      </c>
      <c r="H26" s="4">
        <v>1.0069999999999998E-6</v>
      </c>
      <c r="I26" s="5">
        <v>2.3E-2</v>
      </c>
      <c r="J26" t="s">
        <v>61</v>
      </c>
      <c r="K26">
        <v>1995</v>
      </c>
      <c r="M26" s="14">
        <f t="shared" si="1"/>
        <v>9.235529251014043E-7</v>
      </c>
      <c r="N26" s="14">
        <f t="shared" si="0"/>
        <v>1.2241556787431116E-6</v>
      </c>
      <c r="O26" s="4">
        <f t="shared" si="2"/>
        <v>2.0722240000000009E-6</v>
      </c>
    </row>
    <row r="27" spans="1:15" x14ac:dyDescent="0.25">
      <c r="A27" t="s">
        <v>91</v>
      </c>
      <c r="B27" s="3" t="s">
        <v>141</v>
      </c>
      <c r="C27" t="s">
        <v>110</v>
      </c>
      <c r="D27" t="s">
        <v>151</v>
      </c>
      <c r="E27">
        <v>1.4500000000000001E-2</v>
      </c>
      <c r="F27">
        <v>6.3000000000000003E-4</v>
      </c>
      <c r="G27">
        <v>0.09</v>
      </c>
      <c r="H27" s="4">
        <v>3.5599999999999996E-7</v>
      </c>
      <c r="I27" s="5">
        <v>1.9E-2</v>
      </c>
      <c r="J27" t="s">
        <v>61</v>
      </c>
      <c r="K27">
        <v>1995</v>
      </c>
      <c r="M27" s="14">
        <f t="shared" si="1"/>
        <v>4.9768372430797605E-7</v>
      </c>
      <c r="N27" s="14">
        <f t="shared" si="0"/>
        <v>6.3972341877159474E-7</v>
      </c>
      <c r="O27" s="4">
        <f t="shared" si="2"/>
        <v>7.1442000000000012E-7</v>
      </c>
    </row>
    <row r="28" spans="1:15" x14ac:dyDescent="0.25">
      <c r="A28" t="s">
        <v>88</v>
      </c>
      <c r="B28" s="3" t="s">
        <v>143</v>
      </c>
      <c r="C28" t="s">
        <v>111</v>
      </c>
      <c r="D28" t="s">
        <v>151</v>
      </c>
      <c r="E28">
        <v>1.5100000000000001E-2</v>
      </c>
      <c r="F28">
        <v>6.4000000000000005E-4</v>
      </c>
      <c r="G28">
        <v>0.1</v>
      </c>
      <c r="H28" s="4">
        <v>6.6300000000000005E-7</v>
      </c>
      <c r="I28" s="5">
        <v>2.5999999999999999E-2</v>
      </c>
      <c r="J28" t="s">
        <v>61</v>
      </c>
      <c r="K28">
        <v>1995</v>
      </c>
      <c r="M28" s="14">
        <f t="shared" si="1"/>
        <v>5.3869594693507497E-7</v>
      </c>
      <c r="N28" s="14">
        <f t="shared" si="0"/>
        <v>6.9516930365893029E-7</v>
      </c>
      <c r="O28" s="4">
        <f t="shared" si="2"/>
        <v>8.9600000000000008E-7</v>
      </c>
    </row>
    <row r="29" spans="1:15" x14ac:dyDescent="0.25">
      <c r="A29" t="s">
        <v>89</v>
      </c>
      <c r="B29" s="3" t="s">
        <v>142</v>
      </c>
      <c r="C29" t="s">
        <v>112</v>
      </c>
      <c r="D29" t="s">
        <v>151</v>
      </c>
      <c r="E29">
        <v>5.8099999999999999E-2</v>
      </c>
      <c r="F29">
        <v>3.7000000000000002E-3</v>
      </c>
      <c r="G29">
        <v>0.185</v>
      </c>
      <c r="H29" s="4">
        <v>1.0159999999999999E-5</v>
      </c>
      <c r="I29" s="5">
        <v>4.1000000000000002E-2</v>
      </c>
      <c r="J29" t="s">
        <v>61</v>
      </c>
      <c r="K29">
        <v>1995</v>
      </c>
      <c r="M29" s="14">
        <f t="shared" si="1"/>
        <v>7.4857913249499329E-6</v>
      </c>
      <c r="N29" s="14">
        <f t="shared" si="0"/>
        <v>1.1009026479879564E-5</v>
      </c>
      <c r="O29" s="4">
        <f t="shared" si="2"/>
        <v>1.7728550000000002E-5</v>
      </c>
    </row>
    <row r="30" spans="1:15" x14ac:dyDescent="0.25">
      <c r="A30" t="s">
        <v>90</v>
      </c>
      <c r="B30" s="3" t="s">
        <v>144</v>
      </c>
      <c r="C30" t="s">
        <v>113</v>
      </c>
      <c r="D30" t="s">
        <v>151</v>
      </c>
      <c r="E30">
        <v>0.32800000000000001</v>
      </c>
      <c r="F30">
        <v>2.878E-2</v>
      </c>
      <c r="G30">
        <v>0.38900000000000001</v>
      </c>
      <c r="H30" s="4">
        <v>3.2689999999999998E-4</v>
      </c>
      <c r="I30" s="5">
        <v>0.08</v>
      </c>
      <c r="J30" t="s">
        <v>61</v>
      </c>
      <c r="K30">
        <v>1995</v>
      </c>
      <c r="M30" s="14">
        <f t="shared" si="1"/>
        <v>2.199395573704706E-4</v>
      </c>
      <c r="N30" s="14">
        <f t="shared" si="0"/>
        <v>3.8258613278113008E-4</v>
      </c>
      <c r="O30" s="4">
        <f t="shared" si="2"/>
        <v>6.097025732E-4</v>
      </c>
    </row>
    <row r="31" spans="1:15" x14ac:dyDescent="0.25">
      <c r="A31" t="s">
        <v>158</v>
      </c>
      <c r="B31" s="3" t="s">
        <v>192</v>
      </c>
      <c r="C31" t="s">
        <v>193</v>
      </c>
      <c r="D31" t="s">
        <v>151</v>
      </c>
      <c r="E31">
        <v>2.3E-2</v>
      </c>
      <c r="F31">
        <f>1.13*10^-3</f>
        <v>1.1299999999999999E-3</v>
      </c>
      <c r="G31">
        <v>0.13250000000000001</v>
      </c>
      <c r="H31" s="4">
        <f>0.00000135</f>
        <v>1.35E-6</v>
      </c>
      <c r="I31" s="5"/>
      <c r="J31" t="s">
        <v>157</v>
      </c>
      <c r="K31">
        <v>1990</v>
      </c>
      <c r="L31" t="s">
        <v>156</v>
      </c>
      <c r="M31" s="14">
        <f t="shared" si="1"/>
        <v>1.2253388229487016E-6</v>
      </c>
      <c r="N31" s="14">
        <f t="shared" si="0"/>
        <v>1.6471377047227877E-6</v>
      </c>
      <c r="O31" s="4">
        <f t="shared" si="2"/>
        <v>2.7773987500000002E-6</v>
      </c>
    </row>
    <row r="32" spans="1:15" x14ac:dyDescent="0.25">
      <c r="A32" t="s">
        <v>159</v>
      </c>
      <c r="B32" s="3" t="s">
        <v>174</v>
      </c>
      <c r="C32" t="s">
        <v>93</v>
      </c>
      <c r="D32" t="s">
        <v>146</v>
      </c>
      <c r="E32">
        <v>2</v>
      </c>
      <c r="F32">
        <v>0.16300000000000001</v>
      </c>
      <c r="G32">
        <v>0.93</v>
      </c>
      <c r="H32" s="4">
        <v>1.5800000000000002E-2</v>
      </c>
      <c r="I32" s="5"/>
      <c r="J32" t="s">
        <v>157</v>
      </c>
      <c r="K32">
        <v>1990</v>
      </c>
      <c r="M32" s="14">
        <f t="shared" si="1"/>
        <v>7.5112689286954025E-3</v>
      </c>
      <c r="N32" s="14">
        <f t="shared" si="0"/>
        <v>1.5570384454574312E-2</v>
      </c>
      <c r="O32" s="4">
        <f t="shared" si="2"/>
        <v>1.9737018000000002E-2</v>
      </c>
    </row>
    <row r="33" spans="1:15" x14ac:dyDescent="0.25">
      <c r="A33" t="s">
        <v>160</v>
      </c>
      <c r="B33" s="3" t="s">
        <v>175</v>
      </c>
      <c r="C33" t="s">
        <v>95</v>
      </c>
      <c r="D33" t="s">
        <v>145</v>
      </c>
      <c r="E33">
        <v>0.39</v>
      </c>
      <c r="F33">
        <v>4.5900000000000003E-2</v>
      </c>
      <c r="G33">
        <v>0.48749999999999999</v>
      </c>
      <c r="H33" s="4">
        <v>7.8899999999999999E-4</v>
      </c>
      <c r="I33" s="5"/>
      <c r="J33" t="s">
        <v>157</v>
      </c>
      <c r="K33">
        <v>1990</v>
      </c>
      <c r="M33" s="14">
        <f t="shared" si="1"/>
        <v>3.0842594740789267E-4</v>
      </c>
      <c r="N33" s="14">
        <f t="shared" si="0"/>
        <v>5.4559488401183015E-4</v>
      </c>
      <c r="O33" s="4">
        <f t="shared" si="2"/>
        <v>1.5271790625000004E-3</v>
      </c>
    </row>
    <row r="34" spans="1:15" x14ac:dyDescent="0.25">
      <c r="A34" t="s">
        <v>160</v>
      </c>
      <c r="B34" s="3" t="s">
        <v>175</v>
      </c>
      <c r="C34" t="s">
        <v>95</v>
      </c>
      <c r="D34" t="s">
        <v>145</v>
      </c>
      <c r="E34">
        <v>0.57499999999999996</v>
      </c>
      <c r="F34">
        <v>5.3999999999999999E-2</v>
      </c>
      <c r="G34">
        <v>0.51500000000000001</v>
      </c>
      <c r="H34" s="4">
        <v>9.8700000000000003E-4</v>
      </c>
      <c r="J34" t="s">
        <v>157</v>
      </c>
      <c r="K34">
        <v>1990</v>
      </c>
      <c r="M34" s="14">
        <f t="shared" si="1"/>
        <v>6.5831390832004006E-4</v>
      </c>
      <c r="N34" s="14">
        <f t="shared" ref="N34:N51" si="3">0.00376*E34^2.05</f>
        <v>1.2092244686511911E-3</v>
      </c>
      <c r="O34" s="4">
        <f t="shared" si="2"/>
        <v>2.005101E-3</v>
      </c>
    </row>
    <row r="35" spans="1:15" x14ac:dyDescent="0.25">
      <c r="A35" t="s">
        <v>161</v>
      </c>
      <c r="B35" s="3" t="s">
        <v>176</v>
      </c>
      <c r="C35" t="s">
        <v>93</v>
      </c>
      <c r="D35" t="s">
        <v>146</v>
      </c>
      <c r="E35">
        <v>0.17</v>
      </c>
      <c r="F35">
        <v>1.2999999999999999E-2</v>
      </c>
      <c r="G35">
        <v>0.35</v>
      </c>
      <c r="H35" s="4">
        <v>1.6200000000000001E-4</v>
      </c>
      <c r="J35" t="s">
        <v>157</v>
      </c>
      <c r="K35">
        <v>1990</v>
      </c>
      <c r="M35" s="14">
        <f t="shared" si="1"/>
        <v>6.0935232619133535E-5</v>
      </c>
      <c r="N35" s="14">
        <f t="shared" si="3"/>
        <v>9.9450766277495658E-5</v>
      </c>
      <c r="O35" s="4">
        <f t="shared" si="2"/>
        <v>2.2295E-4</v>
      </c>
    </row>
    <row r="36" spans="1:15" x14ac:dyDescent="0.25">
      <c r="A36" t="s">
        <v>162</v>
      </c>
      <c r="B36" s="3" t="s">
        <v>179</v>
      </c>
      <c r="C36" t="s">
        <v>194</v>
      </c>
      <c r="D36" t="s">
        <v>145</v>
      </c>
      <c r="E36">
        <v>2</v>
      </c>
      <c r="F36">
        <v>0.19600000000000001</v>
      </c>
      <c r="G36">
        <v>0.85</v>
      </c>
      <c r="H36" s="4">
        <v>1.32E-2</v>
      </c>
      <c r="J36" t="s">
        <v>157</v>
      </c>
      <c r="K36">
        <v>1990</v>
      </c>
      <c r="M36" s="14">
        <f t="shared" si="1"/>
        <v>7.5112689286954025E-3</v>
      </c>
      <c r="N36" s="14">
        <f t="shared" si="3"/>
        <v>1.5570384454574312E-2</v>
      </c>
      <c r="O36" s="4">
        <f t="shared" si="2"/>
        <v>1.9825400000000003E-2</v>
      </c>
    </row>
    <row r="37" spans="1:15" x14ac:dyDescent="0.25">
      <c r="A37" t="s">
        <v>163</v>
      </c>
      <c r="B37" s="3" t="s">
        <v>180</v>
      </c>
      <c r="C37" t="s">
        <v>195</v>
      </c>
      <c r="D37" t="s">
        <v>152</v>
      </c>
      <c r="E37">
        <v>0.61499999999999999</v>
      </c>
      <c r="F37">
        <v>4.7399999999999998E-2</v>
      </c>
      <c r="G37">
        <v>0.51</v>
      </c>
      <c r="H37" s="4">
        <v>1.25E-3</v>
      </c>
      <c r="J37" t="s">
        <v>157</v>
      </c>
      <c r="K37">
        <v>1990</v>
      </c>
      <c r="M37" s="14">
        <f t="shared" si="1"/>
        <v>7.507145461939092E-4</v>
      </c>
      <c r="N37" s="14">
        <f t="shared" si="3"/>
        <v>1.3879756025155787E-3</v>
      </c>
      <c r="O37" s="4">
        <f t="shared" si="2"/>
        <v>1.7260236000000001E-3</v>
      </c>
    </row>
    <row r="38" spans="1:15" x14ac:dyDescent="0.25">
      <c r="A38" t="s">
        <v>164</v>
      </c>
      <c r="B38" s="3" t="s">
        <v>181</v>
      </c>
      <c r="C38" t="s">
        <v>102</v>
      </c>
      <c r="D38" t="s">
        <v>147</v>
      </c>
      <c r="E38">
        <v>9.1999999999999998E-2</v>
      </c>
      <c r="F38">
        <f>8.07*10^-3</f>
        <v>8.0700000000000008E-3</v>
      </c>
      <c r="G38">
        <v>0.2175</v>
      </c>
      <c r="H38" s="4">
        <v>2.2500000000000001E-5</v>
      </c>
      <c r="J38" t="s">
        <v>157</v>
      </c>
      <c r="K38">
        <v>1990</v>
      </c>
      <c r="M38" s="14">
        <f t="shared" si="1"/>
        <v>1.8368739566496844E-5</v>
      </c>
      <c r="N38" s="14">
        <f t="shared" si="3"/>
        <v>2.8245735697037201E-5</v>
      </c>
      <c r="O38" s="4">
        <f t="shared" si="2"/>
        <v>5.3446601250000013E-5</v>
      </c>
    </row>
    <row r="39" spans="1:15" x14ac:dyDescent="0.25">
      <c r="A39" t="s">
        <v>165</v>
      </c>
      <c r="B39" s="3" t="s">
        <v>182</v>
      </c>
      <c r="C39" t="s">
        <v>98</v>
      </c>
      <c r="D39" t="s">
        <v>152</v>
      </c>
      <c r="E39">
        <v>5.3999999999999999E-2</v>
      </c>
      <c r="F39">
        <f>2.8*10^-3</f>
        <v>2.8E-3</v>
      </c>
      <c r="G39">
        <v>0.18</v>
      </c>
      <c r="H39" s="4">
        <v>6.6599999999999998E-6</v>
      </c>
      <c r="J39" t="s">
        <v>157</v>
      </c>
      <c r="K39">
        <v>1990</v>
      </c>
      <c r="M39" s="14">
        <f t="shared" si="1"/>
        <v>6.4888351782893811E-6</v>
      </c>
      <c r="N39" s="14">
        <f t="shared" si="3"/>
        <v>9.4753454549323551E-6</v>
      </c>
      <c r="O39" s="4">
        <f>E39*(SQRT((0.14*F39/E39))*G39)^2</f>
        <v>1.27008E-5</v>
      </c>
    </row>
    <row r="40" spans="1:15" x14ac:dyDescent="0.25">
      <c r="A40" t="s">
        <v>166</v>
      </c>
      <c r="B40" s="3" t="s">
        <v>183</v>
      </c>
      <c r="C40" t="s">
        <v>193</v>
      </c>
      <c r="D40" t="s">
        <v>151</v>
      </c>
      <c r="E40">
        <v>7.0000000000000001E-3</v>
      </c>
      <c r="F40">
        <f>4.32*10^-4</f>
        <v>4.3200000000000004E-4</v>
      </c>
      <c r="G40">
        <v>9.7500000000000003E-2</v>
      </c>
      <c r="H40" s="4">
        <v>2.5699999999999999E-7</v>
      </c>
      <c r="J40" t="s">
        <v>157</v>
      </c>
      <c r="K40">
        <v>1990</v>
      </c>
      <c r="M40" s="14">
        <f t="shared" si="1"/>
        <v>1.2002679293188861E-7</v>
      </c>
      <c r="N40" s="14">
        <f t="shared" si="3"/>
        <v>1.4376025252052525E-7</v>
      </c>
      <c r="O40" s="4">
        <f t="shared" si="2"/>
        <v>5.749380000000003E-7</v>
      </c>
    </row>
    <row r="41" spans="1:15" x14ac:dyDescent="0.25">
      <c r="A41" t="s">
        <v>167</v>
      </c>
      <c r="B41" s="3" t="s">
        <v>184</v>
      </c>
      <c r="C41" t="s">
        <v>99</v>
      </c>
      <c r="D41" t="s">
        <v>146</v>
      </c>
      <c r="E41">
        <v>6.0999999999999999E-2</v>
      </c>
      <c r="F41">
        <f>4.83*10^-3</f>
        <v>4.8300000000000001E-3</v>
      </c>
      <c r="G41">
        <v>0.24</v>
      </c>
      <c r="H41" s="4">
        <v>2.4499999999999999E-5</v>
      </c>
      <c r="J41" t="s">
        <v>157</v>
      </c>
      <c r="K41">
        <v>1990</v>
      </c>
      <c r="M41" s="14">
        <f t="shared" si="1"/>
        <v>8.2328631737769025E-6</v>
      </c>
      <c r="N41" s="14">
        <f t="shared" si="3"/>
        <v>1.2165053036965361E-5</v>
      </c>
      <c r="O41" s="4">
        <f t="shared" si="2"/>
        <v>3.8949120000000011E-5</v>
      </c>
    </row>
    <row r="42" spans="1:15" x14ac:dyDescent="0.25">
      <c r="A42" t="s">
        <v>168</v>
      </c>
      <c r="B42" s="3" t="s">
        <v>185</v>
      </c>
      <c r="C42" t="s">
        <v>104</v>
      </c>
      <c r="D42" t="s">
        <v>150</v>
      </c>
      <c r="E42">
        <v>0.104</v>
      </c>
      <c r="F42">
        <v>0.01</v>
      </c>
      <c r="G42">
        <v>0.27500000000000002</v>
      </c>
      <c r="H42" s="4">
        <v>5.9599999999999997E-6</v>
      </c>
      <c r="J42" t="s">
        <v>157</v>
      </c>
      <c r="K42">
        <v>1990</v>
      </c>
      <c r="M42" s="14">
        <f t="shared" si="1"/>
        <v>2.3338226025994168E-5</v>
      </c>
      <c r="N42" s="14">
        <f t="shared" si="3"/>
        <v>3.6316684279813187E-5</v>
      </c>
      <c r="O42" s="4">
        <f t="shared" si="2"/>
        <v>1.05875E-4</v>
      </c>
    </row>
    <row r="43" spans="1:15" x14ac:dyDescent="0.25">
      <c r="A43" t="s">
        <v>169</v>
      </c>
      <c r="B43" s="3" t="s">
        <v>186</v>
      </c>
      <c r="C43" t="s">
        <v>96</v>
      </c>
      <c r="D43" t="s">
        <v>149</v>
      </c>
      <c r="E43">
        <v>0.08</v>
      </c>
      <c r="F43">
        <v>9.4999999999999998E-3</v>
      </c>
      <c r="G43">
        <v>0.29249999999999998</v>
      </c>
      <c r="H43" s="4">
        <v>5.8699999999999997E-5</v>
      </c>
      <c r="J43" t="s">
        <v>157</v>
      </c>
      <c r="K43">
        <v>1990</v>
      </c>
      <c r="M43" s="14">
        <f t="shared" si="1"/>
        <v>1.3980943303212604E-5</v>
      </c>
      <c r="N43" s="14">
        <f t="shared" si="3"/>
        <v>2.1209103832281809E-5</v>
      </c>
      <c r="O43" s="4">
        <f t="shared" si="2"/>
        <v>1.137898125E-4</v>
      </c>
    </row>
    <row r="44" spans="1:15" x14ac:dyDescent="0.25">
      <c r="A44" t="s">
        <v>170</v>
      </c>
      <c r="B44" s="3" t="s">
        <v>187</v>
      </c>
      <c r="C44" t="s">
        <v>196</v>
      </c>
      <c r="D44" t="s">
        <v>146</v>
      </c>
      <c r="E44">
        <v>0.54</v>
      </c>
      <c r="F44">
        <v>5.8100000000000001E-3</v>
      </c>
      <c r="G44">
        <v>0.49</v>
      </c>
      <c r="H44" s="4">
        <v>1.01E-3</v>
      </c>
      <c r="J44" t="s">
        <v>157</v>
      </c>
      <c r="K44">
        <v>1990</v>
      </c>
      <c r="M44" s="14">
        <f t="shared" si="1"/>
        <v>5.8232675317662912E-4</v>
      </c>
      <c r="N44" s="14">
        <f t="shared" si="3"/>
        <v>1.0631512461320338E-3</v>
      </c>
      <c r="O44" s="4">
        <f t="shared" si="2"/>
        <v>1.9529734000000003E-4</v>
      </c>
    </row>
    <row r="45" spans="1:15" x14ac:dyDescent="0.25">
      <c r="A45" t="s">
        <v>171</v>
      </c>
      <c r="B45" s="3" t="s">
        <v>188</v>
      </c>
      <c r="C45" t="s">
        <v>93</v>
      </c>
      <c r="D45" t="s">
        <v>146</v>
      </c>
      <c r="E45">
        <v>0.27</v>
      </c>
      <c r="F45">
        <v>2.3E-2</v>
      </c>
      <c r="G45">
        <v>0.45</v>
      </c>
      <c r="H45" s="4">
        <v>4.6500000000000003E-4</v>
      </c>
      <c r="J45" t="s">
        <v>157</v>
      </c>
      <c r="K45">
        <v>1990</v>
      </c>
      <c r="M45" s="14">
        <f t="shared" si="1"/>
        <v>1.5040253676004055E-4</v>
      </c>
      <c r="N45" s="14">
        <f t="shared" si="3"/>
        <v>2.5673410294516286E-4</v>
      </c>
      <c r="O45" s="4">
        <f t="shared" si="2"/>
        <v>6.5204999999999994E-4</v>
      </c>
    </row>
    <row r="46" spans="1:15" x14ac:dyDescent="0.25">
      <c r="A46" t="s">
        <v>173</v>
      </c>
      <c r="B46" s="3" t="s">
        <v>189</v>
      </c>
      <c r="C46" t="s">
        <v>93</v>
      </c>
      <c r="D46" t="s">
        <v>146</v>
      </c>
      <c r="E46">
        <v>0.34</v>
      </c>
      <c r="F46">
        <v>2.6599999999999999E-2</v>
      </c>
      <c r="G46">
        <v>0.44500000000000001</v>
      </c>
      <c r="H46" s="4">
        <v>6.0700000000000001E-4</v>
      </c>
      <c r="J46" t="s">
        <v>157</v>
      </c>
      <c r="K46">
        <v>1990</v>
      </c>
      <c r="M46" s="14">
        <f t="shared" si="1"/>
        <v>2.3592830898707437E-4</v>
      </c>
      <c r="N46" s="14">
        <f t="shared" si="3"/>
        <v>4.1183155990495279E-4</v>
      </c>
      <c r="O46" s="4">
        <f t="shared" si="2"/>
        <v>7.3744510000000002E-4</v>
      </c>
    </row>
    <row r="47" spans="1:15" x14ac:dyDescent="0.25">
      <c r="A47" t="s">
        <v>172</v>
      </c>
      <c r="B47" s="3" t="s">
        <v>190</v>
      </c>
      <c r="C47" t="s">
        <v>197</v>
      </c>
      <c r="D47" t="s">
        <v>146</v>
      </c>
      <c r="E47">
        <v>0.79</v>
      </c>
      <c r="F47">
        <v>7.4899999999999994E-2</v>
      </c>
      <c r="G47">
        <v>0.60499999999999998</v>
      </c>
      <c r="H47" s="4">
        <v>3.0300000000000001E-3</v>
      </c>
      <c r="J47" t="s">
        <v>157</v>
      </c>
      <c r="K47">
        <v>1990</v>
      </c>
      <c r="M47" s="14">
        <f t="shared" si="1"/>
        <v>1.2242424636727798E-3</v>
      </c>
      <c r="N47" s="14">
        <f t="shared" si="3"/>
        <v>2.3191208587855648E-3</v>
      </c>
      <c r="O47" s="4">
        <f t="shared" si="2"/>
        <v>3.8381381500000003E-3</v>
      </c>
    </row>
    <row r="48" spans="1:15" x14ac:dyDescent="0.25">
      <c r="A48" t="s">
        <v>77</v>
      </c>
      <c r="B48" s="3" t="s">
        <v>129</v>
      </c>
      <c r="C48" t="s">
        <v>102</v>
      </c>
      <c r="D48" t="s">
        <v>147</v>
      </c>
      <c r="E48">
        <v>0.4</v>
      </c>
      <c r="F48">
        <v>2.4299999999999999E-2</v>
      </c>
      <c r="G48">
        <v>0.32500000000000001</v>
      </c>
      <c r="H48" s="4">
        <v>1.83E-4</v>
      </c>
      <c r="J48" t="s">
        <v>246</v>
      </c>
      <c r="K48">
        <v>1968</v>
      </c>
      <c r="L48" t="s">
        <v>155</v>
      </c>
      <c r="M48" s="14">
        <f>0.00194*E48^1.953</f>
        <v>3.2405960104164936E-4</v>
      </c>
      <c r="N48" s="14">
        <f t="shared" si="3"/>
        <v>5.7465981293771838E-4</v>
      </c>
      <c r="O48" s="4">
        <f t="shared" si="2"/>
        <v>3.5933625000000001E-4</v>
      </c>
    </row>
    <row r="49" spans="1:15" x14ac:dyDescent="0.25">
      <c r="A49" t="s">
        <v>77</v>
      </c>
      <c r="B49" s="3" t="s">
        <v>129</v>
      </c>
      <c r="C49" t="s">
        <v>102</v>
      </c>
      <c r="D49" t="s">
        <v>147</v>
      </c>
      <c r="E49">
        <v>0.50739999999999996</v>
      </c>
      <c r="F49">
        <v>7.3200000000000001E-2</v>
      </c>
      <c r="H49" s="4">
        <v>3.28E-4</v>
      </c>
      <c r="J49" t="s">
        <v>199</v>
      </c>
      <c r="K49">
        <v>2009</v>
      </c>
      <c r="L49" t="s">
        <v>155</v>
      </c>
      <c r="M49" s="14">
        <f t="shared" si="1"/>
        <v>5.1564544288941136E-4</v>
      </c>
      <c r="N49" s="14">
        <f t="shared" si="3"/>
        <v>9.3574236840469232E-4</v>
      </c>
      <c r="O49" s="4">
        <f t="shared" si="2"/>
        <v>0</v>
      </c>
    </row>
    <row r="50" spans="1:15" x14ac:dyDescent="0.25">
      <c r="A50" t="s">
        <v>200</v>
      </c>
      <c r="B50" s="3" t="s">
        <v>201</v>
      </c>
      <c r="C50" t="s">
        <v>202</v>
      </c>
      <c r="D50" t="s">
        <v>149</v>
      </c>
      <c r="E50">
        <v>8.7279999999999996E-2</v>
      </c>
      <c r="F50">
        <v>8.3199999999999993E-3</v>
      </c>
      <c r="H50" s="4">
        <v>4.0200000000000001E-5</v>
      </c>
      <c r="J50" t="s">
        <v>203</v>
      </c>
      <c r="K50">
        <v>2004</v>
      </c>
      <c r="L50" t="s">
        <v>156</v>
      </c>
      <c r="M50" s="14">
        <f t="shared" si="1"/>
        <v>1.6573270259139051E-5</v>
      </c>
      <c r="N50" s="14">
        <f t="shared" si="3"/>
        <v>2.535496742770618E-5</v>
      </c>
      <c r="O50" s="4">
        <f t="shared" si="2"/>
        <v>0</v>
      </c>
    </row>
    <row r="51" spans="1:15" x14ac:dyDescent="0.25">
      <c r="A51" t="s">
        <v>206</v>
      </c>
      <c r="B51" s="3" t="s">
        <v>205</v>
      </c>
      <c r="C51" t="s">
        <v>202</v>
      </c>
      <c r="D51" t="s">
        <v>149</v>
      </c>
      <c r="E51">
        <v>0.2893</v>
      </c>
      <c r="F51">
        <f>0.0215+0.0062</f>
        <v>2.7699999999999999E-2</v>
      </c>
      <c r="G51">
        <f>0.772/2</f>
        <v>0.38600000000000001</v>
      </c>
      <c r="H51" s="4">
        <f>0.00034176</f>
        <v>3.4175999999999998E-4</v>
      </c>
      <c r="J51" t="s">
        <v>211</v>
      </c>
      <c r="K51">
        <v>2007</v>
      </c>
      <c r="M51" s="14">
        <f t="shared" si="1"/>
        <v>1.7211361278591473E-4</v>
      </c>
      <c r="N51" s="14">
        <f t="shared" si="3"/>
        <v>2.9576864649414768E-4</v>
      </c>
      <c r="O51" s="4">
        <f t="shared" si="2"/>
        <v>5.7780648800000015E-4</v>
      </c>
    </row>
    <row r="52" spans="1:15" s="10" customFormat="1" x14ac:dyDescent="0.25">
      <c r="A52" s="10" t="s">
        <v>206</v>
      </c>
      <c r="B52" s="11" t="s">
        <v>205</v>
      </c>
      <c r="C52" s="10" t="s">
        <v>202</v>
      </c>
      <c r="D52" s="10" t="s">
        <v>149</v>
      </c>
      <c r="E52" s="10">
        <v>0.2893</v>
      </c>
      <c r="F52" s="10">
        <f>0.0215+0.0062</f>
        <v>2.7699999999999999E-2</v>
      </c>
      <c r="H52" s="12">
        <f>0.000188</f>
        <v>1.8799999999999999E-4</v>
      </c>
      <c r="J52" s="10" t="s">
        <v>211</v>
      </c>
      <c r="K52" s="10">
        <v>2007</v>
      </c>
      <c r="M52" s="15"/>
      <c r="N52" s="15"/>
    </row>
    <row r="53" spans="1:15" x14ac:dyDescent="0.25">
      <c r="A53" t="s">
        <v>238</v>
      </c>
      <c r="B53" s="3" t="s">
        <v>237</v>
      </c>
      <c r="C53" t="s">
        <v>239</v>
      </c>
      <c r="D53" t="s">
        <v>240</v>
      </c>
      <c r="E53">
        <v>3.46E-3</v>
      </c>
      <c r="F53">
        <f>E53*0.0573</f>
        <v>1.9825799999999998E-4</v>
      </c>
      <c r="G53">
        <v>5.5E-2</v>
      </c>
      <c r="H53" s="4">
        <f>0.0000000178</f>
        <v>1.7800000000000001E-8</v>
      </c>
      <c r="J53" t="s">
        <v>236</v>
      </c>
      <c r="K53">
        <v>1993</v>
      </c>
      <c r="L53" t="s">
        <v>233</v>
      </c>
      <c r="M53" s="14">
        <f t="shared" ref="M53:M61" si="4">0.00194*E53^1.953</f>
        <v>3.0312192540134536E-8</v>
      </c>
      <c r="N53" s="14">
        <f t="shared" ref="N53:N62" si="5">0.00376*E53^2.05</f>
        <v>3.3907349864388953E-8</v>
      </c>
      <c r="O53" s="4">
        <f t="shared" si="2"/>
        <v>8.3962262999999996E-8</v>
      </c>
    </row>
    <row r="54" spans="1:15" x14ac:dyDescent="0.25">
      <c r="A54" t="s">
        <v>238</v>
      </c>
      <c r="B54" s="3" t="s">
        <v>237</v>
      </c>
      <c r="C54" t="s">
        <v>239</v>
      </c>
      <c r="D54" t="s">
        <v>240</v>
      </c>
      <c r="E54">
        <v>3.6600000000000001E-3</v>
      </c>
      <c r="F54">
        <f>E54*0.534</f>
        <v>1.95444E-3</v>
      </c>
      <c r="G54">
        <v>5.3999999999999999E-2</v>
      </c>
      <c r="H54" s="4">
        <v>1.8250000000000001E-8</v>
      </c>
      <c r="J54" t="s">
        <v>236</v>
      </c>
      <c r="K54">
        <v>1993</v>
      </c>
      <c r="M54" s="14">
        <f t="shared" si="4"/>
        <v>3.3828309059619949E-8</v>
      </c>
      <c r="N54" s="14">
        <f t="shared" si="5"/>
        <v>3.8047319903463628E-8</v>
      </c>
      <c r="O54" s="4">
        <f t="shared" si="2"/>
        <v>7.9788058559999992E-7</v>
      </c>
    </row>
    <row r="55" spans="1:15" x14ac:dyDescent="0.25">
      <c r="A55" t="s">
        <v>238</v>
      </c>
      <c r="B55" s="3" t="s">
        <v>237</v>
      </c>
      <c r="C55" t="s">
        <v>239</v>
      </c>
      <c r="D55" t="s">
        <v>240</v>
      </c>
      <c r="E55">
        <v>3.9300000000000003E-3</v>
      </c>
      <c r="F55">
        <f>E55*0.0569</f>
        <v>2.2361700000000001E-4</v>
      </c>
      <c r="G55">
        <v>5.5E-2</v>
      </c>
      <c r="H55" s="4">
        <v>2.4999999999999999E-8</v>
      </c>
      <c r="J55" t="s">
        <v>236</v>
      </c>
      <c r="K55">
        <v>1993</v>
      </c>
      <c r="M55" s="14">
        <f t="shared" si="4"/>
        <v>3.8873207881802865E-8</v>
      </c>
      <c r="N55" s="14">
        <f t="shared" si="5"/>
        <v>4.4024311548016494E-8</v>
      </c>
      <c r="O55" s="4">
        <f t="shared" si="2"/>
        <v>9.470179950000001E-8</v>
      </c>
    </row>
    <row r="56" spans="1:15" x14ac:dyDescent="0.25">
      <c r="A56" t="s">
        <v>238</v>
      </c>
      <c r="B56" s="3" t="s">
        <v>237</v>
      </c>
      <c r="C56" t="s">
        <v>239</v>
      </c>
      <c r="D56" t="s">
        <v>240</v>
      </c>
      <c r="E56">
        <v>4.1000000000000003E-3</v>
      </c>
      <c r="F56">
        <f>E56*0.0553</f>
        <v>2.2673000000000002E-4</v>
      </c>
      <c r="G56">
        <v>5.7000000000000002E-2</v>
      </c>
      <c r="H56" s="4">
        <v>2.955E-8</v>
      </c>
      <c r="J56" t="s">
        <v>236</v>
      </c>
      <c r="K56">
        <v>1993</v>
      </c>
      <c r="M56" s="14">
        <f t="shared" si="4"/>
        <v>4.222489731524487E-8</v>
      </c>
      <c r="N56" s="14">
        <f t="shared" si="5"/>
        <v>4.8016969974325607E-8</v>
      </c>
      <c r="O56" s="4">
        <f t="shared" si="2"/>
        <v>1.0313040779999999E-7</v>
      </c>
    </row>
    <row r="57" spans="1:15" x14ac:dyDescent="0.25">
      <c r="A57" t="s">
        <v>241</v>
      </c>
      <c r="B57" s="3" t="s">
        <v>242</v>
      </c>
      <c r="C57" t="s">
        <v>239</v>
      </c>
      <c r="D57" t="s">
        <v>240</v>
      </c>
      <c r="E57">
        <v>4.2399999999999998E-3</v>
      </c>
      <c r="F57">
        <f>E57*0.0256</f>
        <v>1.08544E-4</v>
      </c>
      <c r="G57">
        <v>4.4999999999999998E-2</v>
      </c>
      <c r="H57" s="4">
        <v>6.96E-9</v>
      </c>
      <c r="J57" t="s">
        <v>236</v>
      </c>
      <c r="K57">
        <v>1993</v>
      </c>
      <c r="M57" s="14">
        <f t="shared" si="4"/>
        <v>4.5086575255435516E-8</v>
      </c>
      <c r="N57" s="14">
        <f t="shared" si="5"/>
        <v>5.1438447331377805E-8</v>
      </c>
      <c r="O57" s="4">
        <f t="shared" si="2"/>
        <v>3.0772224000000004E-8</v>
      </c>
    </row>
    <row r="58" spans="1:15" x14ac:dyDescent="0.25">
      <c r="A58" t="s">
        <v>241</v>
      </c>
      <c r="B58" s="3" t="s">
        <v>242</v>
      </c>
      <c r="C58" t="s">
        <v>239</v>
      </c>
      <c r="D58" t="s">
        <v>240</v>
      </c>
      <c r="E58">
        <v>4.2399999999999998E-3</v>
      </c>
      <c r="F58">
        <f>E58*0.034</f>
        <v>1.4416E-4</v>
      </c>
      <c r="G58">
        <v>4.8000000000000001E-2</v>
      </c>
      <c r="H58" s="4">
        <v>1.05E-8</v>
      </c>
      <c r="J58" t="s">
        <v>236</v>
      </c>
      <c r="K58">
        <v>1993</v>
      </c>
      <c r="M58" s="14">
        <f t="shared" si="4"/>
        <v>4.5086575255435516E-8</v>
      </c>
      <c r="N58" s="14">
        <f t="shared" si="5"/>
        <v>5.1438447331377805E-8</v>
      </c>
      <c r="O58" s="4">
        <f t="shared" si="2"/>
        <v>4.6500249600000013E-8</v>
      </c>
    </row>
    <row r="59" spans="1:15" x14ac:dyDescent="0.25">
      <c r="A59" t="s">
        <v>241</v>
      </c>
      <c r="B59" s="3" t="s">
        <v>242</v>
      </c>
      <c r="C59" t="s">
        <v>239</v>
      </c>
      <c r="D59" t="s">
        <v>240</v>
      </c>
      <c r="E59">
        <v>4.1000000000000003E-3</v>
      </c>
      <c r="F59">
        <f>E59*0.0463</f>
        <v>1.8983000000000002E-4</v>
      </c>
      <c r="G59">
        <v>5.0999999999999997E-2</v>
      </c>
      <c r="H59" s="4">
        <v>1.51E-8</v>
      </c>
      <c r="J59" t="s">
        <v>236</v>
      </c>
      <c r="K59">
        <v>1993</v>
      </c>
      <c r="M59" s="14">
        <f t="shared" si="4"/>
        <v>4.222489731524487E-8</v>
      </c>
      <c r="N59" s="14">
        <f t="shared" si="5"/>
        <v>4.8016969974325607E-8</v>
      </c>
      <c r="O59" s="4">
        <f t="shared" si="2"/>
        <v>6.9124696200000018E-8</v>
      </c>
    </row>
    <row r="60" spans="1:15" x14ac:dyDescent="0.25">
      <c r="A60" t="s">
        <v>241</v>
      </c>
      <c r="B60" s="3" t="s">
        <v>242</v>
      </c>
      <c r="C60" t="s">
        <v>239</v>
      </c>
      <c r="D60" t="s">
        <v>240</v>
      </c>
      <c r="E60">
        <v>4.5399999999999998E-3</v>
      </c>
      <c r="F60">
        <f>E60*0.0397</f>
        <v>1.8023799999999999E-4</v>
      </c>
      <c r="G60">
        <v>5.1999999999999998E-2</v>
      </c>
      <c r="H60" s="4">
        <v>1.3799999999999999E-8</v>
      </c>
      <c r="J60" t="s">
        <v>236</v>
      </c>
      <c r="K60">
        <v>1993</v>
      </c>
      <c r="M60" s="14">
        <f t="shared" si="4"/>
        <v>5.1526638466994998E-8</v>
      </c>
      <c r="N60" s="14">
        <f t="shared" si="5"/>
        <v>5.9176918056265634E-8</v>
      </c>
      <c r="O60" s="4">
        <f t="shared" si="2"/>
        <v>6.8230897279999983E-8</v>
      </c>
    </row>
    <row r="61" spans="1:15" x14ac:dyDescent="0.25">
      <c r="A61" t="s">
        <v>255</v>
      </c>
      <c r="B61" s="3" t="s">
        <v>256</v>
      </c>
      <c r="C61" t="s">
        <v>100</v>
      </c>
      <c r="D61" t="s">
        <v>146</v>
      </c>
      <c r="E61">
        <v>0.35149999999999998</v>
      </c>
      <c r="F61">
        <v>3.2000000000000001E-2</v>
      </c>
      <c r="G61">
        <v>0.48</v>
      </c>
      <c r="H61" s="4">
        <v>7.4089000000000002E-4</v>
      </c>
      <c r="J61" t="s">
        <v>253</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198</v>
      </c>
      <c r="B1" s="6" t="s">
        <v>191</v>
      </c>
      <c r="C1" s="6" t="s">
        <v>208</v>
      </c>
      <c r="D1" s="6" t="s">
        <v>209</v>
      </c>
    </row>
    <row r="2" spans="1:5" x14ac:dyDescent="0.25">
      <c r="A2" t="s">
        <v>228</v>
      </c>
      <c r="B2" t="s">
        <v>229</v>
      </c>
      <c r="C2" t="s">
        <v>227</v>
      </c>
      <c r="D2" s="7" t="s">
        <v>204</v>
      </c>
      <c r="E2" s="7" t="s">
        <v>226</v>
      </c>
    </row>
    <row r="3" spans="1:5" ht="45" x14ac:dyDescent="0.25">
      <c r="A3" t="s">
        <v>213</v>
      </c>
      <c r="B3">
        <v>2007</v>
      </c>
      <c r="C3" s="2" t="s">
        <v>210</v>
      </c>
      <c r="D3" s="7" t="s">
        <v>207</v>
      </c>
    </row>
    <row r="4" spans="1:5" x14ac:dyDescent="0.25">
      <c r="A4" t="s">
        <v>213</v>
      </c>
      <c r="B4">
        <v>2007</v>
      </c>
      <c r="C4" t="s">
        <v>214</v>
      </c>
      <c r="D4" s="7" t="s">
        <v>212</v>
      </c>
    </row>
    <row r="5" spans="1:5" x14ac:dyDescent="0.25">
      <c r="A5" t="s">
        <v>203</v>
      </c>
      <c r="B5">
        <v>2009</v>
      </c>
      <c r="C5" t="s">
        <v>216</v>
      </c>
      <c r="D5" s="7" t="s">
        <v>215</v>
      </c>
    </row>
    <row r="6" spans="1:5" x14ac:dyDescent="0.25">
      <c r="C6" t="s">
        <v>218</v>
      </c>
      <c r="D6" s="7" t="s">
        <v>217</v>
      </c>
    </row>
    <row r="7" spans="1:5" x14ac:dyDescent="0.25">
      <c r="C7" t="s">
        <v>219</v>
      </c>
      <c r="D7" s="7" t="s">
        <v>217</v>
      </c>
    </row>
    <row r="8" spans="1:5" x14ac:dyDescent="0.25">
      <c r="A8" t="s">
        <v>222</v>
      </c>
      <c r="B8">
        <v>2015</v>
      </c>
      <c r="C8" t="s">
        <v>223</v>
      </c>
      <c r="D8" s="7" t="s">
        <v>221</v>
      </c>
    </row>
    <row r="9" spans="1:5" x14ac:dyDescent="0.25">
      <c r="A9" t="s">
        <v>225</v>
      </c>
      <c r="B9">
        <v>2010</v>
      </c>
      <c r="C9" t="s">
        <v>224</v>
      </c>
      <c r="D9" s="7" t="s">
        <v>220</v>
      </c>
    </row>
    <row r="10" spans="1:5" x14ac:dyDescent="0.25">
      <c r="A10" t="s">
        <v>247</v>
      </c>
      <c r="B10">
        <v>2005</v>
      </c>
      <c r="C10" t="s">
        <v>248</v>
      </c>
      <c r="D10" s="7" t="s">
        <v>230</v>
      </c>
    </row>
    <row r="11" spans="1:5" x14ac:dyDescent="0.25">
      <c r="A11" t="s">
        <v>250</v>
      </c>
      <c r="C11" t="s">
        <v>251</v>
      </c>
      <c r="D11" s="7" t="s">
        <v>252</v>
      </c>
    </row>
    <row r="12" spans="1:5" x14ac:dyDescent="0.25">
      <c r="A12" t="s">
        <v>253</v>
      </c>
      <c r="C12" t="s">
        <v>254</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198</v>
      </c>
      <c r="B1" s="6" t="s">
        <v>191</v>
      </c>
      <c r="C1" s="6" t="s">
        <v>208</v>
      </c>
      <c r="D1" s="6" t="s">
        <v>209</v>
      </c>
    </row>
    <row r="2" spans="1:4" x14ac:dyDescent="0.25">
      <c r="A2" t="s">
        <v>232</v>
      </c>
      <c r="B2">
        <v>2008</v>
      </c>
      <c r="C2" t="s">
        <v>231</v>
      </c>
      <c r="D2" s="7" t="s">
        <v>230</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277</v>
      </c>
      <c r="B1" t="s">
        <v>276</v>
      </c>
      <c r="C1" t="s">
        <v>278</v>
      </c>
      <c r="D1" t="s">
        <v>279</v>
      </c>
    </row>
    <row r="2" spans="1:4" x14ac:dyDescent="0.25">
      <c r="A2" t="s">
        <v>257</v>
      </c>
      <c r="B2">
        <v>1100</v>
      </c>
      <c r="C2" t="s">
        <v>272</v>
      </c>
      <c r="D2">
        <v>1998</v>
      </c>
    </row>
    <row r="3" spans="1:4" x14ac:dyDescent="0.25">
      <c r="A3" t="s">
        <v>34</v>
      </c>
      <c r="B3">
        <v>2060</v>
      </c>
      <c r="C3" t="s">
        <v>273</v>
      </c>
      <c r="D3">
        <v>2010</v>
      </c>
    </row>
    <row r="4" spans="1:4" x14ac:dyDescent="0.25">
      <c r="A4" t="s">
        <v>258</v>
      </c>
      <c r="B4">
        <v>1060</v>
      </c>
      <c r="C4" t="s">
        <v>259</v>
      </c>
      <c r="D4">
        <v>2015</v>
      </c>
    </row>
    <row r="5" spans="1:4" x14ac:dyDescent="0.25">
      <c r="A5" t="s">
        <v>274</v>
      </c>
      <c r="B5">
        <v>660</v>
      </c>
    </row>
    <row r="6" spans="1:4" x14ac:dyDescent="0.25">
      <c r="A6" t="s">
        <v>275</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workbookViewId="0">
      <pane xSplit="1" ySplit="1" topLeftCell="I2" activePane="bottomRight" state="frozen"/>
      <selection pane="topRight" activeCell="B1" sqref="B1"/>
      <selection pane="bottomLeft" activeCell="A2" sqref="A2"/>
      <selection pane="bottomRight"/>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52</v>
      </c>
      <c r="B1" s="6" t="s">
        <v>280</v>
      </c>
      <c r="C1" s="6" t="s">
        <v>281</v>
      </c>
      <c r="D1" s="6" t="s">
        <v>282</v>
      </c>
      <c r="E1" s="6" t="s">
        <v>283</v>
      </c>
      <c r="F1" s="6" t="s">
        <v>284</v>
      </c>
      <c r="G1" s="6" t="s">
        <v>285</v>
      </c>
      <c r="H1" s="6" t="s">
        <v>286</v>
      </c>
      <c r="I1" s="6" t="s">
        <v>287</v>
      </c>
      <c r="J1" s="6" t="s">
        <v>288</v>
      </c>
      <c r="K1" s="6" t="s">
        <v>289</v>
      </c>
      <c r="L1" s="6" t="s">
        <v>290</v>
      </c>
      <c r="M1" s="6" t="s">
        <v>267</v>
      </c>
      <c r="N1" s="6" t="s">
        <v>268</v>
      </c>
      <c r="O1" s="6" t="s">
        <v>269</v>
      </c>
      <c r="P1" s="6" t="s">
        <v>271</v>
      </c>
      <c r="Q1" s="6" t="s">
        <v>270</v>
      </c>
      <c r="R1" s="17" t="s">
        <v>262</v>
      </c>
      <c r="S1" s="17" t="s">
        <v>263</v>
      </c>
      <c r="T1" s="17" t="s">
        <v>264</v>
      </c>
      <c r="U1" s="17" t="s">
        <v>265</v>
      </c>
      <c r="V1" s="17" t="s">
        <v>266</v>
      </c>
      <c r="W1" s="6" t="s">
        <v>48</v>
      </c>
    </row>
    <row r="2" spans="1:23" x14ac:dyDescent="0.25">
      <c r="A2" t="s">
        <v>1</v>
      </c>
      <c r="B2">
        <f>2*0.453592</f>
        <v>0.90718399999999999</v>
      </c>
      <c r="C2">
        <v>8.3599999999999994E-2</v>
      </c>
      <c r="D2">
        <f>(53/2)*10^-6</f>
        <v>2.65E-5</v>
      </c>
      <c r="E2">
        <f>D2*(6.7-1)</f>
        <v>1.5105000000000001E-4</v>
      </c>
      <c r="I2">
        <f>(49.33*10^-3-(SUM(Feathers!J2:J32))/1000)/2</f>
        <v>1.8748149999999998E-2</v>
      </c>
      <c r="J2">
        <f>(49.33*10^-3-(SUM(Feathers!J2:J32))/1000)/2</f>
        <v>1.8748149999999998E-2</v>
      </c>
      <c r="W2" t="s">
        <v>49</v>
      </c>
    </row>
    <row r="3" spans="1:23" ht="30" x14ac:dyDescent="0.25">
      <c r="A3" t="s">
        <v>45</v>
      </c>
      <c r="B3">
        <v>1.0649999999999999</v>
      </c>
      <c r="D3">
        <f>19.5*10^-6</f>
        <v>1.95E-5</v>
      </c>
      <c r="E3">
        <f>D3*(12.8-1)</f>
        <v>2.3010000000000001E-4</v>
      </c>
      <c r="W3" s="2" t="s">
        <v>51</v>
      </c>
    </row>
    <row r="4" spans="1:23" x14ac:dyDescent="0.25">
      <c r="A4" t="s">
        <v>44</v>
      </c>
      <c r="B4">
        <v>3.96</v>
      </c>
    </row>
    <row r="5" spans="1:23" x14ac:dyDescent="0.25">
      <c r="A5" t="s">
        <v>46</v>
      </c>
      <c r="B5">
        <v>8.1500000000000003E-2</v>
      </c>
      <c r="D5">
        <f>27*10^-6</f>
        <v>2.6999999999999999E-5</v>
      </c>
      <c r="E5">
        <f>D5*(7.8-1)</f>
        <v>1.8359999999999999E-4</v>
      </c>
      <c r="W5" t="s">
        <v>50</v>
      </c>
    </row>
    <row r="6" spans="1:23" x14ac:dyDescent="0.25">
      <c r="A6" t="s">
        <v>56</v>
      </c>
    </row>
    <row r="7" spans="1:23" x14ac:dyDescent="0.25">
      <c r="A7" t="s">
        <v>245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32"/>
  <sheetViews>
    <sheetView workbookViewId="0">
      <selection activeCell="F3" sqref="F3"/>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11.42578125" bestFit="1" customWidth="1"/>
  </cols>
  <sheetData>
    <row r="1" spans="1:10" x14ac:dyDescent="0.25">
      <c r="A1" t="s">
        <v>52</v>
      </c>
      <c r="B1" t="s">
        <v>2</v>
      </c>
      <c r="C1" t="s">
        <v>291</v>
      </c>
      <c r="D1" t="s">
        <v>292</v>
      </c>
      <c r="E1" t="s">
        <v>3</v>
      </c>
      <c r="F1" t="s">
        <v>293</v>
      </c>
      <c r="G1" t="s">
        <v>294</v>
      </c>
      <c r="H1" t="s">
        <v>295</v>
      </c>
      <c r="I1" t="s">
        <v>296</v>
      </c>
      <c r="J1" t="s">
        <v>297</v>
      </c>
    </row>
    <row r="2" spans="1:10" x14ac:dyDescent="0.25">
      <c r="A2" t="s">
        <v>1</v>
      </c>
      <c r="B2" t="s">
        <v>4</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5</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6</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7</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8</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9</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10</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11</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12</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13</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14</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15</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16</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17</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18</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19</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20</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21</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22</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23</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24</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25</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26</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27</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28</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29</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30</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31</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32</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33</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47</v>
      </c>
      <c r="C32" s="1">
        <v>0</v>
      </c>
      <c r="D32" s="1">
        <v>0</v>
      </c>
      <c r="E32" s="1">
        <v>0</v>
      </c>
      <c r="F32" s="1">
        <v>0</v>
      </c>
      <c r="G32" s="1">
        <v>0</v>
      </c>
      <c r="H32" s="1">
        <v>0</v>
      </c>
      <c r="I32" s="1">
        <v>0</v>
      </c>
      <c r="J32">
        <v>6.225E-2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19"/>
  <sheetViews>
    <sheetView tabSelected="1" workbookViewId="0">
      <selection activeCell="E4" sqref="E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52</v>
      </c>
      <c r="B1" t="s">
        <v>302</v>
      </c>
      <c r="C1" t="s">
        <v>298</v>
      </c>
      <c r="D1" t="s">
        <v>299</v>
      </c>
      <c r="E1" t="s">
        <v>300</v>
      </c>
      <c r="F1" t="s">
        <v>301</v>
      </c>
      <c r="G1" t="s">
        <v>48</v>
      </c>
      <c r="H1" t="s">
        <v>260</v>
      </c>
      <c r="I1" t="s">
        <v>261</v>
      </c>
    </row>
    <row r="2" spans="1:9" x14ac:dyDescent="0.25">
      <c r="A2" t="s">
        <v>1</v>
      </c>
      <c r="B2" t="s">
        <v>36</v>
      </c>
      <c r="C2">
        <v>7.8399999999999997E-3</v>
      </c>
      <c r="D2">
        <v>0.125</v>
      </c>
      <c r="E2">
        <v>3.65E-3</v>
      </c>
      <c r="F2">
        <v>2.4459999999999998E-3</v>
      </c>
    </row>
    <row r="3" spans="1:9" x14ac:dyDescent="0.25">
      <c r="A3" t="s">
        <v>1</v>
      </c>
      <c r="B3" t="s">
        <v>37</v>
      </c>
      <c r="C3">
        <v>5.9100000000000003E-3</v>
      </c>
      <c r="D3">
        <v>0.13800000000000001</v>
      </c>
      <c r="E3">
        <v>3.3E-3</v>
      </c>
      <c r="F3">
        <v>2.5249999999999999E-3</v>
      </c>
    </row>
    <row r="4" spans="1:9" x14ac:dyDescent="0.25">
      <c r="A4" t="s">
        <v>1</v>
      </c>
      <c r="B4" t="s">
        <v>35</v>
      </c>
      <c r="C4">
        <v>1.8699999999999999E-3</v>
      </c>
      <c r="D4">
        <v>0.13700000000000001</v>
      </c>
      <c r="E4">
        <v>1.65E-3</v>
      </c>
      <c r="F4">
        <v>9.8799999999999995E-4</v>
      </c>
    </row>
    <row r="5" spans="1:9" x14ac:dyDescent="0.25">
      <c r="A5" t="s">
        <v>1</v>
      </c>
      <c r="B5" t="s">
        <v>38</v>
      </c>
      <c r="C5">
        <v>2.4299999999999999E-3</v>
      </c>
      <c r="D5">
        <v>7.3999999999999996E-2</v>
      </c>
      <c r="E5">
        <v>2.5000000000000001E-3</v>
      </c>
      <c r="F5">
        <v>1.758E-3</v>
      </c>
    </row>
    <row r="6" spans="1:9" x14ac:dyDescent="0.25">
      <c r="A6" t="s">
        <v>1</v>
      </c>
      <c r="B6" t="s">
        <v>39</v>
      </c>
      <c r="C6">
        <v>2.6200000000000003E-4</v>
      </c>
      <c r="D6">
        <v>1.2E-2</v>
      </c>
      <c r="E6">
        <v>0</v>
      </c>
      <c r="F6">
        <v>0</v>
      </c>
    </row>
    <row r="7" spans="1:9" x14ac:dyDescent="0.25">
      <c r="A7" t="s">
        <v>1</v>
      </c>
      <c r="B7" t="s">
        <v>40</v>
      </c>
      <c r="C7">
        <v>1.7100000000000001E-4</v>
      </c>
      <c r="D7">
        <v>8.0000000000000002E-3</v>
      </c>
      <c r="E7">
        <v>0</v>
      </c>
      <c r="F7">
        <v>0</v>
      </c>
    </row>
    <row r="8" spans="1:9" x14ac:dyDescent="0.25">
      <c r="A8" t="s">
        <v>1</v>
      </c>
      <c r="B8" t="s">
        <v>41</v>
      </c>
      <c r="C8">
        <v>0</v>
      </c>
      <c r="D8">
        <v>0</v>
      </c>
      <c r="E8">
        <v>0</v>
      </c>
      <c r="F8">
        <v>0</v>
      </c>
    </row>
    <row r="9" spans="1:9" x14ac:dyDescent="0.25">
      <c r="A9" t="s">
        <v>1</v>
      </c>
      <c r="B9" t="s">
        <v>42</v>
      </c>
      <c r="C9">
        <v>0</v>
      </c>
      <c r="D9">
        <v>0</v>
      </c>
      <c r="E9">
        <v>0</v>
      </c>
      <c r="F9">
        <v>0</v>
      </c>
    </row>
    <row r="10" spans="1:9" x14ac:dyDescent="0.25">
      <c r="A10" t="s">
        <v>1</v>
      </c>
      <c r="B10" t="s">
        <v>43</v>
      </c>
      <c r="C10">
        <v>0</v>
      </c>
      <c r="D10">
        <v>0</v>
      </c>
      <c r="E10">
        <v>0</v>
      </c>
      <c r="F10">
        <v>0</v>
      </c>
    </row>
    <row r="11" spans="1:9" x14ac:dyDescent="0.25">
      <c r="A11" t="s">
        <v>45</v>
      </c>
      <c r="B11" t="s">
        <v>36</v>
      </c>
      <c r="D11">
        <v>0.10349999999999999</v>
      </c>
    </row>
    <row r="12" spans="1:9" x14ac:dyDescent="0.25">
      <c r="A12" t="s">
        <v>45</v>
      </c>
      <c r="B12" t="s">
        <v>37</v>
      </c>
      <c r="D12">
        <v>0.13669999999999999</v>
      </c>
    </row>
    <row r="13" spans="1:9" x14ac:dyDescent="0.25">
      <c r="A13" t="s">
        <v>45</v>
      </c>
      <c r="B13" t="s">
        <v>35</v>
      </c>
      <c r="D13">
        <v>0.13669999999999999</v>
      </c>
    </row>
    <row r="14" spans="1:9" x14ac:dyDescent="0.25">
      <c r="A14" t="s">
        <v>45</v>
      </c>
      <c r="B14" t="s">
        <v>38</v>
      </c>
      <c r="D14">
        <v>6.1269999999999998E-2</v>
      </c>
    </row>
    <row r="15" spans="1:9" x14ac:dyDescent="0.25">
      <c r="A15" t="s">
        <v>45</v>
      </c>
      <c r="B15" t="s">
        <v>39</v>
      </c>
    </row>
    <row r="16" spans="1:9" x14ac:dyDescent="0.25">
      <c r="A16" t="s">
        <v>45</v>
      </c>
      <c r="B16" t="s">
        <v>40</v>
      </c>
    </row>
    <row r="17" spans="1:2" x14ac:dyDescent="0.25">
      <c r="A17" t="s">
        <v>45</v>
      </c>
      <c r="B17" t="s">
        <v>41</v>
      </c>
    </row>
    <row r="18" spans="1:2" x14ac:dyDescent="0.25">
      <c r="A18" t="s">
        <v>45</v>
      </c>
      <c r="B18" t="s">
        <v>42</v>
      </c>
    </row>
    <row r="19" spans="1:2" x14ac:dyDescent="0.25">
      <c r="A19" t="s">
        <v>45</v>
      </c>
      <c r="B1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2020-08-05T16:05:55Z</dcterms:modified>
</cp:coreProperties>
</file>