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" yWindow="-132" windowWidth="14532" windowHeight="11760" tabRatio="772"/>
  </bookViews>
  <sheets>
    <sheet name="Take Home Exam Fall2015" sheetId="180" r:id="rId1"/>
    <sheet name="Take Home Solution Fall2015" sheetId="178" r:id="rId2"/>
    <sheet name="Class Room Exam Fall2015" sheetId="182" r:id="rId3"/>
    <sheet name="Class Room Solution Fall2015" sheetId="181" r:id="rId4"/>
  </sheets>
  <definedNames>
    <definedName name="_xlnm.Print_Area" localSheetId="2">'Class Room Exam Fall2015'!$A$1:$H$182</definedName>
    <definedName name="_xlnm.Print_Area" localSheetId="3">'Class Room Solution Fall2015'!$A$1:$H$182</definedName>
    <definedName name="_xlnm.Print_Area" localSheetId="0">'Take Home Exam Fall2015'!$A$1:$H$152</definedName>
    <definedName name="_xlnm.Print_Area" localSheetId="1">'Take Home Solution Fall2015'!$A$1:$H$152</definedName>
  </definedNames>
  <calcPr calcId="125725"/>
</workbook>
</file>

<file path=xl/calcChain.xml><?xml version="1.0" encoding="utf-8"?>
<calcChain xmlns="http://schemas.openxmlformats.org/spreadsheetml/2006/main">
  <c r="F28" i="181"/>
  <c r="F27"/>
  <c r="Q119" i="178"/>
  <c r="P25"/>
  <c r="P24"/>
  <c r="O43"/>
  <c r="M182" i="182"/>
  <c r="K181"/>
  <c r="K182" s="1"/>
  <c r="L182" s="1"/>
  <c r="L183" s="1"/>
  <c r="K174"/>
  <c r="L172"/>
  <c r="L174" s="1"/>
  <c r="M174" s="1"/>
  <c r="L166"/>
  <c r="L165"/>
  <c r="M164"/>
  <c r="M163"/>
  <c r="M162"/>
  <c r="M165" s="1"/>
  <c r="M166" s="1"/>
  <c r="M105"/>
  <c r="L105"/>
  <c r="M97"/>
  <c r="M81"/>
  <c r="M83" s="1"/>
  <c r="L69"/>
  <c r="E69"/>
  <c r="L66" s="1"/>
  <c r="L68" s="1"/>
  <c r="L70" s="1"/>
  <c r="L67"/>
  <c r="E67"/>
  <c r="L54"/>
  <c r="E54"/>
  <c r="L51" s="1"/>
  <c r="L53" s="1"/>
  <c r="L55" s="1"/>
  <c r="L52"/>
  <c r="E52"/>
  <c r="L27"/>
  <c r="L29" s="1"/>
  <c r="L21"/>
  <c r="K181" i="181"/>
  <c r="K182" s="1"/>
  <c r="M182"/>
  <c r="M85" i="182" l="1"/>
  <c r="M172"/>
  <c r="L182" i="181"/>
  <c r="L183" s="1"/>
  <c r="D181" s="1"/>
  <c r="E52"/>
  <c r="L52" s="1"/>
  <c r="L165"/>
  <c r="L166" s="1"/>
  <c r="E163" s="1"/>
  <c r="M164"/>
  <c r="M163"/>
  <c r="M162"/>
  <c r="M97"/>
  <c r="L105" s="1"/>
  <c r="M105" s="1"/>
  <c r="E106" s="1"/>
  <c r="M81"/>
  <c r="M83" s="1"/>
  <c r="L69"/>
  <c r="E69"/>
  <c r="L66" s="1"/>
  <c r="E67"/>
  <c r="L67" s="1"/>
  <c r="L54"/>
  <c r="E54"/>
  <c r="L51"/>
  <c r="L29"/>
  <c r="F29" s="1"/>
  <c r="L21"/>
  <c r="F21" s="1"/>
  <c r="F20"/>
  <c r="F19"/>
  <c r="J154" i="180"/>
  <c r="P142"/>
  <c r="P141"/>
  <c r="AL120"/>
  <c r="AK120"/>
  <c r="AK119"/>
  <c r="AL119" s="1"/>
  <c r="S119"/>
  <c r="O128" s="1"/>
  <c r="Q119"/>
  <c r="Q120" s="1"/>
  <c r="AO118"/>
  <c r="AE118"/>
  <c r="AF123" s="1"/>
  <c r="AO117"/>
  <c r="AO116"/>
  <c r="AO120" s="1"/>
  <c r="V105"/>
  <c r="V104"/>
  <c r="W104" s="1"/>
  <c r="V103"/>
  <c r="W103" s="1"/>
  <c r="W100"/>
  <c r="W105" s="1"/>
  <c r="V93"/>
  <c r="W93" s="1"/>
  <c r="S93"/>
  <c r="O105" s="1"/>
  <c r="V92"/>
  <c r="W92" s="1"/>
  <c r="V91"/>
  <c r="W91" s="1"/>
  <c r="W88"/>
  <c r="O75"/>
  <c r="Q75" s="1"/>
  <c r="X74"/>
  <c r="O74"/>
  <c r="Q74" s="1"/>
  <c r="E73"/>
  <c r="E74" s="1"/>
  <c r="E75" s="1"/>
  <c r="E76" s="1"/>
  <c r="E77" s="1"/>
  <c r="E78" s="1"/>
  <c r="E79" s="1"/>
  <c r="E80" s="1"/>
  <c r="E81" s="1"/>
  <c r="E72"/>
  <c r="S67"/>
  <c r="S66"/>
  <c r="X65"/>
  <c r="S65"/>
  <c r="S69" s="1"/>
  <c r="X64"/>
  <c r="W64"/>
  <c r="W65" s="1"/>
  <c r="W66" s="1"/>
  <c r="W67" s="1"/>
  <c r="W68" s="1"/>
  <c r="W69" s="1"/>
  <c r="W70" s="1"/>
  <c r="W71" s="1"/>
  <c r="W72" s="1"/>
  <c r="W73" s="1"/>
  <c r="W74" s="1"/>
  <c r="X63"/>
  <c r="O52"/>
  <c r="P52" s="1"/>
  <c r="S49"/>
  <c r="S48"/>
  <c r="AE47"/>
  <c r="AE52" s="1"/>
  <c r="W47"/>
  <c r="AA47" s="1"/>
  <c r="S47"/>
  <c r="S51" s="1"/>
  <c r="AE45"/>
  <c r="AI48" s="1"/>
  <c r="W45"/>
  <c r="AA48" s="1"/>
  <c r="P44"/>
  <c r="O44"/>
  <c r="S41"/>
  <c r="S40"/>
  <c r="S39"/>
  <c r="S43" s="1"/>
  <c r="O34"/>
  <c r="P34" s="1"/>
  <c r="O33"/>
  <c r="P33" s="1"/>
  <c r="S32"/>
  <c r="S31"/>
  <c r="S30"/>
  <c r="S34" s="1"/>
  <c r="P24"/>
  <c r="P22"/>
  <c r="O18"/>
  <c r="P23" s="1"/>
  <c r="P142" i="178"/>
  <c r="P141"/>
  <c r="E139" s="1"/>
  <c r="AE47"/>
  <c r="AE45"/>
  <c r="W47"/>
  <c r="W45"/>
  <c r="J154"/>
  <c r="AK120"/>
  <c r="AL120" s="1"/>
  <c r="AL119"/>
  <c r="AK119"/>
  <c r="S119"/>
  <c r="AO118"/>
  <c r="AE118"/>
  <c r="AF123" s="1"/>
  <c r="AO117"/>
  <c r="AO116"/>
  <c r="V105"/>
  <c r="V104"/>
  <c r="V103"/>
  <c r="W100"/>
  <c r="V93"/>
  <c r="S93"/>
  <c r="O105" s="1"/>
  <c r="V92"/>
  <c r="V91"/>
  <c r="W88"/>
  <c r="O75"/>
  <c r="Q75" s="1"/>
  <c r="X74"/>
  <c r="O74"/>
  <c r="Q74" s="1"/>
  <c r="E72"/>
  <c r="E73"/>
  <c r="E74" s="1"/>
  <c r="E75" s="1"/>
  <c r="E76" s="1"/>
  <c r="E77" s="1"/>
  <c r="E78" s="1"/>
  <c r="E79" s="1"/>
  <c r="E80" s="1"/>
  <c r="E81" s="1"/>
  <c r="S67"/>
  <c r="S66"/>
  <c r="S65"/>
  <c r="S69" s="1"/>
  <c r="E65" s="1"/>
  <c r="X64"/>
  <c r="F72" s="1"/>
  <c r="W64"/>
  <c r="W65"/>
  <c r="W66" s="1"/>
  <c r="W67" s="1"/>
  <c r="W68" s="1"/>
  <c r="W69" s="1"/>
  <c r="W70" s="1"/>
  <c r="W71" s="1"/>
  <c r="W72" s="1"/>
  <c r="W73" s="1"/>
  <c r="W74" s="1"/>
  <c r="X63"/>
  <c r="F71" s="1"/>
  <c r="F82" s="1"/>
  <c r="AE52"/>
  <c r="F58" s="1"/>
  <c r="W52"/>
  <c r="X52" s="1"/>
  <c r="O52"/>
  <c r="F48" s="1"/>
  <c r="S49"/>
  <c r="AI48"/>
  <c r="AA48"/>
  <c r="S48"/>
  <c r="AI47"/>
  <c r="AA47"/>
  <c r="S47"/>
  <c r="O44"/>
  <c r="E40" s="1"/>
  <c r="S41"/>
  <c r="S40"/>
  <c r="S39"/>
  <c r="S43" s="1"/>
  <c r="O34"/>
  <c r="E33" s="1"/>
  <c r="O33"/>
  <c r="P33" s="1"/>
  <c r="S32"/>
  <c r="S31"/>
  <c r="S30"/>
  <c r="O18"/>
  <c r="E23" s="1"/>
  <c r="W103"/>
  <c r="W104"/>
  <c r="W105"/>
  <c r="Y63"/>
  <c r="E117"/>
  <c r="O126"/>
  <c r="O128"/>
  <c r="E123" l="1"/>
  <c r="Q128"/>
  <c r="M85" i="181"/>
  <c r="E84" s="1"/>
  <c r="E82"/>
  <c r="M165"/>
  <c r="M166" s="1"/>
  <c r="E98"/>
  <c r="L68"/>
  <c r="L70" s="1"/>
  <c r="E71" s="1"/>
  <c r="L53"/>
  <c r="L55" s="1"/>
  <c r="E56" s="1"/>
  <c r="L172"/>
  <c r="L174" s="1"/>
  <c r="K174"/>
  <c r="V63" i="180"/>
  <c r="Y79" s="1"/>
  <c r="Y74"/>
  <c r="Y64"/>
  <c r="W106"/>
  <c r="X103" s="1"/>
  <c r="X104"/>
  <c r="Y104" s="1"/>
  <c r="AA51"/>
  <c r="W94"/>
  <c r="X92" s="1"/>
  <c r="Y92" s="1"/>
  <c r="X91"/>
  <c r="X105"/>
  <c r="Y105" s="1"/>
  <c r="AF52"/>
  <c r="AI47"/>
  <c r="AI51" s="1"/>
  <c r="O104"/>
  <c r="O127"/>
  <c r="Q134" s="1"/>
  <c r="W52"/>
  <c r="Y63"/>
  <c r="Y65"/>
  <c r="O103"/>
  <c r="Q105" s="1"/>
  <c r="O126"/>
  <c r="O134"/>
  <c r="X66"/>
  <c r="O102"/>
  <c r="Q120" i="178"/>
  <c r="S34"/>
  <c r="W91"/>
  <c r="O104"/>
  <c r="E106" s="1"/>
  <c r="O103"/>
  <c r="Q105" s="1"/>
  <c r="O102"/>
  <c r="Q104" s="1"/>
  <c r="X65"/>
  <c r="AO120"/>
  <c r="AA51"/>
  <c r="AI51"/>
  <c r="W93"/>
  <c r="W92"/>
  <c r="W94" s="1"/>
  <c r="X91" s="1"/>
  <c r="W106"/>
  <c r="G71"/>
  <c r="G82" s="1"/>
  <c r="Y65"/>
  <c r="G73" s="1"/>
  <c r="Y64"/>
  <c r="V63"/>
  <c r="Y79" s="1"/>
  <c r="Y74"/>
  <c r="AF52"/>
  <c r="F53"/>
  <c r="S51"/>
  <c r="P52"/>
  <c r="P44"/>
  <c r="E30"/>
  <c r="P34"/>
  <c r="P23"/>
  <c r="E21" s="1"/>
  <c r="P22"/>
  <c r="E19" s="1"/>
  <c r="M174" i="181" l="1"/>
  <c r="F172" s="1"/>
  <c r="M172"/>
  <c r="D172" s="1"/>
  <c r="X106" i="180"/>
  <c r="Y103"/>
  <c r="Y106" s="1"/>
  <c r="X67"/>
  <c r="Y66"/>
  <c r="Q128"/>
  <c r="X52"/>
  <c r="X93"/>
  <c r="Y93" s="1"/>
  <c r="Q104"/>
  <c r="Y91"/>
  <c r="O127" i="178"/>
  <c r="Q134" s="1"/>
  <c r="O134"/>
  <c r="E91"/>
  <c r="F73"/>
  <c r="X66"/>
  <c r="Y91"/>
  <c r="X103"/>
  <c r="X105"/>
  <c r="Y105" s="1"/>
  <c r="X92"/>
  <c r="Y92" s="1"/>
  <c r="X104"/>
  <c r="Y104" s="1"/>
  <c r="X93"/>
  <c r="Y93" s="1"/>
  <c r="G72"/>
  <c r="X68" i="180" l="1"/>
  <c r="Y67"/>
  <c r="X94"/>
  <c r="Y94"/>
  <c r="F74" i="178"/>
  <c r="X67"/>
  <c r="Y66"/>
  <c r="G74" s="1"/>
  <c r="X106"/>
  <c r="Y103"/>
  <c r="Y106" s="1"/>
  <c r="Y94"/>
  <c r="X94"/>
  <c r="X69" i="180" l="1"/>
  <c r="Y68"/>
  <c r="F75" i="178"/>
  <c r="X68"/>
  <c r="Y67"/>
  <c r="G75" s="1"/>
  <c r="Y69" i="180" l="1"/>
  <c r="X70"/>
  <c r="Y68" i="178"/>
  <c r="G76" s="1"/>
  <c r="X69"/>
  <c r="F76"/>
  <c r="X71" i="180" l="1"/>
  <c r="Y70"/>
  <c r="F77" i="178"/>
  <c r="Y69"/>
  <c r="G77" s="1"/>
  <c r="X70"/>
  <c r="Y71" i="180" l="1"/>
  <c r="X72"/>
  <c r="Y70" i="178"/>
  <c r="G78" s="1"/>
  <c r="F78"/>
  <c r="X71"/>
  <c r="X73" i="180" l="1"/>
  <c r="Y72"/>
  <c r="X75"/>
  <c r="Y71" i="178"/>
  <c r="G79" s="1"/>
  <c r="X72"/>
  <c r="F79"/>
  <c r="Y73" i="180" l="1"/>
  <c r="X76"/>
  <c r="Y76"/>
  <c r="Y75"/>
  <c r="Y78"/>
  <c r="Y80" s="1"/>
  <c r="F80" i="178"/>
  <c r="Y72"/>
  <c r="X73"/>
  <c r="Y73" l="1"/>
  <c r="G81" s="1"/>
  <c r="F81"/>
  <c r="F83" s="1"/>
  <c r="F84" s="1"/>
  <c r="X76"/>
  <c r="X75"/>
  <c r="G80"/>
  <c r="G83" s="1"/>
  <c r="G84" s="1"/>
  <c r="Y75"/>
  <c r="Y76"/>
  <c r="Y78" l="1"/>
  <c r="Y80" s="1"/>
</calcChain>
</file>

<file path=xl/sharedStrings.xml><?xml version="1.0" encoding="utf-8"?>
<sst xmlns="http://schemas.openxmlformats.org/spreadsheetml/2006/main" count="724" uniqueCount="191">
  <si>
    <t>Solution</t>
  </si>
  <si>
    <t>Coupon rate</t>
  </si>
  <si>
    <t>Price</t>
  </si>
  <si>
    <t>YTM</t>
  </si>
  <si>
    <t>Current yield</t>
  </si>
  <si>
    <t>Semi-annual yields</t>
  </si>
  <si>
    <t>Years to maturity</t>
  </si>
  <si>
    <t>Price today</t>
  </si>
  <si>
    <t>Price in 6 months</t>
  </si>
  <si>
    <t>Bond price</t>
  </si>
  <si>
    <t>Par Value</t>
  </si>
  <si>
    <t>Coupon</t>
  </si>
  <si>
    <t>Maturity (years)</t>
  </si>
  <si>
    <t>a.</t>
  </si>
  <si>
    <t>B</t>
  </si>
  <si>
    <t>C</t>
  </si>
  <si>
    <t>1.</t>
  </si>
  <si>
    <t>2.</t>
  </si>
  <si>
    <t>Cash Flow</t>
  </si>
  <si>
    <t>PV</t>
  </si>
  <si>
    <t>Period</t>
  </si>
  <si>
    <t>Rate for PV</t>
  </si>
  <si>
    <t>total net cash flow</t>
  </si>
  <si>
    <t>total of cash inflows</t>
  </si>
  <si>
    <t>Purch Date</t>
  </si>
  <si>
    <t>Maturity Date</t>
  </si>
  <si>
    <t>Coupon Rate</t>
  </si>
  <si>
    <t xml:space="preserve">Bond price </t>
  </si>
  <si>
    <t>Coupons per Year</t>
  </si>
  <si>
    <t>or</t>
  </si>
  <si>
    <t>pv of just bond par value at maturity</t>
  </si>
  <si>
    <t>pv of interest pmts over term of bond</t>
  </si>
  <si>
    <t>rate formula</t>
  </si>
  <si>
    <t>yield formula</t>
  </si>
  <si>
    <t>Annual Yield to Maturity</t>
  </si>
  <si>
    <t>Name</t>
  </si>
  <si>
    <t xml:space="preserve">Exam #3 (Chapters 10 and 11)                                           </t>
  </si>
  <si>
    <t>Take home section</t>
  </si>
  <si>
    <t>Annual yields</t>
  </si>
  <si>
    <t>a.  Current price today</t>
  </si>
  <si>
    <t>b. Price after six months</t>
  </si>
  <si>
    <t>c. Price after twelve months</t>
  </si>
  <si>
    <t>10 coupon pmts remain</t>
  </si>
  <si>
    <t>9 coupon pmts remain</t>
  </si>
  <si>
    <t>8 coupon pmts remain</t>
  </si>
  <si>
    <t>Price in 12 months</t>
  </si>
  <si>
    <t>I used the following for my calculations (check all that apply)</t>
  </si>
  <si>
    <t>Excel ______        Financial Calculator _______        Phone App ______</t>
  </si>
  <si>
    <t>a. current yield</t>
  </si>
  <si>
    <t>b. yield to maturity</t>
  </si>
  <si>
    <t>3.</t>
  </si>
  <si>
    <t>4.</t>
  </si>
  <si>
    <t>a. yield to maturity</t>
  </si>
  <si>
    <t>c. yield to call if it is callable in three years at $1,120</t>
  </si>
  <si>
    <t>b. yield to call if it is callable in five years at $1,060</t>
  </si>
  <si>
    <t>YTC</t>
  </si>
  <si>
    <t>6.</t>
  </si>
  <si>
    <t>5.</t>
  </si>
  <si>
    <t>b. complete the schedule for each year</t>
  </si>
  <si>
    <t>total cash out</t>
  </si>
  <si>
    <t>total cash in</t>
  </si>
  <si>
    <t>net cash</t>
  </si>
  <si>
    <t>Duration</t>
  </si>
  <si>
    <t>Time Until</t>
  </si>
  <si>
    <t>Discounted</t>
  </si>
  <si>
    <t>Time x</t>
  </si>
  <si>
    <t>Pmt (Yrs)</t>
  </si>
  <si>
    <t>Pmt</t>
  </si>
  <si>
    <t>Weight</t>
  </si>
  <si>
    <t>Coupons payments per year</t>
  </si>
  <si>
    <t>Dummy dates</t>
  </si>
  <si>
    <t>YTM 1</t>
  </si>
  <si>
    <t>YTM 2</t>
  </si>
  <si>
    <t>Totals</t>
  </si>
  <si>
    <t>Duration YTM 1</t>
  </si>
  <si>
    <t>Duration YTM 2</t>
  </si>
  <si>
    <t>Modified Duration YTM 1</t>
  </si>
  <si>
    <t>two diff formulas</t>
  </si>
  <si>
    <t>Modified Duration YTM 2</t>
  </si>
  <si>
    <t>7.</t>
  </si>
  <si>
    <t>8.</t>
  </si>
  <si>
    <t>until maturity and has a current price of $1,027.  Par value is $1,000. Calculate the following:</t>
  </si>
  <si>
    <t>THERE WILL BE NO PARTIAL CREDIT</t>
  </si>
  <si>
    <t>Each question has its point value denoted</t>
  </si>
  <si>
    <t>You are analyzing a 5.30% coupon bond making semi annual payments that has nine years</t>
  </si>
  <si>
    <t>b. duration</t>
  </si>
  <si>
    <t>9.</t>
  </si>
  <si>
    <t>the percentage change in the bond's price?</t>
  </si>
  <si>
    <t>10.</t>
  </si>
  <si>
    <t>You can purchase a zero coupon bond for $327 and it will mature in 15 years ($1,000 face value).</t>
  </si>
  <si>
    <t>What is the bond's duration?</t>
  </si>
  <si>
    <t>2 pts</t>
  </si>
  <si>
    <t>4 pts</t>
  </si>
  <si>
    <t>par value of $1,000 and pays interest annually.  Calculate the following:</t>
  </si>
  <si>
    <t>Total points  =  36 points  (of a 100 point exam)</t>
  </si>
  <si>
    <t>Price Change</t>
  </si>
  <si>
    <t>YTM change</t>
  </si>
  <si>
    <t>Price change</t>
  </si>
  <si>
    <t>Classroom section</t>
  </si>
  <si>
    <t>Total points  =  64 points  (of a 100 point exam)</t>
  </si>
  <si>
    <t>A bond has a $1,000 par value and currently pays annual interest of $54.  The current price of</t>
  </si>
  <si>
    <t>the bond is $1,120.  The current yield is:</t>
  </si>
  <si>
    <t>A corporate bond that is callable:</t>
  </si>
  <si>
    <t>A. allows the purchaser to sell it to the issuer after the maturity date</t>
  </si>
  <si>
    <t>B. allows the issuer to buy (retire) the bond at an agreed upon price before the maturity date</t>
  </si>
  <si>
    <t>C. allows the purchaser to buy additional bonds with the same coupon rate and maturity</t>
  </si>
  <si>
    <t>using the following information:</t>
  </si>
  <si>
    <t>Price of bond:</t>
  </si>
  <si>
    <t>Last coupon payment date:</t>
  </si>
  <si>
    <t>Last coupon payment dollars:</t>
  </si>
  <si>
    <t># of days in coupon period:</t>
  </si>
  <si>
    <t>Days since last payment:</t>
  </si>
  <si>
    <t>Next coupon payment date:</t>
  </si>
  <si>
    <t>Today's Wall Street Journal reports that a General Electric bond that pays semi annual coupon</t>
  </si>
  <si>
    <t>A convertible bond for Wal Mart has a face value of $1,000 and a current market price of $930.</t>
  </si>
  <si>
    <t>conversion value is:</t>
  </si>
  <si>
    <t>Using the information in (7), the bond's conversion premium is:</t>
  </si>
  <si>
    <t>Two bonds each have a $1,000 face value and mature in 15 years.  One pays a coupon of 5.85%</t>
  </si>
  <si>
    <t>and the other pays a coupon of 6.75%.  Both bonds have yields to maturity of 4.25%.  Which of</t>
  </si>
  <si>
    <t>the bonds has the longer duration and why (no calculations are necessary)?</t>
  </si>
  <si>
    <t>The duration of a coupon bond is always less than the time remaining until the bond matures.</t>
  </si>
  <si>
    <t>11.</t>
  </si>
  <si>
    <t>The modified duration of a coupon bond is always greater than the Macaulay duration.</t>
  </si>
  <si>
    <t>12.</t>
  </si>
  <si>
    <t xml:space="preserve">The prices of long term bonds tend to be less sensitive to interest rate changes than the </t>
  </si>
  <si>
    <t>prices of short term bonds.</t>
  </si>
  <si>
    <t>13.</t>
  </si>
  <si>
    <t>When interest rates go up, bond prices go down.</t>
  </si>
  <si>
    <t>14.</t>
  </si>
  <si>
    <t>Immunization can be defined as:</t>
  </si>
  <si>
    <t>A. the curvature of the price yield relationship of a bond</t>
  </si>
  <si>
    <t>C. the process of protecting the value of a bond portfolio by keeping the duration equal to</t>
  </si>
  <si>
    <t>a specific length of time to eliminate interest-rate risk.</t>
  </si>
  <si>
    <t xml:space="preserve">     Percentage change in a bond's price  = </t>
  </si>
  <si>
    <t xml:space="preserve"> - Duration  x </t>
  </si>
  <si>
    <t>15.</t>
  </si>
  <si>
    <t>16.</t>
  </si>
  <si>
    <t>Using the information in (15), what is the new price of the bond after the interest rate increases</t>
  </si>
  <si>
    <t>longer duration for lower coupon</t>
  </si>
  <si>
    <t>a greater proportion of the $ received come at maturity</t>
  </si>
  <si>
    <t xml:space="preserve">       this formula is easier to use if you put all interest rates in decimal form</t>
  </si>
  <si>
    <t>per day</t>
  </si>
  <si>
    <t>accrued interest</t>
  </si>
  <si>
    <t>invoice price</t>
  </si>
  <si>
    <t>invoice price:</t>
  </si>
  <si>
    <t>FINA 365    Fall 2015</t>
  </si>
  <si>
    <t>Due on November 12, 2015 at 2:25pm (bring to class or email)</t>
  </si>
  <si>
    <t>A bond has a coupon rate of 6.40% (annually) and pays interest semi annually.  The market interest rate</t>
  </si>
  <si>
    <t>and is selling today for $1,055.  Calculate the following:</t>
  </si>
  <si>
    <t>and is selling today for $915.  Calculate the yield to maturity:</t>
  </si>
  <si>
    <t>A 4.20% coupon bond pays interest semi annually and has a par value of $1,000.  It matures in 15 years</t>
  </si>
  <si>
    <t>and is selling today for $930.  Calculate the following:</t>
  </si>
  <si>
    <t xml:space="preserve">You purchase a bond for $960.  It has a 3.50% coupon and matures in 10 years.  The bond has a </t>
  </si>
  <si>
    <t>for comparable bonds is 5.80% (annually).  Five years remain until maturity.  Calculate the bond's price for the</t>
  </si>
  <si>
    <t>following dates assuming that market interest rates are stable:</t>
  </si>
  <si>
    <t>A 5.0% coupon bond pays interest annually and has a par value of $1,000.  It matures in eight years</t>
  </si>
  <si>
    <t>A 4.50% coupon bond pays interest semi annually and has a par value of $1,000.  It matures in 11 years</t>
  </si>
  <si>
    <t>Round your work as follows: 2.0684, not 2.07; and 41.5678%, not 41.57%; and $326.15, not $326.</t>
  </si>
  <si>
    <t>Find the duration of an 5.0% coupon bond making annual coupon payments if it has three years until</t>
  </si>
  <si>
    <t>maturity and a yield to maturity of 4.70%</t>
  </si>
  <si>
    <t>Find the modified duration of an 5.0% coupon bond making annual coupon payments if it has three years</t>
  </si>
  <si>
    <t>until maturity and a yield to maturity of 4.70%</t>
  </si>
  <si>
    <t>You own a bond with a duration 14.654 years.  The bond has a current yield of 7.20% and you expect</t>
  </si>
  <si>
    <t>yields for similar bonds to increase by 40 basis points (yields will increase to 7.60%).  What will be</t>
  </si>
  <si>
    <t>Answer Key</t>
  </si>
  <si>
    <t>November 12, 2015</t>
  </si>
  <si>
    <t>Round your work as follows: 2.0684, not 2.07; and 41.3758%, not 41.38%; and $326.15, not $326.</t>
  </si>
  <si>
    <t>A bond has a $1,000 par value and currently pays annual interest of $46.  The current price of</t>
  </si>
  <si>
    <t>the bond is $1,130.  The coupon rate is:</t>
  </si>
  <si>
    <t>You purchase a bond on 04/12/15.  Calculate the invoice price for the bond</t>
  </si>
  <si>
    <t>You purchase a bond on 03/29/15.  Calculate the invoice price for the bond</t>
  </si>
  <si>
    <t>interest on April 1st and October 1st last traded yesterday at a price of 101.82.  If the bond has</t>
  </si>
  <si>
    <t>x 15</t>
  </si>
  <si>
    <t>a face value of $1,000, what is the current market value of the bonds in your portfolio if you</t>
  </si>
  <si>
    <t>own 15 of the bonds (ignore accrued interest)?</t>
  </si>
  <si>
    <t>The current price of Wal Mart stock is $58 and the conversion ratio is 15 shares.  The bond's</t>
  </si>
  <si>
    <t>B. the process of buying call options to protect the value of a bond portfolio</t>
  </si>
  <si>
    <t>to 3.50%?  The bond had a price of $945 when its yield was 3.15%.</t>
  </si>
  <si>
    <t>A bond has a duration of 8.941 years and a yield to maturity of 3.15%.  If the interest rate increases</t>
  </si>
  <si>
    <t>to 3.60%, the bond's value will change by what percentage?</t>
  </si>
  <si>
    <t>17.</t>
  </si>
  <si>
    <t>A bond currently has a price of $980 and the yield on the bond is 4.60%.  If interest rates increase</t>
  </si>
  <si>
    <t>Yield Change</t>
  </si>
  <si>
    <t>Initial Yield</t>
  </si>
  <si>
    <t>years</t>
  </si>
  <si>
    <t>by 30 basis points, the price of the bond will go down to $915.  The duration of the bond is ______ years.</t>
  </si>
  <si>
    <t>Each question has a value of 3.75 points</t>
  </si>
  <si>
    <t>((change in yield / (1 + yield))</t>
  </si>
  <si>
    <t>Use the following formula and variations of it to assist in solving #15, #16 and #17</t>
  </si>
  <si>
    <t>Coupon rate:</t>
  </si>
  <si>
    <t>for annual coupons, not semi annual</t>
  </si>
</sst>
</file>

<file path=xl/styles.xml><?xml version="1.0" encoding="utf-8"?>
<styleSheet xmlns="http://schemas.openxmlformats.org/spreadsheetml/2006/main">
  <numFmts count="1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8" formatCode="0.0000%"/>
    <numFmt numFmtId="169" formatCode="_(&quot;$&quot;* #,##0.0000_);_(&quot;$&quot;* \(#,##0.0000\);_(&quot;$&quot;* &quot;-&quot;????_);_(@_)"/>
    <numFmt numFmtId="171" formatCode="0.0000"/>
    <numFmt numFmtId="172" formatCode="_(* #,##0.0000_);_(* \(#,##0.0000\);_(* &quot;-&quot;????_);_(@_)"/>
    <numFmt numFmtId="173" formatCode="0.000000"/>
    <numFmt numFmtId="174" formatCode="mm/dd/yy;@"/>
    <numFmt numFmtId="175" formatCode="_(* #,##0.000_);_(* \(#,##0.000\);_(* &quot;-&quot;???_);_(@_)"/>
    <numFmt numFmtId="176" formatCode="0.000000_);[Red]\(0.000000\)"/>
    <numFmt numFmtId="177" formatCode="0.0000_);[Red]\(0.0000\)"/>
    <numFmt numFmtId="178" formatCode="[$-409]mmmm\ d\,\ yyyy;@"/>
    <numFmt numFmtId="180" formatCode="_(* #,##0.000_);_(* \(#,##0.000\);_(* &quot;-&quot;??_);_(@_)"/>
    <numFmt numFmtId="181" formatCode="_(&quot;$&quot;* #,##0.00000_);_(&quot;$&quot;* \(#,##0.00000\);_(&quot;$&quot;* &quot;-&quot;?????_);_(@_)"/>
    <numFmt numFmtId="182" formatCode="0.00000_);[Red]\(0.00000\)"/>
    <numFmt numFmtId="183" formatCode="#,##0.000000_);[Red]\(#,##0.000000\)"/>
  </numFmts>
  <fonts count="20">
    <font>
      <sz val="11"/>
      <color theme="1"/>
      <name val="Calibri"/>
      <family val="2"/>
      <scheme val="minor"/>
    </font>
    <font>
      <sz val="16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1"/>
      <name val="Times New Roman"/>
      <family val="1"/>
    </font>
    <font>
      <sz val="12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FF0000"/>
      <name val="Arial"/>
      <family val="2"/>
    </font>
    <font>
      <b/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63377788628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2" fillId="0" borderId="0"/>
    <xf numFmtId="9" fontId="6" fillId="0" borderId="0" applyFont="0" applyFill="0" applyBorder="0" applyAlignment="0" applyProtection="0"/>
  </cellStyleXfs>
  <cellXfs count="117">
    <xf numFmtId="0" fontId="0" fillId="0" borderId="0" xfId="0"/>
    <xf numFmtId="0" fontId="1" fillId="2" borderId="0" xfId="0" applyFont="1" applyFill="1" applyBorder="1"/>
    <xf numFmtId="0" fontId="8" fillId="2" borderId="0" xfId="0" applyFont="1" applyFill="1"/>
    <xf numFmtId="0" fontId="9" fillId="0" borderId="0" xfId="0" applyFont="1"/>
    <xf numFmtId="0" fontId="0" fillId="0" borderId="0" xfId="0" applyBorder="1"/>
    <xf numFmtId="0" fontId="7" fillId="0" borderId="7" xfId="0" applyFont="1" applyBorder="1"/>
    <xf numFmtId="0" fontId="0" fillId="0" borderId="7" xfId="0" applyBorder="1"/>
    <xf numFmtId="178" fontId="9" fillId="0" borderId="0" xfId="0" quotePrefix="1" applyNumberFormat="1" applyFont="1"/>
    <xf numFmtId="0" fontId="0" fillId="0" borderId="0" xfId="0" applyAlignment="1">
      <alignment horizontal="center"/>
    </xf>
    <xf numFmtId="0" fontId="3" fillId="2" borderId="0" xfId="0" applyFont="1" applyFill="1" applyBorder="1"/>
    <xf numFmtId="0" fontId="4" fillId="2" borderId="0" xfId="0" applyFont="1" applyFill="1" applyBorder="1"/>
    <xf numFmtId="0" fontId="10" fillId="2" borderId="0" xfId="0" applyFont="1" applyFill="1"/>
    <xf numFmtId="10" fontId="11" fillId="2" borderId="0" xfId="4" applyNumberFormat="1" applyFont="1" applyFill="1"/>
    <xf numFmtId="43" fontId="11" fillId="2" borderId="0" xfId="1" applyFont="1" applyFill="1"/>
    <xf numFmtId="0" fontId="12" fillId="2" borderId="0" xfId="0" applyFont="1" applyFill="1" applyBorder="1"/>
    <xf numFmtId="8" fontId="10" fillId="2" borderId="0" xfId="0" applyNumberFormat="1" applyFont="1" applyFill="1"/>
    <xf numFmtId="178" fontId="9" fillId="0" borderId="0" xfId="0" applyNumberFormat="1" applyFont="1"/>
    <xf numFmtId="0" fontId="7" fillId="0" borderId="0" xfId="0" applyFont="1"/>
    <xf numFmtId="0" fontId="13" fillId="0" borderId="0" xfId="0" applyFont="1"/>
    <xf numFmtId="0" fontId="13" fillId="0" borderId="0" xfId="0" applyFont="1" applyBorder="1"/>
    <xf numFmtId="0" fontId="0" fillId="0" borderId="0" xfId="0" applyFont="1"/>
    <xf numFmtId="0" fontId="14" fillId="0" borderId="0" xfId="0" applyFont="1"/>
    <xf numFmtId="0" fontId="10" fillId="2" borderId="2" xfId="0" applyFont="1" applyFill="1" applyBorder="1"/>
    <xf numFmtId="0" fontId="15" fillId="2" borderId="0" xfId="0" applyFont="1" applyFill="1"/>
    <xf numFmtId="44" fontId="16" fillId="3" borderId="0" xfId="2" applyFont="1" applyFill="1"/>
    <xf numFmtId="0" fontId="15" fillId="2" borderId="0" xfId="0" applyFont="1" applyFill="1" applyAlignment="1">
      <alignment horizontal="right"/>
    </xf>
    <xf numFmtId="174" fontId="15" fillId="2" borderId="0" xfId="0" applyNumberFormat="1" applyFont="1" applyFill="1"/>
    <xf numFmtId="165" fontId="16" fillId="2" borderId="0" xfId="1" applyNumberFormat="1" applyFont="1" applyFill="1"/>
    <xf numFmtId="10" fontId="16" fillId="2" borderId="0" xfId="4" applyNumberFormat="1" applyFont="1" applyFill="1"/>
    <xf numFmtId="2" fontId="15" fillId="2" borderId="0" xfId="0" applyNumberFormat="1" applyFont="1" applyFill="1"/>
    <xf numFmtId="175" fontId="15" fillId="2" borderId="0" xfId="0" applyNumberFormat="1" applyFont="1" applyFill="1"/>
    <xf numFmtId="173" fontId="15" fillId="2" borderId="0" xfId="0" applyNumberFormat="1" applyFont="1" applyFill="1"/>
    <xf numFmtId="0" fontId="10" fillId="2" borderId="0" xfId="0" applyFont="1" applyFill="1" applyAlignment="1">
      <alignment horizontal="right"/>
    </xf>
    <xf numFmtId="0" fontId="10" fillId="2" borderId="3" xfId="0" applyFont="1" applyFill="1" applyBorder="1"/>
    <xf numFmtId="0" fontId="10" fillId="2" borderId="4" xfId="0" applyFont="1" applyFill="1" applyBorder="1"/>
    <xf numFmtId="0" fontId="17" fillId="2" borderId="0" xfId="0" applyFont="1" applyFill="1" applyBorder="1"/>
    <xf numFmtId="0" fontId="10" fillId="2" borderId="5" xfId="0" applyFont="1" applyFill="1" applyBorder="1"/>
    <xf numFmtId="0" fontId="4" fillId="2" borderId="0" xfId="0" applyFont="1" applyFill="1" applyBorder="1" applyAlignment="1">
      <alignment horizontal="right"/>
    </xf>
    <xf numFmtId="0" fontId="10" fillId="2" borderId="6" xfId="0" applyFont="1" applyFill="1" applyBorder="1"/>
    <xf numFmtId="0" fontId="4" fillId="2" borderId="0" xfId="0" quotePrefix="1" applyFont="1" applyFill="1" applyBorder="1" applyAlignment="1">
      <alignment horizontal="right"/>
    </xf>
    <xf numFmtId="168" fontId="15" fillId="2" borderId="0" xfId="4" applyNumberFormat="1" applyFont="1" applyFill="1"/>
    <xf numFmtId="0" fontId="15" fillId="2" borderId="0" xfId="0" applyFont="1" applyFill="1" applyAlignment="1">
      <alignment horizontal="center"/>
    </xf>
    <xf numFmtId="176" fontId="15" fillId="2" borderId="0" xfId="0" applyNumberFormat="1" applyFont="1" applyFill="1"/>
    <xf numFmtId="168" fontId="15" fillId="2" borderId="0" xfId="0" applyNumberFormat="1" applyFont="1" applyFill="1"/>
    <xf numFmtId="0" fontId="0" fillId="0" borderId="0" xfId="0" quotePrefix="1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171" fontId="15" fillId="2" borderId="0" xfId="0" applyNumberFormat="1" applyFont="1" applyFill="1"/>
    <xf numFmtId="0" fontId="3" fillId="2" borderId="0" xfId="0" applyFont="1" applyFill="1" applyBorder="1" applyAlignment="1">
      <alignment horizontal="center"/>
    </xf>
    <xf numFmtId="40" fontId="15" fillId="2" borderId="0" xfId="0" applyNumberFormat="1" applyFont="1" applyFill="1"/>
    <xf numFmtId="0" fontId="15" fillId="2" borderId="2" xfId="0" applyFont="1" applyFill="1" applyBorder="1"/>
    <xf numFmtId="40" fontId="15" fillId="3" borderId="0" xfId="0" applyNumberFormat="1" applyFont="1" applyFill="1"/>
    <xf numFmtId="40" fontId="10" fillId="2" borderId="0" xfId="0" applyNumberFormat="1" applyFont="1" applyFill="1"/>
    <xf numFmtId="0" fontId="15" fillId="2" borderId="6" xfId="0" applyFont="1" applyFill="1" applyBorder="1"/>
    <xf numFmtId="0" fontId="10" fillId="2" borderId="0" xfId="0" applyFont="1" applyFill="1" applyAlignment="1">
      <alignment horizontal="center"/>
    </xf>
    <xf numFmtId="43" fontId="15" fillId="3" borderId="0" xfId="0" applyNumberFormat="1" applyFont="1" applyFill="1"/>
    <xf numFmtId="0" fontId="10" fillId="2" borderId="8" xfId="0" applyFont="1" applyFill="1" applyBorder="1" applyAlignment="1">
      <alignment horizontal="center"/>
    </xf>
    <xf numFmtId="40" fontId="10" fillId="2" borderId="8" xfId="0" applyNumberFormat="1" applyFont="1" applyFill="1" applyBorder="1"/>
    <xf numFmtId="0" fontId="0" fillId="0" borderId="8" xfId="0" applyBorder="1" applyAlignment="1">
      <alignment horizontal="center"/>
    </xf>
    <xf numFmtId="0" fontId="3" fillId="2" borderId="6" xfId="0" applyFont="1" applyFill="1" applyBorder="1"/>
    <xf numFmtId="10" fontId="5" fillId="3" borderId="0" xfId="0" applyNumberFormat="1" applyFont="1" applyFill="1" applyBorder="1"/>
    <xf numFmtId="0" fontId="11" fillId="2" borderId="0" xfId="0" applyFont="1" applyFill="1"/>
    <xf numFmtId="0" fontId="10" fillId="2" borderId="1" xfId="0" applyFont="1" applyFill="1" applyBorder="1" applyAlignment="1">
      <alignment horizontal="right"/>
    </xf>
    <xf numFmtId="43" fontId="10" fillId="2" borderId="0" xfId="0" applyNumberFormat="1" applyFont="1" applyFill="1"/>
    <xf numFmtId="172" fontId="10" fillId="2" borderId="0" xfId="0" applyNumberFormat="1" applyFont="1" applyFill="1"/>
    <xf numFmtId="14" fontId="10" fillId="2" borderId="0" xfId="0" applyNumberFormat="1" applyFont="1" applyFill="1"/>
    <xf numFmtId="10" fontId="11" fillId="3" borderId="0" xfId="4" applyNumberFormat="1" applyFont="1" applyFill="1"/>
    <xf numFmtId="10" fontId="11" fillId="4" borderId="0" xfId="4" applyNumberFormat="1" applyFont="1" applyFill="1"/>
    <xf numFmtId="43" fontId="15" fillId="2" borderId="0" xfId="0" applyNumberFormat="1" applyFont="1" applyFill="1"/>
    <xf numFmtId="172" fontId="15" fillId="2" borderId="0" xfId="0" applyNumberFormat="1" applyFont="1" applyFill="1"/>
    <xf numFmtId="172" fontId="15" fillId="3" borderId="0" xfId="0" applyNumberFormat="1" applyFont="1" applyFill="1"/>
    <xf numFmtId="10" fontId="5" fillId="4" borderId="0" xfId="0" applyNumberFormat="1" applyFont="1" applyFill="1" applyBorder="1"/>
    <xf numFmtId="171" fontId="10" fillId="3" borderId="0" xfId="0" applyNumberFormat="1" applyFont="1" applyFill="1"/>
    <xf numFmtId="2" fontId="10" fillId="2" borderId="0" xfId="0" applyNumberFormat="1" applyFont="1" applyFill="1"/>
    <xf numFmtId="171" fontId="10" fillId="4" borderId="0" xfId="0" applyNumberFormat="1" applyFont="1" applyFill="1"/>
    <xf numFmtId="171" fontId="10" fillId="2" borderId="0" xfId="0" applyNumberFormat="1" applyFont="1" applyFill="1"/>
    <xf numFmtId="172" fontId="15" fillId="4" borderId="0" xfId="0" applyNumberFormat="1" applyFont="1" applyFill="1"/>
    <xf numFmtId="168" fontId="11" fillId="3" borderId="0" xfId="4" applyNumberFormat="1" applyFont="1" applyFill="1"/>
    <xf numFmtId="168" fontId="11" fillId="4" borderId="0" xfId="4" applyNumberFormat="1" applyFont="1" applyFill="1"/>
    <xf numFmtId="180" fontId="11" fillId="2" borderId="0" xfId="1" applyNumberFormat="1" applyFont="1" applyFill="1"/>
    <xf numFmtId="164" fontId="11" fillId="2" borderId="0" xfId="4" applyNumberFormat="1" applyFont="1" applyFill="1"/>
    <xf numFmtId="0" fontId="0" fillId="0" borderId="0" xfId="0" applyAlignment="1">
      <alignment horizontal="right"/>
    </xf>
    <xf numFmtId="14" fontId="0" fillId="0" borderId="0" xfId="0" applyNumberFormat="1"/>
    <xf numFmtId="44" fontId="0" fillId="0" borderId="0" xfId="0" applyNumberFormat="1"/>
    <xf numFmtId="174" fontId="0" fillId="0" borderId="0" xfId="0" applyNumberFormat="1"/>
    <xf numFmtId="1" fontId="0" fillId="0" borderId="0" xfId="0" applyNumberFormat="1"/>
    <xf numFmtId="177" fontId="0" fillId="0" borderId="0" xfId="0" applyNumberFormat="1"/>
    <xf numFmtId="168" fontId="0" fillId="0" borderId="0" xfId="0" applyNumberFormat="1"/>
    <xf numFmtId="169" fontId="0" fillId="0" borderId="0" xfId="0" applyNumberFormat="1"/>
    <xf numFmtId="181" fontId="0" fillId="0" borderId="0" xfId="0" applyNumberFormat="1"/>
    <xf numFmtId="0" fontId="18" fillId="0" borderId="0" xfId="0" applyFont="1"/>
    <xf numFmtId="0" fontId="18" fillId="0" borderId="0" xfId="0" quotePrefix="1" applyFont="1"/>
    <xf numFmtId="8" fontId="0" fillId="0" borderId="0" xfId="0" applyNumberFormat="1"/>
    <xf numFmtId="0" fontId="10" fillId="2" borderId="8" xfId="0" applyFont="1" applyFill="1" applyBorder="1" applyAlignment="1">
      <alignment horizontal="right"/>
    </xf>
    <xf numFmtId="171" fontId="0" fillId="0" borderId="0" xfId="0" applyNumberFormat="1"/>
    <xf numFmtId="0" fontId="0" fillId="3" borderId="0" xfId="0" applyFill="1"/>
    <xf numFmtId="0" fontId="7" fillId="3" borderId="0" xfId="0" applyFont="1" applyFill="1"/>
    <xf numFmtId="0" fontId="0" fillId="0" borderId="0" xfId="0" applyFill="1"/>
    <xf numFmtId="168" fontId="7" fillId="3" borderId="0" xfId="0" applyNumberFormat="1" applyFont="1" applyFill="1"/>
    <xf numFmtId="182" fontId="0" fillId="0" borderId="0" xfId="0" applyNumberFormat="1"/>
    <xf numFmtId="181" fontId="7" fillId="3" borderId="0" xfId="0" applyNumberFormat="1" applyFont="1" applyFill="1"/>
    <xf numFmtId="44" fontId="7" fillId="3" borderId="0" xfId="0" applyNumberFormat="1" applyFont="1" applyFill="1"/>
    <xf numFmtId="0" fontId="9" fillId="0" borderId="0" xfId="0" applyFont="1" applyFill="1"/>
    <xf numFmtId="168" fontId="10" fillId="2" borderId="0" xfId="4" quotePrefix="1" applyNumberFormat="1" applyFont="1" applyFill="1"/>
    <xf numFmtId="0" fontId="7" fillId="0" borderId="0" xfId="0" applyFont="1" applyBorder="1"/>
    <xf numFmtId="0" fontId="0" fillId="0" borderId="8" xfId="0" applyFont="1" applyBorder="1" applyAlignment="1">
      <alignment horizontal="center"/>
    </xf>
    <xf numFmtId="0" fontId="19" fillId="2" borderId="8" xfId="0" applyFont="1" applyFill="1" applyBorder="1" applyAlignment="1">
      <alignment horizontal="center"/>
    </xf>
    <xf numFmtId="0" fontId="0" fillId="0" borderId="0" xfId="0" quotePrefix="1" applyAlignment="1">
      <alignment horizontal="right"/>
    </xf>
    <xf numFmtId="38" fontId="0" fillId="0" borderId="0" xfId="0" applyNumberFormat="1"/>
    <xf numFmtId="169" fontId="7" fillId="3" borderId="0" xfId="0" applyNumberFormat="1" applyFont="1" applyFill="1"/>
    <xf numFmtId="183" fontId="0" fillId="0" borderId="0" xfId="0" applyNumberFormat="1"/>
    <xf numFmtId="176" fontId="0" fillId="0" borderId="0" xfId="0" applyNumberFormat="1"/>
    <xf numFmtId="176" fontId="7" fillId="3" borderId="0" xfId="0" applyNumberFormat="1" applyFont="1" applyFill="1"/>
    <xf numFmtId="0" fontId="0" fillId="0" borderId="0" xfId="0" applyFont="1" applyFill="1"/>
    <xf numFmtId="10" fontId="0" fillId="0" borderId="0" xfId="0" applyNumberFormat="1"/>
    <xf numFmtId="8" fontId="10" fillId="2" borderId="0" xfId="0" quotePrefix="1" applyNumberFormat="1" applyFont="1" applyFill="1"/>
  </cellXfs>
  <cellStyles count="5">
    <cellStyle name="Comma" xfId="1" builtinId="3"/>
    <cellStyle name="Currency" xfId="2" builtinId="4"/>
    <cellStyle name="Normal" xfId="0" builtinId="0"/>
    <cellStyle name="Normal 2 2" xfId="3"/>
    <cellStyle name="Percent" xfId="4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60"/>
  <sheetViews>
    <sheetView tabSelected="1" workbookViewId="0">
      <selection activeCell="J1" sqref="J1"/>
    </sheetView>
  </sheetViews>
  <sheetFormatPr defaultColWidth="12.6640625" defaultRowHeight="14.4"/>
  <cols>
    <col min="1" max="1" width="6.6640625" style="17" customWidth="1"/>
    <col min="5" max="5" width="13.6640625" customWidth="1"/>
    <col min="6" max="7" width="15.6640625" customWidth="1"/>
    <col min="10" max="10" width="12.6640625" style="8"/>
    <col min="16" max="16" width="17.109375" customWidth="1"/>
  </cols>
  <sheetData>
    <row r="1" spans="1:21" ht="16.2" thickBot="1">
      <c r="A1" s="103" t="s">
        <v>145</v>
      </c>
      <c r="B1" s="98"/>
      <c r="C1" s="98"/>
      <c r="D1" s="4"/>
      <c r="E1" s="4"/>
      <c r="F1" s="105"/>
      <c r="G1" s="4"/>
    </row>
    <row r="2" spans="1:21" ht="15.6">
      <c r="A2" s="3" t="s">
        <v>36</v>
      </c>
      <c r="F2" s="5" t="s">
        <v>35</v>
      </c>
      <c r="G2" s="6"/>
    </row>
    <row r="3" spans="1:21" ht="15.6">
      <c r="A3" s="3" t="s">
        <v>37</v>
      </c>
      <c r="F3" s="4"/>
      <c r="G3" s="4"/>
    </row>
    <row r="4" spans="1:21" ht="15.6">
      <c r="A4" s="7" t="s">
        <v>146</v>
      </c>
      <c r="F4" s="4"/>
      <c r="G4" s="4"/>
    </row>
    <row r="5" spans="1:21" ht="15.6">
      <c r="A5" s="7"/>
      <c r="F5" s="4"/>
      <c r="G5" s="4"/>
    </row>
    <row r="6" spans="1:21" ht="15.6">
      <c r="A6" s="16" t="s">
        <v>46</v>
      </c>
      <c r="F6" s="4"/>
      <c r="G6" s="4"/>
    </row>
    <row r="7" spans="1:21" ht="15.6">
      <c r="A7" s="7"/>
      <c r="B7" s="18" t="s">
        <v>47</v>
      </c>
      <c r="C7" s="18"/>
      <c r="D7" s="18"/>
      <c r="E7" s="18"/>
      <c r="F7" s="19"/>
      <c r="G7" s="4"/>
    </row>
    <row r="8" spans="1:21" ht="15.6">
      <c r="A8" s="7"/>
      <c r="F8" s="4"/>
      <c r="G8" s="4"/>
    </row>
    <row r="9" spans="1:21" ht="15.6">
      <c r="A9" s="3" t="s">
        <v>94</v>
      </c>
    </row>
    <row r="10" spans="1:21" ht="15.6">
      <c r="A10" s="3" t="s">
        <v>83</v>
      </c>
    </row>
    <row r="12" spans="1:21" ht="15.6">
      <c r="A12" s="3" t="s">
        <v>157</v>
      </c>
    </row>
    <row r="13" spans="1:21" ht="15.6">
      <c r="A13" s="3" t="s">
        <v>82</v>
      </c>
    </row>
    <row r="15" spans="1:21" ht="20.399999999999999">
      <c r="A15" s="44" t="s">
        <v>16</v>
      </c>
      <c r="B15" t="s">
        <v>147</v>
      </c>
      <c r="J15" s="46"/>
      <c r="L15" s="9"/>
      <c r="M15" s="10" t="s">
        <v>9</v>
      </c>
      <c r="N15" s="9"/>
      <c r="O15" s="9"/>
      <c r="P15" s="9"/>
      <c r="Q15" s="9"/>
      <c r="R15" s="9"/>
      <c r="S15" s="9"/>
      <c r="T15" s="1"/>
      <c r="U15" s="1"/>
    </row>
    <row r="16" spans="1:21" ht="21">
      <c r="A16" s="45"/>
      <c r="B16" t="s">
        <v>153</v>
      </c>
      <c r="J16" s="47"/>
      <c r="L16" s="9"/>
      <c r="M16" s="11"/>
      <c r="N16" s="11"/>
      <c r="O16" s="11"/>
      <c r="P16" s="11"/>
      <c r="Q16" s="11"/>
      <c r="R16" s="11"/>
      <c r="S16" s="11"/>
      <c r="T16" s="2"/>
      <c r="U16" s="2"/>
    </row>
    <row r="17" spans="1:21" ht="21">
      <c r="A17" s="45"/>
      <c r="B17" t="s">
        <v>154</v>
      </c>
      <c r="J17" s="47"/>
      <c r="L17" s="9"/>
      <c r="M17" s="11" t="s">
        <v>1</v>
      </c>
      <c r="N17" s="11"/>
      <c r="O17" s="12">
        <v>6.4000000000000001E-2</v>
      </c>
      <c r="P17" s="11"/>
      <c r="Q17" s="11"/>
      <c r="R17" s="11"/>
      <c r="S17" s="11"/>
      <c r="T17" s="2"/>
      <c r="U17" s="2"/>
    </row>
    <row r="18" spans="1:21" ht="21">
      <c r="A18" s="45"/>
      <c r="J18" s="47"/>
      <c r="L18" s="9"/>
      <c r="M18" s="11" t="s">
        <v>5</v>
      </c>
      <c r="N18" s="11"/>
      <c r="O18" s="12">
        <f>O19/2</f>
        <v>2.9000000000000001E-2</v>
      </c>
      <c r="P18" s="11"/>
      <c r="Q18" s="11"/>
      <c r="R18" s="11"/>
      <c r="S18" s="11"/>
      <c r="T18" s="2"/>
      <c r="U18" s="2"/>
    </row>
    <row r="19" spans="1:21" ht="21">
      <c r="A19" s="45" t="s">
        <v>91</v>
      </c>
      <c r="B19" t="s">
        <v>39</v>
      </c>
      <c r="E19" s="93"/>
      <c r="J19" s="47">
        <v>2</v>
      </c>
      <c r="L19" s="9"/>
      <c r="M19" s="11" t="s">
        <v>38</v>
      </c>
      <c r="N19" s="11"/>
      <c r="O19" s="12">
        <v>5.8000000000000003E-2</v>
      </c>
      <c r="P19" s="11"/>
      <c r="Q19" s="11"/>
      <c r="R19" s="11"/>
      <c r="S19" s="11"/>
      <c r="T19" s="2"/>
      <c r="U19" s="2"/>
    </row>
    <row r="20" spans="1:21" ht="21">
      <c r="A20" s="45"/>
      <c r="J20" s="47"/>
      <c r="L20" s="9"/>
      <c r="M20" s="11" t="s">
        <v>6</v>
      </c>
      <c r="N20" s="11"/>
      <c r="O20" s="13">
        <v>5</v>
      </c>
      <c r="P20" s="11"/>
      <c r="Q20" s="11"/>
      <c r="R20" s="11"/>
      <c r="S20" s="11"/>
      <c r="T20" s="2"/>
      <c r="U20" s="2"/>
    </row>
    <row r="21" spans="1:21" ht="21">
      <c r="A21" s="45" t="s">
        <v>91</v>
      </c>
      <c r="B21" t="s">
        <v>40</v>
      </c>
      <c r="E21" s="93"/>
      <c r="J21" s="47">
        <v>2</v>
      </c>
      <c r="L21" s="14" t="s">
        <v>0</v>
      </c>
      <c r="M21" s="11"/>
      <c r="N21" s="11"/>
      <c r="O21" s="11"/>
      <c r="P21" s="11"/>
      <c r="Q21" s="11"/>
      <c r="R21" s="11"/>
      <c r="S21" s="11"/>
      <c r="T21" s="2"/>
      <c r="U21" s="2"/>
    </row>
    <row r="22" spans="1:21" ht="21">
      <c r="A22" s="45"/>
      <c r="J22" s="47"/>
      <c r="L22" s="9"/>
      <c r="M22" s="11" t="s">
        <v>7</v>
      </c>
      <c r="N22" s="11"/>
      <c r="O22" s="11"/>
      <c r="P22" s="15">
        <f>-PV(O18,O20*2,O17*1000/2,1000)</f>
        <v>1025.7217047752338</v>
      </c>
      <c r="Q22" s="11"/>
      <c r="R22" s="11" t="s">
        <v>42</v>
      </c>
      <c r="S22" s="11"/>
      <c r="T22" s="2"/>
      <c r="U22" s="2"/>
    </row>
    <row r="23" spans="1:21" ht="21">
      <c r="A23" s="45" t="s">
        <v>91</v>
      </c>
      <c r="B23" t="s">
        <v>41</v>
      </c>
      <c r="E23" s="93"/>
      <c r="F23" s="93"/>
      <c r="J23" s="47">
        <v>2</v>
      </c>
      <c r="L23" s="9"/>
      <c r="M23" s="11" t="s">
        <v>8</v>
      </c>
      <c r="N23" s="11"/>
      <c r="O23" s="11"/>
      <c r="P23" s="15">
        <f>-PV(O18,O20*2-1,1000/2*O17,1000)</f>
        <v>1023.4676342137157</v>
      </c>
      <c r="Q23" s="11"/>
      <c r="R23" s="11" t="s">
        <v>43</v>
      </c>
      <c r="S23" s="11"/>
      <c r="T23" s="2"/>
      <c r="U23" s="2"/>
    </row>
    <row r="24" spans="1:21" ht="21">
      <c r="A24" s="45"/>
      <c r="J24" s="47"/>
      <c r="L24" s="9"/>
      <c r="M24" s="11" t="s">
        <v>45</v>
      </c>
      <c r="N24" s="11"/>
      <c r="O24" s="11"/>
      <c r="P24" s="15">
        <f>-PV(O18,O20*2-2,1000/2*O17,1000)</f>
        <v>1021.1481956059134</v>
      </c>
      <c r="Q24" s="11"/>
      <c r="R24" s="11" t="s">
        <v>44</v>
      </c>
      <c r="S24" s="11"/>
      <c r="T24" s="2"/>
      <c r="U24" s="2"/>
    </row>
    <row r="25" spans="1:21" ht="21">
      <c r="A25" s="45"/>
      <c r="J25" s="47"/>
      <c r="L25" s="9"/>
      <c r="M25" s="11"/>
      <c r="N25" s="11"/>
      <c r="O25" s="11"/>
      <c r="P25" s="15"/>
      <c r="Q25" s="11"/>
      <c r="R25" s="11"/>
      <c r="S25" s="11"/>
      <c r="T25" s="2"/>
      <c r="U25" s="2"/>
    </row>
    <row r="26" spans="1:21" ht="15.6">
      <c r="A26" s="45"/>
      <c r="J26" s="47"/>
      <c r="L26" s="9"/>
      <c r="M26" s="10"/>
      <c r="N26" s="9"/>
      <c r="O26" s="9"/>
      <c r="P26" s="9"/>
      <c r="Q26" s="9"/>
      <c r="R26" s="9"/>
      <c r="S26" s="9"/>
      <c r="T26" s="21"/>
    </row>
    <row r="27" spans="1:21" ht="15.6">
      <c r="A27" s="44" t="s">
        <v>17</v>
      </c>
      <c r="B27" t="s">
        <v>155</v>
      </c>
      <c r="J27" s="46"/>
      <c r="L27" s="9"/>
      <c r="M27" s="11"/>
      <c r="N27" s="11"/>
      <c r="O27" s="11"/>
      <c r="P27" s="11"/>
      <c r="Q27" s="22"/>
      <c r="R27" s="11"/>
      <c r="S27" s="11"/>
      <c r="T27" s="21"/>
    </row>
    <row r="28" spans="1:21" ht="15.6">
      <c r="A28" s="45"/>
      <c r="B28" t="s">
        <v>148</v>
      </c>
      <c r="J28" s="47"/>
      <c r="L28" s="9"/>
      <c r="M28" s="23" t="s">
        <v>9</v>
      </c>
      <c r="N28" s="11"/>
      <c r="O28" s="24">
        <v>1055</v>
      </c>
      <c r="P28" s="11"/>
      <c r="Q28" s="22"/>
      <c r="R28" s="25" t="s">
        <v>24</v>
      </c>
      <c r="S28" s="26">
        <v>42004</v>
      </c>
      <c r="T28" s="21"/>
    </row>
    <row r="29" spans="1:21" ht="15.6">
      <c r="A29" s="45"/>
      <c r="J29" s="47"/>
      <c r="L29" s="9"/>
      <c r="M29" s="23" t="s">
        <v>12</v>
      </c>
      <c r="N29" s="11"/>
      <c r="O29" s="27">
        <v>8</v>
      </c>
      <c r="P29" s="11"/>
      <c r="Q29" s="22"/>
      <c r="R29" s="25" t="s">
        <v>25</v>
      </c>
      <c r="S29" s="26">
        <v>44926</v>
      </c>
      <c r="T29" s="21"/>
    </row>
    <row r="30" spans="1:21" ht="15.6">
      <c r="A30" s="45" t="s">
        <v>91</v>
      </c>
      <c r="B30" t="s">
        <v>48</v>
      </c>
      <c r="E30" s="88"/>
      <c r="J30" s="47">
        <v>2</v>
      </c>
      <c r="L30" s="9"/>
      <c r="M30" s="23" t="s">
        <v>1</v>
      </c>
      <c r="N30" s="11"/>
      <c r="O30" s="28">
        <v>0.05</v>
      </c>
      <c r="P30" s="11"/>
      <c r="Q30" s="22"/>
      <c r="R30" s="25" t="s">
        <v>26</v>
      </c>
      <c r="S30" s="29">
        <f>O30</f>
        <v>0.05</v>
      </c>
      <c r="T30" s="21"/>
    </row>
    <row r="31" spans="1:21" ht="15.6">
      <c r="A31" s="45"/>
      <c r="J31" s="47"/>
      <c r="L31" s="9"/>
      <c r="M31" s="11"/>
      <c r="N31" s="11"/>
      <c r="O31" s="11"/>
      <c r="P31" s="11"/>
      <c r="Q31" s="22"/>
      <c r="R31" s="25" t="s">
        <v>27</v>
      </c>
      <c r="S31" s="30">
        <f>O28/10</f>
        <v>105.5</v>
      </c>
      <c r="T31" s="21"/>
    </row>
    <row r="32" spans="1:21" ht="15.6">
      <c r="A32" s="45"/>
      <c r="J32" s="47"/>
      <c r="L32" s="35" t="s">
        <v>0</v>
      </c>
      <c r="M32" s="23"/>
      <c r="N32" s="23"/>
      <c r="O32" s="23"/>
      <c r="P32" s="11"/>
      <c r="Q32" s="22"/>
      <c r="R32" s="25" t="s">
        <v>10</v>
      </c>
      <c r="S32" s="30">
        <f>1000/10</f>
        <v>100</v>
      </c>
      <c r="T32" s="21"/>
    </row>
    <row r="33" spans="1:35" ht="15.6">
      <c r="A33" s="45" t="s">
        <v>91</v>
      </c>
      <c r="B33" t="s">
        <v>49</v>
      </c>
      <c r="E33" s="88"/>
      <c r="J33" s="47">
        <v>2</v>
      </c>
      <c r="L33" s="39" t="s">
        <v>16</v>
      </c>
      <c r="M33" s="23" t="s">
        <v>4</v>
      </c>
      <c r="N33" s="23"/>
      <c r="O33" s="40">
        <f>O30*1000/O28</f>
        <v>4.7393364928909949E-2</v>
      </c>
      <c r="P33" s="42">
        <f>O33</f>
        <v>4.7393364928909949E-2</v>
      </c>
      <c r="Q33" s="22"/>
      <c r="R33" s="25" t="s">
        <v>28</v>
      </c>
      <c r="S33" s="23">
        <v>1</v>
      </c>
      <c r="T33" s="21"/>
    </row>
    <row r="34" spans="1:35" ht="15.6">
      <c r="A34" s="45"/>
      <c r="J34" s="47"/>
      <c r="L34" s="39" t="s">
        <v>17</v>
      </c>
      <c r="M34" s="23" t="s">
        <v>3</v>
      </c>
      <c r="N34" s="23"/>
      <c r="O34" s="43">
        <f>RATE(O29,O30*1000,-O28,1000)</f>
        <v>4.1771120086655192E-2</v>
      </c>
      <c r="P34" s="42">
        <f>O34</f>
        <v>4.1771120086655192E-2</v>
      </c>
      <c r="Q34" s="22"/>
      <c r="R34" s="25" t="s">
        <v>34</v>
      </c>
      <c r="S34" s="31">
        <f>YIELD(S28,S29,S30,S31,S32,S33)</f>
        <v>4.1771120086635714E-2</v>
      </c>
      <c r="T34" s="21"/>
    </row>
    <row r="35" spans="1:35" ht="15.6">
      <c r="A35" s="45"/>
      <c r="J35" s="47"/>
      <c r="L35" s="9"/>
      <c r="M35" s="11"/>
      <c r="N35" s="11"/>
      <c r="O35" s="11" t="s">
        <v>32</v>
      </c>
      <c r="P35" s="11"/>
      <c r="Q35" s="22"/>
      <c r="R35" s="32" t="s">
        <v>33</v>
      </c>
      <c r="S35" s="11"/>
      <c r="T35" s="21"/>
    </row>
    <row r="36" spans="1:35" ht="15.6">
      <c r="A36" s="45"/>
      <c r="J36" s="47"/>
      <c r="L36" s="21"/>
      <c r="M36" s="21"/>
      <c r="N36" s="21"/>
      <c r="O36" s="21"/>
      <c r="P36" s="21"/>
      <c r="Q36" s="21"/>
      <c r="R36" s="21"/>
      <c r="S36" s="21"/>
      <c r="T36" s="21"/>
    </row>
    <row r="37" spans="1:35" ht="15.6">
      <c r="A37" s="44" t="s">
        <v>50</v>
      </c>
      <c r="B37" t="s">
        <v>156</v>
      </c>
      <c r="J37" s="46"/>
      <c r="L37" s="9"/>
      <c r="M37" s="23" t="s">
        <v>9</v>
      </c>
      <c r="N37" s="11"/>
      <c r="O37" s="24">
        <v>915</v>
      </c>
      <c r="P37" s="11"/>
      <c r="Q37" s="22"/>
      <c r="R37" s="25" t="s">
        <v>24</v>
      </c>
      <c r="S37" s="26">
        <v>42004</v>
      </c>
    </row>
    <row r="38" spans="1:35" ht="15.6">
      <c r="A38" s="45"/>
      <c r="B38" t="s">
        <v>149</v>
      </c>
      <c r="J38" s="47"/>
      <c r="L38" s="9"/>
      <c r="M38" s="23" t="s">
        <v>12</v>
      </c>
      <c r="N38" s="11"/>
      <c r="O38" s="27">
        <v>11</v>
      </c>
      <c r="P38" s="11"/>
      <c r="Q38" s="22"/>
      <c r="R38" s="25" t="s">
        <v>25</v>
      </c>
      <c r="S38" s="26">
        <v>46022</v>
      </c>
    </row>
    <row r="39" spans="1:35" ht="15.6">
      <c r="A39" s="45"/>
      <c r="J39" s="47"/>
      <c r="L39" s="9"/>
      <c r="M39" s="23" t="s">
        <v>1</v>
      </c>
      <c r="N39" s="11"/>
      <c r="O39" s="28">
        <v>4.4999999999999998E-2</v>
      </c>
      <c r="P39" s="11"/>
      <c r="Q39" s="22"/>
      <c r="R39" s="25" t="s">
        <v>26</v>
      </c>
      <c r="S39" s="48">
        <f>O39</f>
        <v>4.4999999999999998E-2</v>
      </c>
    </row>
    <row r="40" spans="1:35" ht="15.6">
      <c r="A40" s="45" t="s">
        <v>91</v>
      </c>
      <c r="E40" s="88"/>
      <c r="J40" s="47">
        <v>2</v>
      </c>
      <c r="L40" s="9"/>
      <c r="M40" s="11"/>
      <c r="N40" s="11"/>
      <c r="O40" s="11"/>
      <c r="P40" s="11"/>
      <c r="Q40" s="22"/>
      <c r="R40" s="25" t="s">
        <v>27</v>
      </c>
      <c r="S40" s="30">
        <f>O37/10</f>
        <v>91.5</v>
      </c>
    </row>
    <row r="41" spans="1:35" ht="15.6">
      <c r="A41" s="45"/>
      <c r="J41" s="47"/>
      <c r="L41" s="9"/>
      <c r="M41" s="11"/>
      <c r="N41" s="11"/>
      <c r="O41" s="11"/>
      <c r="P41" s="11"/>
      <c r="Q41" s="22"/>
      <c r="R41" s="25" t="s">
        <v>10</v>
      </c>
      <c r="S41" s="30">
        <f>1000/10</f>
        <v>100</v>
      </c>
    </row>
    <row r="42" spans="1:35" ht="15.6">
      <c r="A42" s="45"/>
      <c r="J42" s="47"/>
      <c r="L42" s="35" t="s">
        <v>0</v>
      </c>
      <c r="M42" s="23"/>
      <c r="N42" s="23"/>
      <c r="O42" s="23"/>
      <c r="P42" s="11"/>
      <c r="Q42" s="22"/>
      <c r="R42" s="25" t="s">
        <v>28</v>
      </c>
      <c r="S42" s="23">
        <v>2</v>
      </c>
    </row>
    <row r="43" spans="1:35" ht="15.6">
      <c r="A43" s="45"/>
      <c r="J43" s="47"/>
      <c r="L43" s="39"/>
      <c r="M43" s="23"/>
      <c r="N43" s="23"/>
      <c r="O43" s="40"/>
      <c r="P43" s="42"/>
      <c r="Q43" s="22"/>
      <c r="R43" s="25" t="s">
        <v>34</v>
      </c>
      <c r="S43" s="31">
        <f>YIELD(S37,S38,S39,S40,S41,S42)</f>
        <v>5.5424055710885947E-2</v>
      </c>
    </row>
    <row r="44" spans="1:35" ht="15.6">
      <c r="A44" s="45"/>
      <c r="J44" s="47"/>
      <c r="L44" s="39"/>
      <c r="M44" s="23" t="s">
        <v>3</v>
      </c>
      <c r="N44" s="23"/>
      <c r="O44" s="43">
        <f>RATE(O38*2,(O39/2)*1000,-O37,1000)*2</f>
        <v>5.5424055711387553E-2</v>
      </c>
      <c r="P44" s="42">
        <f>O44</f>
        <v>5.5424055711387553E-2</v>
      </c>
      <c r="Q44" s="22"/>
      <c r="R44" s="32" t="s">
        <v>33</v>
      </c>
      <c r="S44" s="11"/>
    </row>
    <row r="45" spans="1:35" ht="15.6">
      <c r="A45" s="44" t="s">
        <v>51</v>
      </c>
      <c r="B45" t="s">
        <v>150</v>
      </c>
      <c r="J45" s="46"/>
      <c r="L45" s="9"/>
      <c r="M45" s="23" t="s">
        <v>9</v>
      </c>
      <c r="N45" s="11"/>
      <c r="O45" s="24">
        <v>930</v>
      </c>
      <c r="P45" s="11"/>
      <c r="Q45" s="22"/>
      <c r="R45" s="25" t="s">
        <v>24</v>
      </c>
      <c r="S45" s="26">
        <v>42004</v>
      </c>
      <c r="U45" s="23" t="s">
        <v>9</v>
      </c>
      <c r="V45" s="11"/>
      <c r="W45" s="24">
        <f>O45</f>
        <v>930</v>
      </c>
      <c r="X45" s="11"/>
      <c r="Y45" s="22"/>
      <c r="Z45" s="25" t="s">
        <v>24</v>
      </c>
      <c r="AA45" s="26">
        <v>42004</v>
      </c>
      <c r="AC45" s="23" t="s">
        <v>9</v>
      </c>
      <c r="AD45" s="11"/>
      <c r="AE45" s="24">
        <f>O45</f>
        <v>930</v>
      </c>
      <c r="AF45" s="11"/>
      <c r="AG45" s="22"/>
      <c r="AH45" s="25" t="s">
        <v>24</v>
      </c>
      <c r="AI45" s="26">
        <v>42004</v>
      </c>
    </row>
    <row r="46" spans="1:35" ht="15.6">
      <c r="A46" s="45"/>
      <c r="B46" t="s">
        <v>151</v>
      </c>
      <c r="J46" s="47"/>
      <c r="L46" s="9"/>
      <c r="M46" s="23" t="s">
        <v>12</v>
      </c>
      <c r="N46" s="11"/>
      <c r="O46" s="27">
        <v>15</v>
      </c>
      <c r="P46" s="11"/>
      <c r="Q46" s="22"/>
      <c r="R46" s="25" t="s">
        <v>25</v>
      </c>
      <c r="S46" s="26">
        <v>47483</v>
      </c>
      <c r="U46" s="23" t="s">
        <v>12</v>
      </c>
      <c r="V46" s="11"/>
      <c r="W46" s="27">
        <v>5</v>
      </c>
      <c r="X46" s="11"/>
      <c r="Y46" s="22"/>
      <c r="Z46" s="25" t="s">
        <v>25</v>
      </c>
      <c r="AA46" s="26">
        <v>43830</v>
      </c>
      <c r="AC46" s="23" t="s">
        <v>12</v>
      </c>
      <c r="AD46" s="11"/>
      <c r="AE46" s="27">
        <v>3</v>
      </c>
      <c r="AF46" s="11"/>
      <c r="AG46" s="22"/>
      <c r="AH46" s="25" t="s">
        <v>25</v>
      </c>
      <c r="AI46" s="26">
        <v>43100</v>
      </c>
    </row>
    <row r="47" spans="1:35" ht="15.6">
      <c r="A47" s="45"/>
      <c r="J47" s="47"/>
      <c r="L47" s="9"/>
      <c r="M47" s="23" t="s">
        <v>1</v>
      </c>
      <c r="N47" s="11"/>
      <c r="O47" s="28">
        <v>4.2000000000000003E-2</v>
      </c>
      <c r="P47" s="11"/>
      <c r="Q47" s="22"/>
      <c r="R47" s="25" t="s">
        <v>26</v>
      </c>
      <c r="S47" s="48">
        <f>O47</f>
        <v>4.2000000000000003E-2</v>
      </c>
      <c r="U47" s="23" t="s">
        <v>1</v>
      </c>
      <c r="V47" s="11"/>
      <c r="W47" s="28">
        <f>O47</f>
        <v>4.2000000000000003E-2</v>
      </c>
      <c r="X47" s="11"/>
      <c r="Y47" s="22"/>
      <c r="Z47" s="25" t="s">
        <v>26</v>
      </c>
      <c r="AA47" s="48">
        <f>W47</f>
        <v>4.2000000000000003E-2</v>
      </c>
      <c r="AC47" s="23" t="s">
        <v>1</v>
      </c>
      <c r="AD47" s="11"/>
      <c r="AE47" s="28">
        <f>O47</f>
        <v>4.2000000000000003E-2</v>
      </c>
      <c r="AF47" s="11"/>
      <c r="AG47" s="22"/>
      <c r="AH47" s="25" t="s">
        <v>26</v>
      </c>
      <c r="AI47" s="48">
        <f>AE47</f>
        <v>4.2000000000000003E-2</v>
      </c>
    </row>
    <row r="48" spans="1:35" ht="15.6">
      <c r="A48" s="45" t="s">
        <v>91</v>
      </c>
      <c r="B48" t="s">
        <v>52</v>
      </c>
      <c r="F48" s="88"/>
      <c r="J48" s="47">
        <v>2</v>
      </c>
      <c r="L48" s="9"/>
      <c r="M48" s="11"/>
      <c r="N48" s="11"/>
      <c r="O48" s="11"/>
      <c r="P48" s="11"/>
      <c r="Q48" s="22"/>
      <c r="R48" s="25" t="s">
        <v>27</v>
      </c>
      <c r="S48" s="30">
        <f>O45/10</f>
        <v>93</v>
      </c>
      <c r="U48" s="11"/>
      <c r="V48" s="11"/>
      <c r="W48" s="11"/>
      <c r="X48" s="11"/>
      <c r="Y48" s="22"/>
      <c r="Z48" s="25" t="s">
        <v>27</v>
      </c>
      <c r="AA48" s="30">
        <f>W45/10</f>
        <v>93</v>
      </c>
      <c r="AC48" s="11"/>
      <c r="AD48" s="11"/>
      <c r="AE48" s="11"/>
      <c r="AF48" s="11"/>
      <c r="AG48" s="22"/>
      <c r="AH48" s="25" t="s">
        <v>27</v>
      </c>
      <c r="AI48" s="30">
        <f>AE45/10</f>
        <v>93</v>
      </c>
    </row>
    <row r="49" spans="1:35" ht="15.6">
      <c r="A49" s="45"/>
      <c r="J49" s="47"/>
      <c r="L49" s="9"/>
      <c r="M49" s="11"/>
      <c r="N49" s="11"/>
      <c r="O49" s="11"/>
      <c r="P49" s="11"/>
      <c r="Q49" s="22"/>
      <c r="R49" s="25" t="s">
        <v>10</v>
      </c>
      <c r="S49" s="30">
        <f>1000/10</f>
        <v>100</v>
      </c>
      <c r="U49" s="11"/>
      <c r="V49" s="11"/>
      <c r="W49" s="11"/>
      <c r="X49" s="11"/>
      <c r="Y49" s="22"/>
      <c r="Z49" s="25" t="s">
        <v>10</v>
      </c>
      <c r="AA49" s="30">
        <v>106</v>
      </c>
      <c r="AC49" s="11"/>
      <c r="AD49" s="11"/>
      <c r="AE49" s="11"/>
      <c r="AF49" s="11"/>
      <c r="AG49" s="22"/>
      <c r="AH49" s="25" t="s">
        <v>10</v>
      </c>
      <c r="AI49" s="30">
        <v>112</v>
      </c>
    </row>
    <row r="50" spans="1:35" ht="15.6">
      <c r="A50" s="45"/>
      <c r="J50" s="47"/>
      <c r="L50" s="35" t="s">
        <v>0</v>
      </c>
      <c r="M50" s="23"/>
      <c r="N50" s="23"/>
      <c r="O50" s="23"/>
      <c r="P50" s="11"/>
      <c r="Q50" s="22"/>
      <c r="R50" s="25" t="s">
        <v>28</v>
      </c>
      <c r="S50" s="23">
        <v>2</v>
      </c>
      <c r="U50" s="23"/>
      <c r="V50" s="23"/>
      <c r="W50" s="23"/>
      <c r="X50" s="11"/>
      <c r="Y50" s="22"/>
      <c r="Z50" s="25" t="s">
        <v>28</v>
      </c>
      <c r="AA50" s="23">
        <v>2</v>
      </c>
      <c r="AC50" s="23"/>
      <c r="AD50" s="23"/>
      <c r="AE50" s="23"/>
      <c r="AF50" s="11"/>
      <c r="AG50" s="22"/>
      <c r="AH50" s="25" t="s">
        <v>28</v>
      </c>
      <c r="AI50" s="23">
        <v>2</v>
      </c>
    </row>
    <row r="51" spans="1:35" ht="15.6">
      <c r="A51" s="45"/>
      <c r="J51" s="47"/>
      <c r="L51" s="39"/>
      <c r="M51" s="23"/>
      <c r="N51" s="23"/>
      <c r="O51" s="40"/>
      <c r="P51" s="42"/>
      <c r="Q51" s="22"/>
      <c r="R51" s="25" t="s">
        <v>34</v>
      </c>
      <c r="S51" s="31">
        <f>YIELD(S45,S46,S47,S48,S49,S50)</f>
        <v>4.8627830921333062E-2</v>
      </c>
      <c r="U51" s="23"/>
      <c r="V51" s="23"/>
      <c r="W51" s="40"/>
      <c r="X51" s="42"/>
      <c r="Y51" s="22"/>
      <c r="Z51" s="25" t="s">
        <v>34</v>
      </c>
      <c r="AA51" s="31">
        <f>YIELD(AA45,AA46,AA47,AA48,AA49,AA50)</f>
        <v>6.9044856863312312E-2</v>
      </c>
      <c r="AC51" s="23"/>
      <c r="AD51" s="23"/>
      <c r="AE51" s="40"/>
      <c r="AF51" s="42"/>
      <c r="AG51" s="22"/>
      <c r="AH51" s="25" t="s">
        <v>34</v>
      </c>
      <c r="AI51" s="31">
        <f>YIELD(AI45,AI46,AI47,AI48,AI49,AI50)</f>
        <v>0.10486624212798513</v>
      </c>
    </row>
    <row r="52" spans="1:35" ht="15.6">
      <c r="A52" s="45"/>
      <c r="J52" s="47"/>
      <c r="L52" s="39"/>
      <c r="M52" s="23" t="s">
        <v>3</v>
      </c>
      <c r="N52" s="23"/>
      <c r="O52" s="43">
        <f>RATE(O46*2,(O47/2)*1000,-O45,1000)*2</f>
        <v>4.8627830921991771E-2</v>
      </c>
      <c r="P52" s="42">
        <f>O52</f>
        <v>4.8627830921991771E-2</v>
      </c>
      <c r="Q52" s="22"/>
      <c r="R52" s="32" t="s">
        <v>33</v>
      </c>
      <c r="S52" s="11"/>
      <c r="U52" s="23" t="s">
        <v>55</v>
      </c>
      <c r="V52" s="23"/>
      <c r="W52" s="43">
        <f>RATE(W46*2,(W47/2)*1000,-W45,1060)*2</f>
        <v>6.9044856863718182E-2</v>
      </c>
      <c r="X52" s="42">
        <f>W52</f>
        <v>6.9044856863718182E-2</v>
      </c>
      <c r="Y52" s="22"/>
      <c r="Z52" s="32" t="s">
        <v>33</v>
      </c>
      <c r="AA52" s="11"/>
      <c r="AC52" s="23" t="s">
        <v>55</v>
      </c>
      <c r="AD52" s="23"/>
      <c r="AE52" s="43">
        <f>RATE(AE46*2,(AE47/2)*1000,-AE45,1120)*2</f>
        <v>0.10486624222082028</v>
      </c>
      <c r="AF52" s="42">
        <f>AE52</f>
        <v>0.10486624222082028</v>
      </c>
      <c r="AG52" s="22"/>
      <c r="AH52" s="32" t="s">
        <v>33</v>
      </c>
      <c r="AI52" s="11"/>
    </row>
    <row r="53" spans="1:35" ht="16.2" thickBot="1">
      <c r="A53" s="45" t="s">
        <v>91</v>
      </c>
      <c r="B53" t="s">
        <v>54</v>
      </c>
      <c r="F53" s="88"/>
      <c r="J53" s="47">
        <v>2</v>
      </c>
      <c r="L53" s="9"/>
      <c r="M53" s="11"/>
      <c r="N53" s="11"/>
      <c r="O53" s="11"/>
      <c r="P53" s="11"/>
      <c r="Q53" s="33"/>
      <c r="R53" s="34"/>
      <c r="S53" s="11"/>
      <c r="U53" s="11"/>
      <c r="V53" s="11"/>
      <c r="W53" s="11"/>
      <c r="X53" s="11"/>
      <c r="Y53" s="33"/>
      <c r="Z53" s="34"/>
      <c r="AA53" s="11"/>
      <c r="AC53" s="11"/>
      <c r="AD53" s="11"/>
      <c r="AE53" s="11"/>
      <c r="AF53" s="11"/>
      <c r="AG53" s="33"/>
      <c r="AH53" s="34"/>
      <c r="AI53" s="11"/>
    </row>
    <row r="54" spans="1:35">
      <c r="A54" s="45"/>
      <c r="J54" s="47"/>
    </row>
    <row r="55" spans="1:35">
      <c r="A55" s="45"/>
      <c r="J55" s="47"/>
    </row>
    <row r="56" spans="1:35">
      <c r="A56" s="45"/>
      <c r="J56" s="47"/>
    </row>
    <row r="57" spans="1:35">
      <c r="A57" s="45"/>
      <c r="J57" s="47"/>
    </row>
    <row r="58" spans="1:35">
      <c r="A58" s="45" t="s">
        <v>91</v>
      </c>
      <c r="B58" t="s">
        <v>53</v>
      </c>
      <c r="F58" s="88"/>
      <c r="J58" s="47">
        <v>2</v>
      </c>
    </row>
    <row r="59" spans="1:35">
      <c r="A59" s="45"/>
      <c r="J59" s="47"/>
    </row>
    <row r="60" spans="1:35">
      <c r="A60" s="45"/>
      <c r="J60" s="47"/>
    </row>
    <row r="61" spans="1:35" ht="15.6">
      <c r="A61" s="45"/>
      <c r="J61" s="47"/>
      <c r="L61" s="9"/>
      <c r="M61" s="10"/>
      <c r="N61" s="9"/>
      <c r="O61" s="9"/>
      <c r="P61" s="9"/>
      <c r="Q61" s="9"/>
      <c r="R61" s="9"/>
      <c r="S61" s="9"/>
      <c r="T61" s="9"/>
      <c r="U61" s="9"/>
      <c r="V61" s="9"/>
      <c r="W61" s="49"/>
      <c r="X61" s="9"/>
      <c r="Y61" s="9"/>
    </row>
    <row r="62" spans="1:35" ht="15.6">
      <c r="A62" s="44" t="s">
        <v>57</v>
      </c>
      <c r="B62" t="s">
        <v>152</v>
      </c>
      <c r="J62" s="46"/>
      <c r="L62" s="9"/>
      <c r="M62" s="11"/>
      <c r="N62" s="11"/>
      <c r="O62" s="11"/>
      <c r="P62" s="11"/>
      <c r="Q62" s="22"/>
      <c r="R62" s="11"/>
      <c r="S62" s="11"/>
      <c r="T62" s="11"/>
      <c r="U62" s="22"/>
      <c r="V62" s="25" t="s">
        <v>21</v>
      </c>
      <c r="W62" s="41" t="s">
        <v>20</v>
      </c>
      <c r="X62" s="25" t="s">
        <v>18</v>
      </c>
      <c r="Y62" s="25" t="s">
        <v>19</v>
      </c>
    </row>
    <row r="63" spans="1:35" ht="15.6">
      <c r="A63" s="45"/>
      <c r="B63" t="s">
        <v>93</v>
      </c>
      <c r="J63" s="47"/>
      <c r="L63" s="9"/>
      <c r="M63" s="23" t="s">
        <v>9</v>
      </c>
      <c r="N63" s="11"/>
      <c r="O63" s="24">
        <v>960</v>
      </c>
      <c r="P63" s="11"/>
      <c r="Q63" s="22"/>
      <c r="R63" s="25" t="s">
        <v>24</v>
      </c>
      <c r="S63" s="26">
        <v>42004</v>
      </c>
      <c r="T63" s="26"/>
      <c r="U63" s="22"/>
      <c r="V63" s="43">
        <f>S69</f>
        <v>3.9929917368805003E-2</v>
      </c>
      <c r="W63" s="41">
        <v>0</v>
      </c>
      <c r="X63" s="50">
        <f>-O63</f>
        <v>-960</v>
      </c>
      <c r="Y63" s="50">
        <f>X63</f>
        <v>-960</v>
      </c>
    </row>
    <row r="64" spans="1:35" ht="15.6">
      <c r="A64" s="45"/>
      <c r="J64" s="47"/>
      <c r="L64" s="9"/>
      <c r="M64" s="23" t="s">
        <v>12</v>
      </c>
      <c r="N64" s="11"/>
      <c r="O64" s="27">
        <v>10</v>
      </c>
      <c r="P64" s="11"/>
      <c r="Q64" s="22"/>
      <c r="R64" s="25" t="s">
        <v>25</v>
      </c>
      <c r="S64" s="26">
        <v>45657</v>
      </c>
      <c r="T64" s="26"/>
      <c r="U64" s="22"/>
      <c r="V64" s="11"/>
      <c r="W64" s="41">
        <f>W63+1</f>
        <v>1</v>
      </c>
      <c r="X64" s="50">
        <f>1000*O65</f>
        <v>35</v>
      </c>
      <c r="Y64" s="50">
        <f>X64/(1+$S$69)^W64</f>
        <v>33.656114143302844</v>
      </c>
    </row>
    <row r="65" spans="1:25" ht="15.6">
      <c r="A65" s="45" t="s">
        <v>91</v>
      </c>
      <c r="B65" t="s">
        <v>52</v>
      </c>
      <c r="E65" s="88"/>
      <c r="J65" s="47">
        <v>2</v>
      </c>
      <c r="L65" s="9"/>
      <c r="M65" s="23" t="s">
        <v>1</v>
      </c>
      <c r="N65" s="11"/>
      <c r="O65" s="28">
        <v>3.5000000000000003E-2</v>
      </c>
      <c r="P65" s="11"/>
      <c r="Q65" s="22"/>
      <c r="R65" s="25" t="s">
        <v>26</v>
      </c>
      <c r="S65" s="29">
        <f>O65</f>
        <v>3.5000000000000003E-2</v>
      </c>
      <c r="T65" s="29"/>
      <c r="U65" s="22"/>
      <c r="V65" s="11"/>
      <c r="W65" s="41">
        <f t="shared" ref="W65:W73" si="0">W64+1</f>
        <v>2</v>
      </c>
      <c r="X65" s="50">
        <f>X64</f>
        <v>35</v>
      </c>
      <c r="Y65" s="50">
        <f t="shared" ref="Y65:Y74" si="1">X65/(1+$S$69)^W65</f>
        <v>32.363829120772287</v>
      </c>
    </row>
    <row r="66" spans="1:25" ht="15.6">
      <c r="A66" s="45"/>
      <c r="J66" s="47"/>
      <c r="L66" s="9"/>
      <c r="M66" s="11"/>
      <c r="N66" s="11"/>
      <c r="O66" s="11"/>
      <c r="P66" s="11"/>
      <c r="Q66" s="22"/>
      <c r="R66" s="25" t="s">
        <v>27</v>
      </c>
      <c r="S66" s="30">
        <f>O63/10</f>
        <v>96</v>
      </c>
      <c r="T66" s="30"/>
      <c r="U66" s="22"/>
      <c r="V66" s="11"/>
      <c r="W66" s="41">
        <f t="shared" si="0"/>
        <v>3</v>
      </c>
      <c r="X66" s="50">
        <f t="shared" ref="X66:X72" si="2">X65</f>
        <v>35</v>
      </c>
      <c r="Y66" s="50">
        <f t="shared" si="1"/>
        <v>31.121163628658874</v>
      </c>
    </row>
    <row r="67" spans="1:25" ht="15.6">
      <c r="A67" s="45"/>
      <c r="J67" s="47"/>
      <c r="L67" s="9"/>
      <c r="M67" s="11"/>
      <c r="N67" s="11"/>
      <c r="O67" s="11"/>
      <c r="P67" s="11"/>
      <c r="Q67" s="22"/>
      <c r="R67" s="25" t="s">
        <v>10</v>
      </c>
      <c r="S67" s="30">
        <f>1000/10</f>
        <v>100</v>
      </c>
      <c r="T67" s="30"/>
      <c r="U67" s="22"/>
      <c r="V67" s="11"/>
      <c r="W67" s="41">
        <f t="shared" si="0"/>
        <v>4</v>
      </c>
      <c r="X67" s="50">
        <f t="shared" si="2"/>
        <v>35</v>
      </c>
      <c r="Y67" s="50">
        <f t="shared" si="1"/>
        <v>29.926212438815661</v>
      </c>
    </row>
    <row r="68" spans="1:25" ht="15.6">
      <c r="A68" s="45"/>
      <c r="J68" s="47"/>
      <c r="L68" s="9"/>
      <c r="M68" s="11"/>
      <c r="N68" s="11"/>
      <c r="O68" s="11"/>
      <c r="P68" s="11"/>
      <c r="Q68" s="22"/>
      <c r="R68" s="25" t="s">
        <v>28</v>
      </c>
      <c r="S68" s="23">
        <v>1</v>
      </c>
      <c r="T68" s="23"/>
      <c r="U68" s="22"/>
      <c r="V68" s="11"/>
      <c r="W68" s="41">
        <f t="shared" si="0"/>
        <v>5</v>
      </c>
      <c r="X68" s="50">
        <f t="shared" si="2"/>
        <v>35</v>
      </c>
      <c r="Y68" s="50">
        <f t="shared" si="1"/>
        <v>28.777143477643126</v>
      </c>
    </row>
    <row r="69" spans="1:25" ht="15" customHeight="1">
      <c r="A69" s="20"/>
      <c r="L69" s="9"/>
      <c r="M69" s="11"/>
      <c r="N69" s="11"/>
      <c r="O69" s="11"/>
      <c r="P69" s="11"/>
      <c r="Q69" s="22"/>
      <c r="R69" s="25" t="s">
        <v>34</v>
      </c>
      <c r="S69" s="43">
        <f>YIELD(S63,S64,S65,S66,S67,S68)</f>
        <v>3.9929917368805003E-2</v>
      </c>
      <c r="T69" s="31"/>
      <c r="U69" s="22"/>
      <c r="V69" s="11"/>
      <c r="W69" s="41">
        <f t="shared" si="0"/>
        <v>6</v>
      </c>
      <c r="X69" s="50">
        <f t="shared" si="2"/>
        <v>35</v>
      </c>
      <c r="Y69" s="50">
        <f t="shared" si="1"/>
        <v>27.672195017193147</v>
      </c>
    </row>
    <row r="70" spans="1:25" ht="21.9" customHeight="1">
      <c r="A70" s="45" t="s">
        <v>92</v>
      </c>
      <c r="B70" t="s">
        <v>58</v>
      </c>
      <c r="E70" s="57" t="s">
        <v>20</v>
      </c>
      <c r="F70" s="94" t="s">
        <v>18</v>
      </c>
      <c r="G70" s="94" t="s">
        <v>19</v>
      </c>
      <c r="J70" s="47">
        <v>4</v>
      </c>
      <c r="L70" s="9"/>
      <c r="M70" s="11"/>
      <c r="N70" s="11"/>
      <c r="O70" s="11"/>
      <c r="P70" s="11"/>
      <c r="Q70" s="22"/>
      <c r="R70" s="32" t="s">
        <v>33</v>
      </c>
      <c r="S70" s="11"/>
      <c r="T70" s="11"/>
      <c r="U70" s="51"/>
      <c r="V70" s="23"/>
      <c r="W70" s="41">
        <f t="shared" si="0"/>
        <v>7</v>
      </c>
      <c r="X70" s="50">
        <f t="shared" si="2"/>
        <v>35</v>
      </c>
      <c r="Y70" s="50">
        <f t="shared" si="1"/>
        <v>26.609672974125392</v>
      </c>
    </row>
    <row r="71" spans="1:25" ht="24.9" customHeight="1" thickBot="1">
      <c r="A71" s="45"/>
      <c r="E71" s="57">
        <v>0</v>
      </c>
      <c r="F71" s="58"/>
      <c r="G71" s="58"/>
      <c r="J71" s="47"/>
      <c r="L71" s="9"/>
      <c r="M71" s="11"/>
      <c r="N71" s="11"/>
      <c r="O71" s="11"/>
      <c r="P71" s="11"/>
      <c r="Q71" s="33"/>
      <c r="R71" s="34"/>
      <c r="S71" s="11"/>
      <c r="T71" s="11"/>
      <c r="U71" s="51"/>
      <c r="V71" s="23"/>
      <c r="W71" s="41">
        <f t="shared" si="0"/>
        <v>8</v>
      </c>
      <c r="X71" s="50">
        <f t="shared" si="2"/>
        <v>35</v>
      </c>
      <c r="Y71" s="50">
        <f t="shared" si="1"/>
        <v>25.587948312375008</v>
      </c>
    </row>
    <row r="72" spans="1:25" ht="24.9" customHeight="1">
      <c r="A72" s="45"/>
      <c r="E72" s="57">
        <f>E71+1</f>
        <v>1</v>
      </c>
      <c r="F72" s="58"/>
      <c r="G72" s="58"/>
      <c r="J72" s="47"/>
      <c r="L72" s="35" t="s">
        <v>0</v>
      </c>
      <c r="M72" s="23"/>
      <c r="N72" s="23"/>
      <c r="O72" s="23"/>
      <c r="P72" s="23"/>
      <c r="Q72" s="23"/>
      <c r="R72" s="36"/>
      <c r="S72" s="11"/>
      <c r="T72" s="11"/>
      <c r="U72" s="51"/>
      <c r="V72" s="23"/>
      <c r="W72" s="41">
        <f t="shared" si="0"/>
        <v>9</v>
      </c>
      <c r="X72" s="50">
        <f t="shared" si="2"/>
        <v>35</v>
      </c>
      <c r="Y72" s="50">
        <f t="shared" si="1"/>
        <v>24.605454545549332</v>
      </c>
    </row>
    <row r="73" spans="1:25" ht="24.9" customHeight="1">
      <c r="A73" s="45"/>
      <c r="E73" s="57">
        <f t="shared" ref="E73:E81" si="3">E72+1</f>
        <v>2</v>
      </c>
      <c r="F73" s="58"/>
      <c r="G73" s="58"/>
      <c r="J73" s="47"/>
      <c r="L73" s="37" t="s">
        <v>13</v>
      </c>
      <c r="M73" s="11"/>
      <c r="N73" s="11"/>
      <c r="O73" s="11"/>
      <c r="P73" s="11"/>
      <c r="Q73" s="11"/>
      <c r="R73" s="38"/>
      <c r="S73" s="11"/>
      <c r="T73" s="11"/>
      <c r="U73" s="51"/>
      <c r="V73" s="23"/>
      <c r="W73" s="41">
        <f t="shared" si="0"/>
        <v>10</v>
      </c>
      <c r="X73" s="50">
        <f>X72</f>
        <v>35</v>
      </c>
      <c r="Y73" s="50">
        <f t="shared" si="1"/>
        <v>23.660685335224525</v>
      </c>
    </row>
    <row r="74" spans="1:25" ht="24.9" customHeight="1">
      <c r="A74" s="45"/>
      <c r="E74" s="57">
        <f t="shared" si="3"/>
        <v>3</v>
      </c>
      <c r="F74" s="58"/>
      <c r="G74" s="58"/>
      <c r="J74" s="47"/>
      <c r="L74" s="39" t="s">
        <v>16</v>
      </c>
      <c r="M74" s="23" t="s">
        <v>4</v>
      </c>
      <c r="N74" s="23"/>
      <c r="O74" s="40">
        <f>O65*1000/O63</f>
        <v>3.6458333333333336E-2</v>
      </c>
      <c r="P74" s="41" t="s">
        <v>29</v>
      </c>
      <c r="Q74" s="42">
        <f>O74</f>
        <v>3.6458333333333336E-2</v>
      </c>
      <c r="R74" s="38"/>
      <c r="S74" s="11"/>
      <c r="T74" s="11"/>
      <c r="U74" s="51"/>
      <c r="V74" s="11"/>
      <c r="W74" s="41">
        <f>W73</f>
        <v>10</v>
      </c>
      <c r="X74" s="50">
        <f>1000</f>
        <v>1000</v>
      </c>
      <c r="Y74" s="50">
        <f t="shared" si="1"/>
        <v>676.01958100641502</v>
      </c>
    </row>
    <row r="75" spans="1:25" ht="24.9" customHeight="1">
      <c r="A75" s="45"/>
      <c r="E75" s="57">
        <f t="shared" si="3"/>
        <v>4</v>
      </c>
      <c r="F75" s="58"/>
      <c r="G75" s="58"/>
      <c r="J75" s="47"/>
      <c r="L75" s="39" t="s">
        <v>17</v>
      </c>
      <c r="M75" s="23" t="s">
        <v>3</v>
      </c>
      <c r="N75" s="23"/>
      <c r="O75" s="43">
        <f>RATE(O64,O65*1000,-O63,1000)</f>
        <v>3.9929917368853429E-2</v>
      </c>
      <c r="P75" s="41" t="s">
        <v>29</v>
      </c>
      <c r="Q75" s="42">
        <f>O75</f>
        <v>3.9929917368853429E-2</v>
      </c>
      <c r="R75" s="38"/>
      <c r="S75" s="11"/>
      <c r="T75" s="11"/>
      <c r="U75" s="51"/>
      <c r="V75" s="23"/>
      <c r="W75" s="25" t="s">
        <v>22</v>
      </c>
      <c r="X75" s="50">
        <f>SUM(X63:X74)</f>
        <v>390</v>
      </c>
      <c r="Y75" s="50">
        <f>SUM(Y63:Y74)</f>
        <v>7.5374373409431428E-11</v>
      </c>
    </row>
    <row r="76" spans="1:25" ht="24.9" customHeight="1">
      <c r="A76" s="45"/>
      <c r="E76" s="57">
        <f t="shared" si="3"/>
        <v>5</v>
      </c>
      <c r="F76" s="58"/>
      <c r="G76" s="58"/>
      <c r="J76" s="47"/>
      <c r="L76" s="9"/>
      <c r="M76" s="11"/>
      <c r="N76" s="11"/>
      <c r="O76" s="11"/>
      <c r="P76" s="11"/>
      <c r="Q76" s="11"/>
      <c r="R76" s="38"/>
      <c r="S76" s="11"/>
      <c r="T76" s="11"/>
      <c r="U76" s="51"/>
      <c r="V76" s="23"/>
      <c r="W76" s="25" t="s">
        <v>23</v>
      </c>
      <c r="X76" s="50">
        <f>SUM(X64:X74)</f>
        <v>1350</v>
      </c>
      <c r="Y76" s="52">
        <f>SUM(Y64:Y74)</f>
        <v>960.00000000007526</v>
      </c>
    </row>
    <row r="77" spans="1:25" ht="24.9" customHeight="1">
      <c r="A77" s="45"/>
      <c r="E77" s="57">
        <f t="shared" si="3"/>
        <v>6</v>
      </c>
      <c r="F77" s="58"/>
      <c r="G77" s="58"/>
      <c r="J77" s="47"/>
      <c r="L77" s="9"/>
      <c r="M77" s="11"/>
      <c r="N77" s="11"/>
      <c r="O77" s="11"/>
      <c r="P77" s="11"/>
      <c r="Q77" s="11"/>
      <c r="R77" s="38"/>
      <c r="S77" s="11"/>
      <c r="T77" s="11"/>
      <c r="U77" s="51"/>
      <c r="V77" s="23"/>
      <c r="W77" s="41"/>
      <c r="X77" s="50"/>
      <c r="Y77" s="53"/>
    </row>
    <row r="78" spans="1:25" ht="24.9" customHeight="1">
      <c r="A78" s="45"/>
      <c r="E78" s="57">
        <f t="shared" si="3"/>
        <v>7</v>
      </c>
      <c r="F78" s="58"/>
      <c r="G78" s="58"/>
      <c r="J78" s="47"/>
      <c r="L78" s="9"/>
      <c r="M78" s="11"/>
      <c r="N78" s="11"/>
      <c r="O78" s="11"/>
      <c r="P78" s="11"/>
      <c r="Q78" s="23"/>
      <c r="R78" s="54"/>
      <c r="S78" s="11"/>
      <c r="T78" s="11"/>
      <c r="U78" s="22"/>
      <c r="V78" s="11"/>
      <c r="W78" s="55"/>
      <c r="X78" s="25" t="s">
        <v>31</v>
      </c>
      <c r="Y78" s="56">
        <f>SUM(Y64:Y73)</f>
        <v>283.98041899366018</v>
      </c>
    </row>
    <row r="79" spans="1:25" ht="24.9" customHeight="1">
      <c r="A79" s="45"/>
      <c r="E79" s="57">
        <f t="shared" si="3"/>
        <v>8</v>
      </c>
      <c r="F79" s="58"/>
      <c r="G79" s="58"/>
      <c r="J79" s="47"/>
      <c r="L79" s="9"/>
      <c r="M79" s="11"/>
      <c r="N79" s="11"/>
      <c r="O79" s="11"/>
      <c r="P79" s="11"/>
      <c r="Q79" s="11"/>
      <c r="R79" s="38"/>
      <c r="S79" s="11"/>
      <c r="T79" s="11"/>
      <c r="U79" s="22"/>
      <c r="V79" s="11"/>
      <c r="W79" s="55"/>
      <c r="X79" s="25" t="s">
        <v>30</v>
      </c>
      <c r="Y79" s="56">
        <f>1000/(1+V63)^(W74)</f>
        <v>676.01958100641502</v>
      </c>
    </row>
    <row r="80" spans="1:25" ht="24.9" customHeight="1">
      <c r="A80" s="45"/>
      <c r="E80" s="57">
        <f t="shared" si="3"/>
        <v>9</v>
      </c>
      <c r="F80" s="58"/>
      <c r="G80" s="58"/>
      <c r="J80" s="47"/>
      <c r="L80" s="9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55"/>
      <c r="X80" s="11"/>
      <c r="Y80" s="56">
        <f>Y78+Y79</f>
        <v>960.00000000007526</v>
      </c>
    </row>
    <row r="81" spans="1:25" ht="24.9" customHeight="1">
      <c r="A81" s="45"/>
      <c r="E81" s="57">
        <f t="shared" si="3"/>
        <v>10</v>
      </c>
      <c r="F81" s="58"/>
      <c r="G81" s="58"/>
      <c r="J81" s="47"/>
    </row>
    <row r="82" spans="1:25" ht="24.9" customHeight="1">
      <c r="A82" s="45"/>
      <c r="E82" s="107" t="s">
        <v>59</v>
      </c>
      <c r="F82" s="58"/>
      <c r="G82" s="58"/>
      <c r="J82" s="47"/>
    </row>
    <row r="83" spans="1:25" ht="24.9" customHeight="1">
      <c r="A83" s="45"/>
      <c r="E83" s="106" t="s">
        <v>60</v>
      </c>
      <c r="F83" s="58"/>
      <c r="G83" s="58"/>
      <c r="J83" s="47"/>
    </row>
    <row r="84" spans="1:25" ht="24.9" customHeight="1">
      <c r="A84" s="45"/>
      <c r="E84" s="106" t="s">
        <v>61</v>
      </c>
      <c r="F84" s="58"/>
      <c r="G84" s="58"/>
      <c r="J84" s="47"/>
    </row>
    <row r="85" spans="1:25">
      <c r="A85" s="45"/>
      <c r="J85" s="47"/>
    </row>
    <row r="86" spans="1:25">
      <c r="A86" s="45"/>
      <c r="J86" s="47"/>
    </row>
    <row r="87" spans="1:25">
      <c r="A87" s="45"/>
      <c r="J87" s="47"/>
    </row>
    <row r="88" spans="1:25" ht="15.6">
      <c r="A88" s="44" t="s">
        <v>56</v>
      </c>
      <c r="B88" t="s">
        <v>158</v>
      </c>
      <c r="J88" s="46"/>
      <c r="L88" s="9"/>
      <c r="M88" s="10" t="s">
        <v>62</v>
      </c>
      <c r="N88" s="9"/>
      <c r="O88" s="9"/>
      <c r="P88" s="9"/>
      <c r="Q88" s="9"/>
      <c r="R88" s="9"/>
      <c r="S88" s="9"/>
      <c r="T88" s="60"/>
      <c r="U88" s="9"/>
      <c r="V88" s="9"/>
      <c r="W88" s="61">
        <f>Q93</f>
        <v>4.7E-2</v>
      </c>
      <c r="X88" s="9"/>
      <c r="Y88" s="9"/>
    </row>
    <row r="89" spans="1:25" ht="15.6">
      <c r="A89" s="45"/>
      <c r="B89" t="s">
        <v>159</v>
      </c>
      <c r="J89" s="47"/>
      <c r="L89" s="9"/>
      <c r="M89" s="11"/>
      <c r="N89" s="11"/>
      <c r="O89" s="11"/>
      <c r="P89" s="11"/>
      <c r="Q89" s="11"/>
      <c r="R89" s="11"/>
      <c r="S89" s="11"/>
      <c r="T89" s="38"/>
      <c r="U89" s="25" t="s">
        <v>63</v>
      </c>
      <c r="V89" s="25"/>
      <c r="W89" s="25" t="s">
        <v>64</v>
      </c>
      <c r="X89" s="25"/>
      <c r="Y89" s="25" t="s">
        <v>65</v>
      </c>
    </row>
    <row r="90" spans="1:25" ht="15.6">
      <c r="A90" s="45"/>
      <c r="J90" s="47"/>
      <c r="L90" s="9"/>
      <c r="M90" s="11" t="s">
        <v>11</v>
      </c>
      <c r="N90" s="11"/>
      <c r="O90" s="11"/>
      <c r="P90" s="11"/>
      <c r="Q90" s="12">
        <v>0.05</v>
      </c>
      <c r="R90" s="11"/>
      <c r="S90" s="11"/>
      <c r="T90" s="38"/>
      <c r="U90" s="25" t="s">
        <v>66</v>
      </c>
      <c r="V90" s="25" t="s">
        <v>67</v>
      </c>
      <c r="W90" s="25" t="s">
        <v>67</v>
      </c>
      <c r="X90" s="25" t="s">
        <v>68</v>
      </c>
      <c r="Y90" s="25" t="s">
        <v>68</v>
      </c>
    </row>
    <row r="91" spans="1:25" ht="15.6">
      <c r="A91" s="45" t="s">
        <v>91</v>
      </c>
      <c r="E91" s="95"/>
      <c r="J91" s="47">
        <v>2</v>
      </c>
      <c r="L91" s="9"/>
      <c r="M91" s="11" t="s">
        <v>69</v>
      </c>
      <c r="N91" s="11"/>
      <c r="O91" s="11"/>
      <c r="P91" s="11"/>
      <c r="Q91" s="62">
        <v>1</v>
      </c>
      <c r="R91" s="11"/>
      <c r="S91" s="63" t="s">
        <v>70</v>
      </c>
      <c r="T91" s="38"/>
      <c r="U91" s="11">
        <v>1</v>
      </c>
      <c r="V91" s="64">
        <f>1000*$Q$90</f>
        <v>50</v>
      </c>
      <c r="W91" s="64">
        <f>(V91/((1+$W$88)^U91))</f>
        <v>47.755491881566385</v>
      </c>
      <c r="X91" s="65">
        <f>W91/$W$94</f>
        <v>4.7366335411826416E-2</v>
      </c>
      <c r="Y91" s="65">
        <f>U91*X91</f>
        <v>4.7366335411826416E-2</v>
      </c>
    </row>
    <row r="92" spans="1:25" ht="15.6">
      <c r="A92" s="45"/>
      <c r="J92" s="47"/>
      <c r="L92" s="9"/>
      <c r="M92" s="11" t="s">
        <v>12</v>
      </c>
      <c r="N92" s="11"/>
      <c r="O92" s="11"/>
      <c r="P92" s="11"/>
      <c r="Q92" s="62">
        <v>3</v>
      </c>
      <c r="R92" s="11"/>
      <c r="S92" s="66">
        <v>36526</v>
      </c>
      <c r="T92" s="38"/>
      <c r="U92" s="11">
        <v>2</v>
      </c>
      <c r="V92" s="64">
        <f>1000*$Q$90</f>
        <v>50</v>
      </c>
      <c r="W92" s="64">
        <f>(V92/((1+$W$88)^U92))</f>
        <v>45.611740097007058</v>
      </c>
      <c r="X92" s="65">
        <f>W92/$W$94</f>
        <v>4.524005292438054E-2</v>
      </c>
      <c r="Y92" s="65">
        <f>U92*X92</f>
        <v>9.048010584876108E-2</v>
      </c>
    </row>
    <row r="93" spans="1:25" ht="15.6">
      <c r="A93" s="45"/>
      <c r="J93" s="47"/>
      <c r="L93" s="9"/>
      <c r="M93" s="11" t="s">
        <v>71</v>
      </c>
      <c r="N93" s="11"/>
      <c r="O93" s="11"/>
      <c r="P93" s="11"/>
      <c r="Q93" s="67">
        <v>4.7E-2</v>
      </c>
      <c r="R93" s="11"/>
      <c r="S93" s="66">
        <f>DATE(YEAR(S92)+Q92,MONTH(S92),DAY(S92))</f>
        <v>37622</v>
      </c>
      <c r="T93" s="38"/>
      <c r="U93" s="11">
        <v>3</v>
      </c>
      <c r="V93" s="64">
        <f>1000*$Q$90+1000</f>
        <v>1050</v>
      </c>
      <c r="W93" s="64">
        <f>(V93/((1+$W$88)^U93))</f>
        <v>914.84865524082932</v>
      </c>
      <c r="X93" s="65">
        <f>W93/$W$94</f>
        <v>0.90739361166379306</v>
      </c>
      <c r="Y93" s="65">
        <f>U93*X93</f>
        <v>2.722180834991379</v>
      </c>
    </row>
    <row r="94" spans="1:25" ht="15.6">
      <c r="A94" s="45"/>
      <c r="J94" s="47"/>
      <c r="L94" s="9"/>
      <c r="M94" s="11" t="s">
        <v>72</v>
      </c>
      <c r="N94" s="11"/>
      <c r="O94" s="11"/>
      <c r="P94" s="11"/>
      <c r="Q94" s="68">
        <v>4.7E-2</v>
      </c>
      <c r="R94" s="11"/>
      <c r="S94" s="66"/>
      <c r="T94" s="38"/>
      <c r="U94" s="25" t="s">
        <v>73</v>
      </c>
      <c r="V94" s="64"/>
      <c r="W94" s="69">
        <f>SUM(W91:W93)</f>
        <v>1008.2158872194027</v>
      </c>
      <c r="X94" s="70">
        <f>SUM(X91:X93)</f>
        <v>1</v>
      </c>
      <c r="Y94" s="71">
        <f>SUM(Y91:Y93)</f>
        <v>2.8600272762519663</v>
      </c>
    </row>
    <row r="95" spans="1:25" ht="15.6">
      <c r="A95" s="45"/>
      <c r="J95" s="47"/>
      <c r="L95" s="9"/>
      <c r="M95" s="11"/>
      <c r="N95" s="11"/>
      <c r="O95" s="11"/>
      <c r="P95" s="11"/>
      <c r="Q95" s="11"/>
      <c r="R95" s="11"/>
      <c r="S95" s="66"/>
      <c r="T95" s="38"/>
      <c r="U95" s="11"/>
      <c r="V95" s="64"/>
      <c r="W95" s="64"/>
      <c r="X95" s="65"/>
      <c r="Y95" s="65"/>
    </row>
    <row r="96" spans="1:25" ht="15.6">
      <c r="A96" s="45"/>
      <c r="J96" s="47"/>
      <c r="L96" s="9"/>
      <c r="M96" s="11"/>
      <c r="N96" s="11"/>
      <c r="O96" s="11"/>
      <c r="P96" s="11"/>
      <c r="Q96" s="11"/>
      <c r="R96" s="11"/>
      <c r="S96" s="66"/>
      <c r="T96" s="38"/>
      <c r="U96" s="11"/>
      <c r="V96" s="64"/>
      <c r="W96" s="64"/>
      <c r="X96" s="65"/>
      <c r="Y96" s="65"/>
    </row>
    <row r="97" spans="1:25" ht="15.6">
      <c r="A97" s="45"/>
      <c r="J97" s="47"/>
      <c r="L97" s="9"/>
      <c r="M97" s="11"/>
      <c r="N97" s="11"/>
      <c r="O97" s="11"/>
      <c r="P97" s="11"/>
      <c r="Q97" s="11"/>
      <c r="R97" s="11"/>
      <c r="S97" s="66"/>
      <c r="T97" s="38"/>
      <c r="U97" s="11"/>
      <c r="V97" s="64"/>
      <c r="W97" s="64"/>
      <c r="X97" s="65"/>
      <c r="Y97" s="65"/>
    </row>
    <row r="98" spans="1:25" ht="15.6">
      <c r="A98" s="45"/>
      <c r="J98" s="47"/>
      <c r="L98" s="9"/>
      <c r="R98" s="11"/>
      <c r="S98" s="11"/>
      <c r="T98" s="38"/>
    </row>
    <row r="99" spans="1:25" ht="15.6">
      <c r="A99" s="45"/>
      <c r="J99" s="47"/>
      <c r="L99" s="9"/>
      <c r="M99" s="11"/>
      <c r="N99" s="11"/>
      <c r="O99" s="11"/>
      <c r="P99" s="11"/>
      <c r="Q99" s="11"/>
      <c r="R99" s="11"/>
      <c r="S99" s="11"/>
      <c r="T99" s="38"/>
      <c r="U99" s="11"/>
      <c r="V99" s="11"/>
      <c r="W99" s="11"/>
      <c r="X99" s="11"/>
      <c r="Y99" s="11"/>
    </row>
    <row r="100" spans="1:25" ht="15.6">
      <c r="A100" s="45"/>
      <c r="J100" s="47"/>
      <c r="L100" s="14" t="s">
        <v>0</v>
      </c>
      <c r="M100" s="11"/>
      <c r="N100" s="11"/>
      <c r="O100" s="11"/>
      <c r="P100" s="11"/>
      <c r="Q100" s="11"/>
      <c r="R100" s="11"/>
      <c r="S100" s="11"/>
      <c r="T100" s="38"/>
      <c r="U100" s="11"/>
      <c r="V100" s="11"/>
      <c r="W100" s="72">
        <f>Q94</f>
        <v>4.7E-2</v>
      </c>
      <c r="X100" s="11"/>
      <c r="Y100" s="11"/>
    </row>
    <row r="101" spans="1:25" ht="15.6">
      <c r="A101" s="45"/>
      <c r="J101" s="47"/>
      <c r="L101" s="9"/>
      <c r="M101" s="11"/>
      <c r="N101" s="11"/>
      <c r="O101" s="11"/>
      <c r="P101" s="11"/>
      <c r="Q101" s="11"/>
      <c r="R101" s="11"/>
      <c r="S101" s="11"/>
      <c r="T101" s="38"/>
      <c r="U101" s="25" t="s">
        <v>63</v>
      </c>
      <c r="V101" s="25"/>
      <c r="W101" s="25" t="s">
        <v>64</v>
      </c>
      <c r="X101" s="25"/>
      <c r="Y101" s="25" t="s">
        <v>65</v>
      </c>
    </row>
    <row r="102" spans="1:25" ht="15.6">
      <c r="A102" s="45"/>
      <c r="J102" s="47"/>
      <c r="L102" s="9"/>
      <c r="M102" s="11" t="s">
        <v>74</v>
      </c>
      <c r="N102" s="11"/>
      <c r="O102" s="73">
        <f>DURATION(S92,S93,Q90,Q93,Q91)</f>
        <v>2.8600272762519672</v>
      </c>
      <c r="P102" s="74"/>
      <c r="Q102" s="11"/>
      <c r="R102" s="11"/>
      <c r="S102" s="11"/>
      <c r="T102" s="38"/>
      <c r="U102" s="25" t="s">
        <v>66</v>
      </c>
      <c r="V102" s="25" t="s">
        <v>67</v>
      </c>
      <c r="W102" s="25" t="s">
        <v>67</v>
      </c>
      <c r="X102" s="25" t="s">
        <v>68</v>
      </c>
      <c r="Y102" s="25" t="s">
        <v>68</v>
      </c>
    </row>
    <row r="103" spans="1:25" ht="15.6">
      <c r="A103" s="44" t="s">
        <v>79</v>
      </c>
      <c r="B103" t="s">
        <v>160</v>
      </c>
      <c r="J103" s="46"/>
      <c r="L103" s="9"/>
      <c r="M103" s="11" t="s">
        <v>75</v>
      </c>
      <c r="N103" s="11"/>
      <c r="O103" s="75">
        <f>DURATION(S92,S93,Q90,Q94,Q91)</f>
        <v>2.8600272762519672</v>
      </c>
      <c r="P103" s="11"/>
      <c r="Q103" s="11"/>
      <c r="R103" s="11"/>
      <c r="S103" s="11"/>
      <c r="T103" s="38"/>
      <c r="U103" s="11">
        <v>1</v>
      </c>
      <c r="V103" s="64">
        <f>1000*$Q$90</f>
        <v>50</v>
      </c>
      <c r="W103" s="64">
        <f>(V103/((1+$W$100)^U103))</f>
        <v>47.755491881566385</v>
      </c>
      <c r="X103" s="65">
        <f>W103/$W$106</f>
        <v>4.7366335411826416E-2</v>
      </c>
      <c r="Y103" s="65">
        <f>U103*X103</f>
        <v>4.7366335411826416E-2</v>
      </c>
    </row>
    <row r="104" spans="1:25" ht="15.6">
      <c r="A104" s="45"/>
      <c r="B104" t="s">
        <v>161</v>
      </c>
      <c r="J104" s="47"/>
      <c r="L104" s="9"/>
      <c r="M104" s="11" t="s">
        <v>76</v>
      </c>
      <c r="N104" s="11"/>
      <c r="O104" s="73">
        <f>MDURATION(S92,S93,Q90,Q93,Q91)</f>
        <v>2.7316401874421845</v>
      </c>
      <c r="P104" s="11"/>
      <c r="Q104" s="76">
        <f>O102/(1+Q93)</f>
        <v>2.7316401874421845</v>
      </c>
      <c r="R104" s="11"/>
      <c r="S104" s="11" t="s">
        <v>77</v>
      </c>
      <c r="T104" s="38"/>
      <c r="U104" s="11">
        <v>2</v>
      </c>
      <c r="V104" s="64">
        <f>1000*$Q$90</f>
        <v>50</v>
      </c>
      <c r="W104" s="64">
        <f>(V104/((1+$W$100)^U104))</f>
        <v>45.611740097007058</v>
      </c>
      <c r="X104" s="65">
        <f>W104/$W$106</f>
        <v>4.524005292438054E-2</v>
      </c>
      <c r="Y104" s="65">
        <f>U104*X104</f>
        <v>9.048010584876108E-2</v>
      </c>
    </row>
    <row r="105" spans="1:25" ht="15.6">
      <c r="A105" s="20"/>
      <c r="J105" s="47"/>
      <c r="L105" s="9"/>
      <c r="M105" s="11" t="s">
        <v>78</v>
      </c>
      <c r="N105" s="11"/>
      <c r="O105" s="75">
        <f>MDURATION(S92,S93,Q90,Q94,Q91)</f>
        <v>2.7316401874421845</v>
      </c>
      <c r="P105" s="11"/>
      <c r="Q105" s="76">
        <f>O103/(1+Q94)</f>
        <v>2.7316401874421845</v>
      </c>
      <c r="R105" s="11"/>
      <c r="S105" s="11" t="s">
        <v>77</v>
      </c>
      <c r="T105" s="38"/>
      <c r="U105" s="11">
        <v>3</v>
      </c>
      <c r="V105" s="64">
        <f>1000*$Q$90+1000</f>
        <v>1050</v>
      </c>
      <c r="W105" s="64">
        <f>(V105/((1+$W$100)^U105))</f>
        <v>914.84865524082932</v>
      </c>
      <c r="X105" s="65">
        <f>W105/$W$106</f>
        <v>0.90739361166379306</v>
      </c>
      <c r="Y105" s="65">
        <f>U105*X105</f>
        <v>2.722180834991379</v>
      </c>
    </row>
    <row r="106" spans="1:25" ht="15.6">
      <c r="A106" s="20" t="s">
        <v>91</v>
      </c>
      <c r="E106" s="95"/>
      <c r="J106" s="47">
        <v>2</v>
      </c>
      <c r="L106" s="9"/>
      <c r="U106" s="25" t="s">
        <v>73</v>
      </c>
      <c r="V106" s="64"/>
      <c r="W106" s="69">
        <f>SUM(W103:W105)</f>
        <v>1008.2158872194027</v>
      </c>
      <c r="X106" s="70">
        <f>SUM(X103:X105)</f>
        <v>1</v>
      </c>
      <c r="Y106" s="77">
        <f>SUM(Y103:Y105)</f>
        <v>2.8600272762519663</v>
      </c>
    </row>
    <row r="107" spans="1:25" ht="15.6">
      <c r="A107" s="20"/>
      <c r="J107" s="47"/>
      <c r="L107" s="9"/>
      <c r="U107" s="11"/>
      <c r="V107" s="11"/>
      <c r="W107" s="11"/>
      <c r="X107" s="11"/>
      <c r="Y107" s="11"/>
    </row>
    <row r="108" spans="1:25" ht="15.6">
      <c r="A108" s="20"/>
      <c r="J108" s="47"/>
      <c r="L108" s="9"/>
      <c r="U108" s="11"/>
      <c r="V108" s="11"/>
      <c r="W108" s="11"/>
      <c r="X108" s="11"/>
      <c r="Y108" s="11"/>
    </row>
    <row r="109" spans="1:25" ht="15.6">
      <c r="A109" s="20"/>
      <c r="J109" s="47"/>
      <c r="L109" s="9"/>
      <c r="U109" s="11"/>
      <c r="V109" s="11"/>
      <c r="W109" s="11"/>
      <c r="X109" s="11"/>
      <c r="Y109" s="11"/>
    </row>
    <row r="110" spans="1:25">
      <c r="A110" s="20"/>
      <c r="J110" s="47"/>
    </row>
    <row r="111" spans="1:25">
      <c r="A111" s="20"/>
      <c r="J111" s="47"/>
    </row>
    <row r="112" spans="1:25">
      <c r="A112" s="20"/>
      <c r="J112" s="47"/>
    </row>
    <row r="113" spans="1:42">
      <c r="A113" s="20"/>
      <c r="J113" s="47"/>
    </row>
    <row r="114" spans="1:42" ht="15.6">
      <c r="A114" s="44" t="s">
        <v>80</v>
      </c>
      <c r="B114" t="s">
        <v>84</v>
      </c>
      <c r="J114" s="46"/>
      <c r="L114" s="9"/>
      <c r="M114" s="10" t="s">
        <v>62</v>
      </c>
      <c r="N114" s="9"/>
      <c r="O114" s="9"/>
      <c r="P114" s="9"/>
      <c r="Q114" s="9"/>
      <c r="R114" s="9"/>
      <c r="S114" s="9"/>
      <c r="AH114" s="9"/>
      <c r="AI114" s="23" t="s">
        <v>9</v>
      </c>
      <c r="AJ114" s="11"/>
      <c r="AK114" s="24">
        <v>1027</v>
      </c>
      <c r="AL114" s="11"/>
      <c r="AM114" s="22"/>
      <c r="AN114" s="25" t="s">
        <v>24</v>
      </c>
      <c r="AO114" s="26">
        <v>42004</v>
      </c>
    </row>
    <row r="115" spans="1:42" ht="15.6">
      <c r="A115" s="45"/>
      <c r="B115" t="s">
        <v>81</v>
      </c>
      <c r="J115" s="47"/>
      <c r="L115" s="9"/>
      <c r="M115" s="11"/>
      <c r="N115" s="11"/>
      <c r="O115" s="11"/>
      <c r="P115" s="11"/>
      <c r="Q115" s="11"/>
      <c r="R115" s="11"/>
      <c r="S115" s="11"/>
      <c r="AB115" s="9"/>
      <c r="AC115" s="10" t="s">
        <v>9</v>
      </c>
      <c r="AD115" s="9"/>
      <c r="AE115" s="9"/>
      <c r="AF115" s="9"/>
      <c r="AH115" s="9"/>
      <c r="AI115" s="23" t="s">
        <v>12</v>
      </c>
      <c r="AJ115" s="11"/>
      <c r="AK115" s="27">
        <v>9</v>
      </c>
      <c r="AL115" s="11"/>
      <c r="AM115" s="22"/>
      <c r="AN115" s="25" t="s">
        <v>25</v>
      </c>
      <c r="AO115" s="26">
        <v>45291</v>
      </c>
    </row>
    <row r="116" spans="1:42" ht="15.6">
      <c r="A116" s="20"/>
      <c r="J116" s="47"/>
      <c r="L116" s="9"/>
      <c r="M116" s="11" t="s">
        <v>11</v>
      </c>
      <c r="N116" s="11"/>
      <c r="O116" s="11"/>
      <c r="P116" s="11"/>
      <c r="Q116" s="12">
        <v>5.2999999999999999E-2</v>
      </c>
      <c r="R116" s="11"/>
      <c r="S116" s="11"/>
      <c r="AB116" s="9"/>
      <c r="AC116" s="11"/>
      <c r="AD116" s="11"/>
      <c r="AE116" s="11"/>
      <c r="AF116" s="11"/>
      <c r="AH116" s="9"/>
      <c r="AI116" s="23" t="s">
        <v>1</v>
      </c>
      <c r="AJ116" s="11"/>
      <c r="AK116" s="28">
        <v>5.2999999999999999E-2</v>
      </c>
      <c r="AL116" s="11"/>
      <c r="AM116" s="22"/>
      <c r="AN116" s="25" t="s">
        <v>26</v>
      </c>
      <c r="AO116" s="29">
        <f>AK116</f>
        <v>5.2999999999999999E-2</v>
      </c>
    </row>
    <row r="117" spans="1:42" ht="15.6">
      <c r="A117" s="20" t="s">
        <v>91</v>
      </c>
      <c r="B117" t="s">
        <v>52</v>
      </c>
      <c r="E117" s="88"/>
      <c r="J117" s="47">
        <v>2</v>
      </c>
      <c r="L117" s="9"/>
      <c r="M117" s="11" t="s">
        <v>69</v>
      </c>
      <c r="N117" s="11"/>
      <c r="O117" s="11"/>
      <c r="P117" s="11"/>
      <c r="Q117" s="62">
        <v>2</v>
      </c>
      <c r="R117" s="11"/>
      <c r="S117" s="63" t="s">
        <v>70</v>
      </c>
      <c r="AB117" s="9"/>
      <c r="AC117" s="11" t="s">
        <v>1</v>
      </c>
      <c r="AD117" s="11"/>
      <c r="AE117" s="12">
        <v>5.2999999999999999E-2</v>
      </c>
      <c r="AF117" s="11"/>
      <c r="AH117" s="9"/>
      <c r="AI117" s="11"/>
      <c r="AJ117" s="11"/>
      <c r="AK117" s="11"/>
      <c r="AL117" s="11"/>
      <c r="AM117" s="22"/>
      <c r="AN117" s="25" t="s">
        <v>27</v>
      </c>
      <c r="AO117" s="30">
        <f>AK114/10</f>
        <v>102.7</v>
      </c>
    </row>
    <row r="118" spans="1:42" ht="15.6">
      <c r="A118" s="20"/>
      <c r="J118" s="47"/>
      <c r="L118" s="9"/>
      <c r="M118" s="11" t="s">
        <v>12</v>
      </c>
      <c r="N118" s="11"/>
      <c r="O118" s="11"/>
      <c r="P118" s="11"/>
      <c r="Q118" s="62">
        <v>9</v>
      </c>
      <c r="R118" s="11"/>
      <c r="S118" s="66">
        <v>36526</v>
      </c>
      <c r="AB118" s="9"/>
      <c r="AC118" s="11" t="s">
        <v>5</v>
      </c>
      <c r="AD118" s="11"/>
      <c r="AE118" s="12">
        <f>AE119/2</f>
        <v>2.6499999999999999E-2</v>
      </c>
      <c r="AF118" s="11"/>
      <c r="AH118" s="35" t="s">
        <v>0</v>
      </c>
      <c r="AI118" s="23"/>
      <c r="AJ118" s="23"/>
      <c r="AK118" s="23"/>
      <c r="AL118" s="11"/>
      <c r="AM118" s="22"/>
      <c r="AN118" s="25" t="s">
        <v>10</v>
      </c>
      <c r="AO118" s="30">
        <f>1000/10</f>
        <v>100</v>
      </c>
    </row>
    <row r="119" spans="1:42" ht="15.6">
      <c r="A119" s="20"/>
      <c r="J119" s="47"/>
      <c r="L119" s="9"/>
      <c r="M119" s="11" t="s">
        <v>71</v>
      </c>
      <c r="N119" s="11"/>
      <c r="O119" s="11"/>
      <c r="P119" s="11"/>
      <c r="Q119" s="78">
        <f>AK120</f>
        <v>4.9249969482844845E-2</v>
      </c>
      <c r="R119" s="11"/>
      <c r="S119" s="66">
        <f>DATE(YEAR(S118)+Q118,MONTH(S118),DAY(S118))</f>
        <v>39814</v>
      </c>
      <c r="AB119" s="9"/>
      <c r="AC119" s="11" t="s">
        <v>38</v>
      </c>
      <c r="AD119" s="11"/>
      <c r="AE119" s="12">
        <v>5.2999999999999999E-2</v>
      </c>
      <c r="AF119" s="11"/>
      <c r="AH119" s="39" t="s">
        <v>16</v>
      </c>
      <c r="AI119" s="23" t="s">
        <v>4</v>
      </c>
      <c r="AJ119" s="23"/>
      <c r="AK119" s="40">
        <f>AK116*1000/AK114</f>
        <v>5.1606621226874393E-2</v>
      </c>
      <c r="AL119" s="42">
        <f>AK119</f>
        <v>5.1606621226874393E-2</v>
      </c>
      <c r="AM119" s="22"/>
      <c r="AN119" s="25" t="s">
        <v>28</v>
      </c>
      <c r="AO119" s="23">
        <v>2</v>
      </c>
    </row>
    <row r="120" spans="1:42" ht="15.6">
      <c r="A120" s="20"/>
      <c r="J120" s="47"/>
      <c r="L120" s="9"/>
      <c r="M120" s="11" t="s">
        <v>72</v>
      </c>
      <c r="N120" s="11"/>
      <c r="O120" s="11"/>
      <c r="P120" s="11"/>
      <c r="Q120" s="79">
        <f>Q119</f>
        <v>4.9249969482844845E-2</v>
      </c>
      <c r="R120" s="11"/>
      <c r="S120" s="11"/>
      <c r="AB120" s="9"/>
      <c r="AC120" s="11" t="s">
        <v>6</v>
      </c>
      <c r="AD120" s="11"/>
      <c r="AE120" s="13">
        <v>9</v>
      </c>
      <c r="AF120" s="11"/>
      <c r="AH120" s="39" t="s">
        <v>17</v>
      </c>
      <c r="AI120" s="23" t="s">
        <v>3</v>
      </c>
      <c r="AJ120" s="23"/>
      <c r="AK120" s="43">
        <f>RATE(AK115*2,(AK116/2)*1000,-AK114,1000)*2</f>
        <v>4.9249969482844845E-2</v>
      </c>
      <c r="AL120" s="42">
        <f>AK120</f>
        <v>4.9249969482844845E-2</v>
      </c>
      <c r="AM120" s="22"/>
      <c r="AN120" s="25" t="s">
        <v>34</v>
      </c>
      <c r="AO120" s="31">
        <f>YIELD(AO114,AO115,AO116,AO117,AO118,AO119)</f>
        <v>4.9249969482844311E-2</v>
      </c>
    </row>
    <row r="121" spans="1:42" ht="15.6">
      <c r="A121" s="20"/>
      <c r="J121" s="47"/>
      <c r="L121" s="9"/>
      <c r="M121" s="11"/>
      <c r="N121" s="11"/>
      <c r="O121" s="11"/>
      <c r="P121" s="11"/>
      <c r="Q121" s="79"/>
      <c r="R121" s="11"/>
      <c r="S121" s="11"/>
      <c r="AB121" s="9"/>
      <c r="AC121" s="11"/>
      <c r="AD121" s="11"/>
      <c r="AE121" s="13"/>
      <c r="AF121" s="11"/>
      <c r="AH121" s="39"/>
      <c r="AI121" s="23"/>
      <c r="AJ121" s="23"/>
      <c r="AK121" s="43"/>
      <c r="AL121" s="42"/>
      <c r="AM121" s="22"/>
      <c r="AN121" s="25"/>
      <c r="AO121" s="31"/>
    </row>
    <row r="122" spans="1:42" ht="15.6">
      <c r="A122" s="20"/>
      <c r="J122" s="47"/>
      <c r="L122" s="9"/>
      <c r="M122" s="11"/>
      <c r="N122" s="11"/>
      <c r="O122" s="11"/>
      <c r="P122" s="11"/>
      <c r="Q122" s="11"/>
      <c r="R122" s="11"/>
      <c r="S122" s="11"/>
      <c r="AB122" s="14" t="s">
        <v>0</v>
      </c>
      <c r="AC122" s="11"/>
      <c r="AD122" s="11"/>
      <c r="AE122" s="11"/>
      <c r="AF122" s="11"/>
      <c r="AK122" t="s">
        <v>32</v>
      </c>
      <c r="AM122" s="22"/>
      <c r="AN122" s="32" t="s">
        <v>33</v>
      </c>
      <c r="AO122" s="11"/>
    </row>
    <row r="123" spans="1:42" ht="15.6">
      <c r="A123" s="20" t="s">
        <v>91</v>
      </c>
      <c r="B123" t="s">
        <v>85</v>
      </c>
      <c r="E123" s="95"/>
      <c r="J123" s="47">
        <v>2</v>
      </c>
      <c r="L123" s="14" t="s">
        <v>0</v>
      </c>
      <c r="M123" s="11"/>
      <c r="N123" s="11"/>
      <c r="O123" s="11"/>
      <c r="P123" s="11"/>
      <c r="Q123" s="11"/>
      <c r="R123" s="11"/>
      <c r="S123" s="11"/>
      <c r="AB123" s="9"/>
      <c r="AC123" s="11" t="s">
        <v>7</v>
      </c>
      <c r="AD123" s="11"/>
      <c r="AE123" s="11"/>
      <c r="AF123" s="15">
        <f>-PV(AE118,AE120*2,AE117*1000/2,1000)</f>
        <v>1000</v>
      </c>
      <c r="AH123" s="9"/>
      <c r="AI123" s="11"/>
      <c r="AJ123" s="11"/>
      <c r="AK123" s="11"/>
      <c r="AL123" s="11"/>
      <c r="AM123" s="11"/>
      <c r="AN123" s="11"/>
      <c r="AO123" s="11"/>
      <c r="AP123" s="11"/>
    </row>
    <row r="124" spans="1:42" ht="15.6">
      <c r="A124" s="20"/>
      <c r="J124" s="47"/>
      <c r="L124" s="14"/>
      <c r="M124" s="11"/>
      <c r="N124" s="11"/>
      <c r="O124" s="11"/>
      <c r="P124" s="11"/>
      <c r="Q124" s="11"/>
      <c r="R124" s="11"/>
      <c r="S124" s="11"/>
      <c r="AB124" s="9"/>
      <c r="AC124" s="11"/>
      <c r="AD124" s="11"/>
      <c r="AE124" s="11"/>
      <c r="AF124" s="15"/>
      <c r="AH124" s="9"/>
      <c r="AI124" s="11"/>
      <c r="AJ124" s="11"/>
      <c r="AK124" s="11"/>
      <c r="AL124" s="11"/>
      <c r="AM124" s="11"/>
      <c r="AN124" s="11"/>
      <c r="AO124" s="11"/>
      <c r="AP124" s="11"/>
    </row>
    <row r="125" spans="1:42" ht="15.6">
      <c r="A125" s="20"/>
      <c r="J125" s="47"/>
      <c r="L125" s="9"/>
      <c r="M125" s="11"/>
      <c r="N125" s="11"/>
      <c r="O125" s="11"/>
      <c r="P125" s="11"/>
      <c r="Q125" s="11"/>
      <c r="R125" s="11"/>
      <c r="S125" s="11"/>
    </row>
    <row r="126" spans="1:42" ht="15.6">
      <c r="A126" s="20"/>
      <c r="J126" s="47"/>
      <c r="L126" s="9"/>
      <c r="M126" s="11" t="s">
        <v>74</v>
      </c>
      <c r="N126" s="11"/>
      <c r="O126" s="73">
        <f>DURATION(S118,S119,Q116,Q119,Q117)</f>
        <v>7.2995894407085924</v>
      </c>
      <c r="P126" s="74"/>
      <c r="Q126" s="11"/>
      <c r="R126" s="11"/>
      <c r="S126" s="11"/>
    </row>
    <row r="127" spans="1:42" ht="15.6">
      <c r="A127" s="20"/>
      <c r="J127" s="47"/>
      <c r="L127" s="9"/>
      <c r="M127" s="11" t="s">
        <v>75</v>
      </c>
      <c r="N127" s="11"/>
      <c r="O127" s="75">
        <f>DURATION(S118,S119,Q116,Q120,Q117)</f>
        <v>7.2995894407085924</v>
      </c>
      <c r="P127" s="11"/>
      <c r="Q127" s="11"/>
      <c r="R127" s="11"/>
      <c r="S127" s="11"/>
    </row>
    <row r="128" spans="1:42" ht="15.6">
      <c r="A128" s="20"/>
      <c r="J128" s="47"/>
      <c r="L128" s="9"/>
      <c r="M128" s="11" t="s">
        <v>76</v>
      </c>
      <c r="N128" s="11"/>
      <c r="O128" s="73">
        <f>MDURATION(S118,S119,Q116,Q119,Q117)</f>
        <v>7.1241571788831015</v>
      </c>
      <c r="P128" s="11"/>
      <c r="Q128" s="76">
        <f>O126/(1+Q119)</f>
        <v>6.956959402444796</v>
      </c>
      <c r="R128" s="11"/>
      <c r="S128" s="11" t="s">
        <v>77</v>
      </c>
    </row>
    <row r="129" spans="1:20" ht="15.6">
      <c r="A129" s="20"/>
      <c r="J129" s="47"/>
      <c r="L129" s="9"/>
      <c r="M129" s="11"/>
      <c r="N129" s="11"/>
      <c r="O129" s="73"/>
      <c r="P129" s="11"/>
      <c r="Q129" s="76"/>
      <c r="R129" s="11"/>
      <c r="S129" s="11"/>
    </row>
    <row r="130" spans="1:20" ht="15.6">
      <c r="A130" s="20"/>
      <c r="J130" s="47"/>
      <c r="L130" s="9"/>
      <c r="M130" s="11"/>
      <c r="N130" s="11"/>
      <c r="O130" s="73"/>
      <c r="P130" s="11"/>
      <c r="Q130" s="76"/>
      <c r="R130" s="11"/>
      <c r="S130" s="11"/>
    </row>
    <row r="131" spans="1:20" ht="15.6">
      <c r="A131" s="20"/>
      <c r="J131" s="47"/>
      <c r="L131" s="9"/>
      <c r="M131" s="11"/>
      <c r="N131" s="11"/>
      <c r="O131" s="73"/>
      <c r="P131" s="11"/>
      <c r="Q131" s="76"/>
      <c r="R131" s="11"/>
      <c r="S131" s="11"/>
    </row>
    <row r="132" spans="1:20" ht="15.6">
      <c r="A132" s="20"/>
      <c r="J132" s="47"/>
      <c r="L132" s="9"/>
      <c r="M132" s="11"/>
      <c r="N132" s="11"/>
      <c r="O132" s="73"/>
      <c r="P132" s="11"/>
      <c r="Q132" s="76"/>
      <c r="R132" s="11"/>
      <c r="S132" s="11"/>
    </row>
    <row r="133" spans="1:20" ht="15.6">
      <c r="A133" s="20"/>
      <c r="J133" s="47"/>
      <c r="L133" s="9"/>
      <c r="M133" s="11"/>
      <c r="N133" s="11"/>
      <c r="O133" s="73"/>
      <c r="P133" s="11"/>
      <c r="Q133" s="76"/>
      <c r="R133" s="11"/>
      <c r="S133" s="11"/>
    </row>
    <row r="134" spans="1:20" ht="15.6">
      <c r="A134" s="20"/>
      <c r="J134" s="47"/>
      <c r="L134" s="9"/>
      <c r="M134" s="11" t="s">
        <v>78</v>
      </c>
      <c r="N134" s="11"/>
      <c r="O134" s="75">
        <f>MDURATION(S118,S119,Q116,Q120,Q117)</f>
        <v>7.1241571788831015</v>
      </c>
      <c r="P134" s="11"/>
      <c r="Q134" s="76">
        <f>O127/(1+Q120)</f>
        <v>6.956959402444796</v>
      </c>
      <c r="R134" s="11"/>
      <c r="S134" s="11" t="s">
        <v>77</v>
      </c>
    </row>
    <row r="135" spans="1:20" ht="15.6">
      <c r="A135" s="44" t="s">
        <v>86</v>
      </c>
      <c r="B135" t="s">
        <v>162</v>
      </c>
      <c r="J135" s="46"/>
      <c r="L135" s="9"/>
    </row>
    <row r="136" spans="1:20" ht="15.6">
      <c r="A136" s="20"/>
      <c r="B136" t="s">
        <v>163</v>
      </c>
      <c r="J136" s="47"/>
      <c r="M136" s="9"/>
      <c r="N136" s="10" t="s">
        <v>95</v>
      </c>
      <c r="O136" s="9"/>
      <c r="P136" s="9"/>
      <c r="Q136" s="9"/>
      <c r="R136" s="9"/>
      <c r="S136" s="21"/>
      <c r="T136" s="21"/>
    </row>
    <row r="137" spans="1:20" ht="15.6">
      <c r="A137" s="20"/>
      <c r="B137" t="s">
        <v>87</v>
      </c>
      <c r="J137" s="47"/>
      <c r="M137" s="9"/>
      <c r="N137" s="11" t="s">
        <v>62</v>
      </c>
      <c r="O137" s="11"/>
      <c r="P137" s="11"/>
      <c r="Q137" s="11"/>
      <c r="R137" s="80">
        <v>14.654</v>
      </c>
      <c r="S137" s="21"/>
      <c r="T137" s="21"/>
    </row>
    <row r="138" spans="1:20" ht="15.6">
      <c r="A138" s="20"/>
      <c r="J138" s="47"/>
      <c r="M138" s="9"/>
      <c r="N138" s="11" t="s">
        <v>3</v>
      </c>
      <c r="O138" s="11"/>
      <c r="P138" s="11"/>
      <c r="Q138" s="11"/>
      <c r="R138" s="81">
        <v>7.1999999999999995E-2</v>
      </c>
      <c r="S138" s="21"/>
      <c r="T138" s="21"/>
    </row>
    <row r="139" spans="1:20" ht="15.6">
      <c r="A139" s="20" t="s">
        <v>91</v>
      </c>
      <c r="E139" s="88"/>
      <c r="J139" s="47">
        <v>2</v>
      </c>
      <c r="M139" s="9"/>
      <c r="N139" s="11" t="s">
        <v>96</v>
      </c>
      <c r="O139" s="11"/>
      <c r="P139" s="11"/>
      <c r="Q139" s="11"/>
      <c r="R139" s="12">
        <v>4.0000000000000001E-3</v>
      </c>
      <c r="S139" s="21"/>
      <c r="T139" s="21"/>
    </row>
    <row r="140" spans="1:20" ht="15.6">
      <c r="A140" s="20"/>
      <c r="J140" s="47"/>
      <c r="M140" s="14" t="s">
        <v>0</v>
      </c>
      <c r="N140" s="11"/>
      <c r="O140" s="11"/>
      <c r="P140" s="11"/>
      <c r="Q140" s="11"/>
      <c r="R140" s="12"/>
      <c r="S140" s="21"/>
      <c r="T140" s="21"/>
    </row>
    <row r="141" spans="1:20" ht="15.6">
      <c r="A141" s="20"/>
      <c r="J141" s="47"/>
      <c r="M141" s="9"/>
      <c r="N141" s="11" t="s">
        <v>97</v>
      </c>
      <c r="O141" s="11"/>
      <c r="P141" s="104">
        <f>-R137*(R139/(1+R138))</f>
        <v>-5.4679104477611942E-2</v>
      </c>
      <c r="Q141" s="11"/>
      <c r="R141" s="11"/>
      <c r="S141" s="21"/>
      <c r="T141" s="21"/>
    </row>
    <row r="142" spans="1:20" ht="15.6">
      <c r="A142" s="20"/>
      <c r="J142" s="47"/>
      <c r="P142" s="104">
        <f>(-R137/(1+R138))*R139</f>
        <v>-5.4679104477611935E-2</v>
      </c>
      <c r="S142" s="21"/>
      <c r="T142" s="21"/>
    </row>
    <row r="143" spans="1:20" ht="15.6">
      <c r="A143" s="20"/>
      <c r="J143" s="47"/>
      <c r="S143" s="21"/>
      <c r="T143" s="21"/>
    </row>
    <row r="144" spans="1:20" ht="15.6">
      <c r="A144" s="20"/>
      <c r="J144" s="47"/>
      <c r="N144" s="11"/>
      <c r="O144" s="11"/>
      <c r="P144" s="11"/>
      <c r="Q144" s="11"/>
      <c r="R144" s="11"/>
      <c r="S144" s="21"/>
      <c r="T144" s="21"/>
    </row>
    <row r="145" spans="1:20" ht="15.6">
      <c r="A145" s="20"/>
      <c r="J145" s="47"/>
      <c r="M145" s="9"/>
      <c r="N145" s="11"/>
      <c r="O145" s="11"/>
      <c r="P145" s="11"/>
      <c r="Q145" s="11"/>
      <c r="R145" s="11"/>
      <c r="S145" s="21"/>
      <c r="T145" s="21"/>
    </row>
    <row r="146" spans="1:20" ht="15.6">
      <c r="A146" s="44" t="s">
        <v>88</v>
      </c>
      <c r="B146" t="s">
        <v>89</v>
      </c>
      <c r="J146" s="46"/>
      <c r="M146" s="9"/>
      <c r="N146" s="11"/>
      <c r="O146" s="11"/>
      <c r="P146" s="11"/>
      <c r="Q146" s="11"/>
      <c r="R146" s="11"/>
      <c r="S146" s="21"/>
      <c r="T146" s="21"/>
    </row>
    <row r="147" spans="1:20" ht="15.6">
      <c r="A147" s="20"/>
      <c r="B147" t="s">
        <v>90</v>
      </c>
      <c r="J147" s="47"/>
      <c r="M147" s="9"/>
      <c r="N147" s="11"/>
      <c r="O147" s="11"/>
      <c r="P147" s="11"/>
      <c r="Q147" s="11"/>
      <c r="R147" s="11"/>
      <c r="S147" s="21"/>
      <c r="T147" s="21"/>
    </row>
    <row r="148" spans="1:20" ht="15.6">
      <c r="A148" s="20"/>
      <c r="J148" s="47"/>
      <c r="M148" s="9"/>
      <c r="N148" s="11"/>
      <c r="O148" s="11"/>
      <c r="P148" s="11"/>
      <c r="Q148" s="11"/>
      <c r="R148" s="11"/>
      <c r="S148" s="21"/>
      <c r="T148" s="21"/>
    </row>
    <row r="149" spans="1:20" ht="15.6">
      <c r="A149" s="20" t="s">
        <v>91</v>
      </c>
      <c r="J149" s="47">
        <v>2</v>
      </c>
      <c r="M149" s="9"/>
      <c r="N149" s="11"/>
      <c r="O149" s="11"/>
      <c r="P149" s="11"/>
      <c r="Q149" s="11"/>
      <c r="R149" s="11"/>
      <c r="S149" s="21"/>
      <c r="T149" s="21"/>
    </row>
    <row r="150" spans="1:20" ht="15.6">
      <c r="J150" s="47"/>
      <c r="M150" s="9"/>
      <c r="N150" s="11"/>
      <c r="O150" s="11"/>
      <c r="P150" s="11"/>
      <c r="Q150" s="11"/>
      <c r="R150" s="11"/>
      <c r="S150" s="21"/>
      <c r="T150" s="21"/>
    </row>
    <row r="151" spans="1:20" ht="15.6">
      <c r="J151" s="47"/>
      <c r="M151" s="9"/>
      <c r="N151" s="11"/>
      <c r="O151" s="11"/>
      <c r="P151" s="11"/>
      <c r="Q151" s="11"/>
      <c r="R151" s="11"/>
      <c r="S151" s="21"/>
      <c r="T151" s="21"/>
    </row>
    <row r="152" spans="1:20" ht="15.6">
      <c r="M152" s="9"/>
      <c r="N152" s="11"/>
      <c r="O152" s="11"/>
      <c r="P152" s="11"/>
      <c r="Q152" s="11"/>
      <c r="R152" s="11"/>
      <c r="S152" s="21"/>
      <c r="T152" s="21"/>
    </row>
    <row r="153" spans="1:20" ht="15.6">
      <c r="M153" s="9"/>
      <c r="N153" s="11"/>
      <c r="O153" s="11"/>
      <c r="P153" s="11"/>
      <c r="Q153" s="11"/>
      <c r="R153" s="11"/>
      <c r="S153" s="21"/>
      <c r="T153" s="21"/>
    </row>
    <row r="154" spans="1:20" ht="15.6">
      <c r="J154" s="8">
        <f>SUM(J8:J149)</f>
        <v>36</v>
      </c>
      <c r="M154" s="9"/>
      <c r="N154" s="11"/>
      <c r="O154" s="11"/>
      <c r="P154" s="11"/>
      <c r="Q154" s="11"/>
      <c r="R154" s="11"/>
      <c r="S154" s="21"/>
      <c r="T154" s="21"/>
    </row>
    <row r="155" spans="1:20" ht="15.6">
      <c r="M155" s="9"/>
      <c r="N155" s="11"/>
      <c r="O155" s="11"/>
      <c r="P155" s="11"/>
      <c r="Q155" s="11"/>
      <c r="R155" s="11"/>
      <c r="S155" s="21"/>
      <c r="T155" s="21"/>
    </row>
    <row r="156" spans="1:20" ht="15.6">
      <c r="M156" s="9"/>
      <c r="N156" s="11"/>
      <c r="O156" s="11"/>
      <c r="P156" s="11"/>
      <c r="Q156" s="11"/>
      <c r="R156" s="11"/>
      <c r="S156" s="21"/>
      <c r="T156" s="21"/>
    </row>
    <row r="157" spans="1:20" ht="15.6">
      <c r="M157" s="9"/>
      <c r="N157" s="11"/>
      <c r="O157" s="11"/>
      <c r="P157" s="11"/>
      <c r="Q157" s="11"/>
      <c r="R157" s="11"/>
      <c r="S157" s="21"/>
    </row>
    <row r="158" spans="1:20" ht="15.6">
      <c r="M158" s="9"/>
      <c r="N158" s="11"/>
      <c r="O158" s="11"/>
      <c r="P158" s="11"/>
      <c r="Q158" s="11"/>
      <c r="R158" s="11"/>
      <c r="S158" s="21"/>
    </row>
    <row r="159" spans="1:20" ht="15.6">
      <c r="M159" s="9"/>
      <c r="N159" s="11"/>
      <c r="O159" s="11"/>
      <c r="P159" s="11"/>
      <c r="Q159" s="11"/>
      <c r="R159" s="11"/>
      <c r="S159" s="21"/>
    </row>
    <row r="160" spans="1:20" ht="15.6">
      <c r="M160" s="9"/>
      <c r="N160" s="11"/>
      <c r="O160" s="11"/>
      <c r="P160" s="11"/>
      <c r="Q160" s="11"/>
      <c r="R160" s="11"/>
      <c r="S160" s="21"/>
    </row>
  </sheetData>
  <pageMargins left="0.45" right="0.45" top="0.75" bottom="0.75" header="0.3" footer="0.3"/>
  <pageSetup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160"/>
  <sheetViews>
    <sheetView workbookViewId="0">
      <selection activeCell="I1" sqref="I1"/>
    </sheetView>
  </sheetViews>
  <sheetFormatPr defaultColWidth="12.6640625" defaultRowHeight="14.4"/>
  <cols>
    <col min="1" max="1" width="6.6640625" style="17" customWidth="1"/>
    <col min="5" max="5" width="13.6640625" customWidth="1"/>
    <col min="6" max="7" width="15.6640625" customWidth="1"/>
    <col min="10" max="10" width="12.6640625" style="8"/>
    <col min="16" max="16" width="17.109375" customWidth="1"/>
  </cols>
  <sheetData>
    <row r="1" spans="1:21" ht="16.2" thickBot="1">
      <c r="A1" s="103" t="s">
        <v>145</v>
      </c>
      <c r="B1" s="98"/>
      <c r="C1" s="98"/>
      <c r="D1" s="4"/>
      <c r="E1" s="4"/>
      <c r="F1" s="105" t="s">
        <v>164</v>
      </c>
      <c r="G1" s="4"/>
    </row>
    <row r="2" spans="1:21" ht="15.6">
      <c r="A2" s="3" t="s">
        <v>36</v>
      </c>
      <c r="F2" s="5" t="s">
        <v>35</v>
      </c>
      <c r="G2" s="6"/>
    </row>
    <row r="3" spans="1:21" ht="15.6">
      <c r="A3" s="3" t="s">
        <v>37</v>
      </c>
      <c r="F3" s="4"/>
      <c r="G3" s="4"/>
    </row>
    <row r="4" spans="1:21" ht="15.6">
      <c r="A4" s="7" t="s">
        <v>146</v>
      </c>
      <c r="F4" s="4"/>
      <c r="G4" s="4"/>
    </row>
    <row r="5" spans="1:21" ht="15.6">
      <c r="A5" s="7"/>
      <c r="F5" s="4"/>
      <c r="G5" s="4"/>
    </row>
    <row r="6" spans="1:21" ht="15.6">
      <c r="A6" s="16" t="s">
        <v>46</v>
      </c>
      <c r="F6" s="4"/>
      <c r="G6" s="4"/>
    </row>
    <row r="7" spans="1:21" ht="15.6">
      <c r="A7" s="7"/>
      <c r="B7" s="18" t="s">
        <v>47</v>
      </c>
      <c r="C7" s="18"/>
      <c r="D7" s="18"/>
      <c r="E7" s="18"/>
      <c r="F7" s="19"/>
      <c r="G7" s="4"/>
    </row>
    <row r="8" spans="1:21" ht="15.6">
      <c r="A8" s="7"/>
      <c r="F8" s="4"/>
      <c r="G8" s="4"/>
    </row>
    <row r="9" spans="1:21" ht="15.6">
      <c r="A9" s="3" t="s">
        <v>94</v>
      </c>
    </row>
    <row r="10" spans="1:21" ht="15.6">
      <c r="A10" s="3" t="s">
        <v>83</v>
      </c>
    </row>
    <row r="12" spans="1:21" ht="15.6">
      <c r="A12" s="3" t="s">
        <v>157</v>
      </c>
    </row>
    <row r="13" spans="1:21" ht="15.6">
      <c r="A13" s="3" t="s">
        <v>82</v>
      </c>
    </row>
    <row r="15" spans="1:21" ht="20.399999999999999">
      <c r="A15" s="44" t="s">
        <v>16</v>
      </c>
      <c r="B15" t="s">
        <v>147</v>
      </c>
      <c r="J15" s="46"/>
      <c r="L15" s="9"/>
      <c r="M15" s="10" t="s">
        <v>9</v>
      </c>
      <c r="N15" s="9"/>
      <c r="O15" s="9"/>
      <c r="P15" s="9"/>
      <c r="Q15" s="9"/>
      <c r="R15" s="9"/>
      <c r="S15" s="9"/>
      <c r="T15" s="1"/>
      <c r="U15" s="1"/>
    </row>
    <row r="16" spans="1:21" ht="21">
      <c r="A16" s="45"/>
      <c r="B16" t="s">
        <v>153</v>
      </c>
      <c r="J16" s="47"/>
      <c r="L16" s="9"/>
      <c r="M16" s="11"/>
      <c r="N16" s="11"/>
      <c r="O16" s="11"/>
      <c r="P16" s="11"/>
      <c r="Q16" s="11"/>
      <c r="R16" s="11"/>
      <c r="S16" s="11"/>
      <c r="T16" s="2"/>
      <c r="U16" s="2"/>
    </row>
    <row r="17" spans="1:21" ht="21">
      <c r="A17" s="45"/>
      <c r="B17" t="s">
        <v>154</v>
      </c>
      <c r="J17" s="47"/>
      <c r="L17" s="9"/>
      <c r="M17" s="11" t="s">
        <v>1</v>
      </c>
      <c r="N17" s="11"/>
      <c r="O17" s="12">
        <v>6.4000000000000001E-2</v>
      </c>
      <c r="P17" s="11"/>
      <c r="Q17" s="11"/>
      <c r="R17" s="11"/>
      <c r="S17" s="11"/>
      <c r="T17" s="2"/>
      <c r="U17" s="2"/>
    </row>
    <row r="18" spans="1:21" ht="21">
      <c r="A18" s="45"/>
      <c r="J18" s="47"/>
      <c r="L18" s="9"/>
      <c r="M18" s="11" t="s">
        <v>5</v>
      </c>
      <c r="N18" s="11"/>
      <c r="O18" s="12">
        <f>O19/2</f>
        <v>2.9000000000000001E-2</v>
      </c>
      <c r="P18" s="11"/>
      <c r="Q18" s="11"/>
      <c r="R18" s="11"/>
      <c r="S18" s="11"/>
      <c r="T18" s="2"/>
      <c r="U18" s="2"/>
    </row>
    <row r="19" spans="1:21" ht="21">
      <c r="A19" s="45" t="s">
        <v>91</v>
      </c>
      <c r="B19" t="s">
        <v>39</v>
      </c>
      <c r="E19" s="93">
        <f>P22</f>
        <v>1025.7217047752338</v>
      </c>
      <c r="J19" s="47">
        <v>2</v>
      </c>
      <c r="L19" s="9"/>
      <c r="M19" s="11" t="s">
        <v>38</v>
      </c>
      <c r="N19" s="11"/>
      <c r="O19" s="12">
        <v>5.8000000000000003E-2</v>
      </c>
      <c r="P19" s="11"/>
      <c r="Q19" s="11"/>
      <c r="R19" s="11"/>
      <c r="S19" s="11"/>
      <c r="T19" s="2"/>
      <c r="U19" s="2"/>
    </row>
    <row r="20" spans="1:21" ht="21">
      <c r="A20" s="45"/>
      <c r="J20" s="47"/>
      <c r="L20" s="9"/>
      <c r="M20" s="11" t="s">
        <v>6</v>
      </c>
      <c r="N20" s="11"/>
      <c r="O20" s="13">
        <v>5</v>
      </c>
      <c r="P20" s="11"/>
      <c r="Q20" s="11"/>
      <c r="R20" s="11"/>
      <c r="S20" s="11"/>
      <c r="T20" s="2"/>
      <c r="U20" s="2"/>
    </row>
    <row r="21" spans="1:21" ht="21">
      <c r="A21" s="45" t="s">
        <v>91</v>
      </c>
      <c r="B21" t="s">
        <v>40</v>
      </c>
      <c r="E21" s="93">
        <f>P23</f>
        <v>1023.4676342137157</v>
      </c>
      <c r="J21" s="47">
        <v>2</v>
      </c>
      <c r="L21" s="14" t="s">
        <v>0</v>
      </c>
      <c r="M21" s="11"/>
      <c r="N21" s="11"/>
      <c r="O21" s="11"/>
      <c r="P21" s="11"/>
      <c r="Q21" s="11"/>
      <c r="R21" s="11"/>
      <c r="S21" s="11"/>
      <c r="T21" s="2"/>
      <c r="U21" s="2"/>
    </row>
    <row r="22" spans="1:21" ht="21">
      <c r="A22" s="45"/>
      <c r="J22" s="47"/>
      <c r="L22" s="9"/>
      <c r="M22" s="11" t="s">
        <v>7</v>
      </c>
      <c r="N22" s="11"/>
      <c r="O22" s="11"/>
      <c r="P22" s="15">
        <f>-PV(O18,O20*2,O17*1000/2,1000)</f>
        <v>1025.7217047752338</v>
      </c>
      <c r="Q22" s="11"/>
      <c r="R22" s="11" t="s">
        <v>42</v>
      </c>
      <c r="S22" s="11"/>
      <c r="T22" s="2"/>
      <c r="U22" s="2"/>
    </row>
    <row r="23" spans="1:21" ht="21">
      <c r="A23" s="45" t="s">
        <v>91</v>
      </c>
      <c r="B23" t="s">
        <v>41</v>
      </c>
      <c r="E23" s="93">
        <f>P24</f>
        <v>1021.1481956059134</v>
      </c>
      <c r="F23" s="93"/>
      <c r="J23" s="47">
        <v>2</v>
      </c>
      <c r="L23" s="9"/>
      <c r="M23" s="11" t="s">
        <v>8</v>
      </c>
      <c r="N23" s="11"/>
      <c r="O23" s="11"/>
      <c r="P23" s="15">
        <f>-PV(O18,O20*2-1,1000/2*O17,1000)</f>
        <v>1023.4676342137157</v>
      </c>
      <c r="Q23" s="11"/>
      <c r="R23" s="11" t="s">
        <v>43</v>
      </c>
      <c r="S23" s="11"/>
      <c r="T23" s="2"/>
      <c r="U23" s="2"/>
    </row>
    <row r="24" spans="1:21" ht="21">
      <c r="A24" s="45"/>
      <c r="J24" s="47"/>
      <c r="L24" s="9"/>
      <c r="M24" s="11" t="s">
        <v>45</v>
      </c>
      <c r="N24" s="11"/>
      <c r="O24" s="11"/>
      <c r="P24" s="116">
        <f>-PV(O18,O20*2-2,1000/2*O17,1000)</f>
        <v>1021.1481956059134</v>
      </c>
      <c r="Q24" s="11"/>
      <c r="R24" s="11" t="s">
        <v>44</v>
      </c>
      <c r="S24" s="11"/>
      <c r="T24" s="2"/>
      <c r="U24" s="2"/>
    </row>
    <row r="25" spans="1:21" ht="21">
      <c r="A25" s="45"/>
      <c r="J25" s="47"/>
      <c r="L25" s="9"/>
      <c r="M25" s="11"/>
      <c r="N25" s="11"/>
      <c r="O25" s="11"/>
      <c r="P25" s="116">
        <f>-PV(O19,O20-1,1000*O17,1000)</f>
        <v>1020.8862033995739</v>
      </c>
      <c r="Q25" s="11" t="s">
        <v>190</v>
      </c>
      <c r="R25" s="11"/>
      <c r="S25" s="11"/>
      <c r="T25" s="2"/>
      <c r="U25" s="2"/>
    </row>
    <row r="26" spans="1:21" ht="15.6">
      <c r="A26" s="45"/>
      <c r="J26" s="47"/>
      <c r="L26" s="9"/>
      <c r="M26" s="10"/>
      <c r="N26" s="9"/>
      <c r="O26" s="9"/>
      <c r="P26" s="9"/>
      <c r="Q26" s="9"/>
      <c r="R26" s="9"/>
      <c r="S26" s="9"/>
      <c r="T26" s="21"/>
    </row>
    <row r="27" spans="1:21" ht="15.6">
      <c r="A27" s="44" t="s">
        <v>17</v>
      </c>
      <c r="B27" t="s">
        <v>155</v>
      </c>
      <c r="J27" s="46"/>
      <c r="L27" s="9"/>
      <c r="M27" s="11"/>
      <c r="N27" s="11"/>
      <c r="O27" s="11"/>
      <c r="P27" s="11"/>
      <c r="Q27" s="22"/>
      <c r="R27" s="11"/>
      <c r="S27" s="11"/>
      <c r="T27" s="21"/>
    </row>
    <row r="28" spans="1:21" ht="15.6">
      <c r="A28" s="45"/>
      <c r="B28" t="s">
        <v>148</v>
      </c>
      <c r="J28" s="47"/>
      <c r="L28" s="9"/>
      <c r="M28" s="23" t="s">
        <v>9</v>
      </c>
      <c r="N28" s="11"/>
      <c r="O28" s="24">
        <v>1055</v>
      </c>
      <c r="P28" s="11"/>
      <c r="Q28" s="22"/>
      <c r="R28" s="25" t="s">
        <v>24</v>
      </c>
      <c r="S28" s="26">
        <v>42004</v>
      </c>
      <c r="T28" s="21"/>
    </row>
    <row r="29" spans="1:21" ht="15.6">
      <c r="A29" s="45"/>
      <c r="J29" s="47"/>
      <c r="L29" s="9"/>
      <c r="M29" s="23" t="s">
        <v>12</v>
      </c>
      <c r="N29" s="11"/>
      <c r="O29" s="27">
        <v>8</v>
      </c>
      <c r="P29" s="11"/>
      <c r="Q29" s="22"/>
      <c r="R29" s="25" t="s">
        <v>25</v>
      </c>
      <c r="S29" s="26">
        <v>44926</v>
      </c>
      <c r="T29" s="21"/>
    </row>
    <row r="30" spans="1:21" ht="15.6">
      <c r="A30" s="45" t="s">
        <v>91</v>
      </c>
      <c r="B30" t="s">
        <v>48</v>
      </c>
      <c r="E30" s="88">
        <f>O33</f>
        <v>4.7393364928909949E-2</v>
      </c>
      <c r="J30" s="47">
        <v>2</v>
      </c>
      <c r="L30" s="9"/>
      <c r="M30" s="23" t="s">
        <v>1</v>
      </c>
      <c r="N30" s="11"/>
      <c r="O30" s="28">
        <v>0.05</v>
      </c>
      <c r="P30" s="11"/>
      <c r="Q30" s="22"/>
      <c r="R30" s="25" t="s">
        <v>26</v>
      </c>
      <c r="S30" s="29">
        <f>O30</f>
        <v>0.05</v>
      </c>
      <c r="T30" s="21"/>
    </row>
    <row r="31" spans="1:21" ht="15.6">
      <c r="A31" s="45"/>
      <c r="J31" s="47"/>
      <c r="L31" s="9"/>
      <c r="M31" s="11"/>
      <c r="N31" s="11"/>
      <c r="O31" s="11"/>
      <c r="P31" s="11"/>
      <c r="Q31" s="22"/>
      <c r="R31" s="25" t="s">
        <v>27</v>
      </c>
      <c r="S31" s="30">
        <f>O28/10</f>
        <v>105.5</v>
      </c>
      <c r="T31" s="21"/>
    </row>
    <row r="32" spans="1:21" ht="15.6">
      <c r="A32" s="45"/>
      <c r="J32" s="47"/>
      <c r="L32" s="35" t="s">
        <v>0</v>
      </c>
      <c r="M32" s="23"/>
      <c r="N32" s="23"/>
      <c r="O32" s="23"/>
      <c r="P32" s="11"/>
      <c r="Q32" s="22"/>
      <c r="R32" s="25" t="s">
        <v>10</v>
      </c>
      <c r="S32" s="30">
        <f>1000/10</f>
        <v>100</v>
      </c>
      <c r="T32" s="21"/>
    </row>
    <row r="33" spans="1:35" ht="15.6">
      <c r="A33" s="45" t="s">
        <v>91</v>
      </c>
      <c r="B33" t="s">
        <v>49</v>
      </c>
      <c r="E33" s="88">
        <f>O34</f>
        <v>4.1771120086655192E-2</v>
      </c>
      <c r="J33" s="47">
        <v>2</v>
      </c>
      <c r="L33" s="39" t="s">
        <v>16</v>
      </c>
      <c r="M33" s="23" t="s">
        <v>4</v>
      </c>
      <c r="N33" s="23"/>
      <c r="O33" s="40">
        <f>O30*1000/O28</f>
        <v>4.7393364928909949E-2</v>
      </c>
      <c r="P33" s="42">
        <f>O33</f>
        <v>4.7393364928909949E-2</v>
      </c>
      <c r="Q33" s="22"/>
      <c r="R33" s="25" t="s">
        <v>28</v>
      </c>
      <c r="S33" s="23">
        <v>1</v>
      </c>
      <c r="T33" s="21"/>
    </row>
    <row r="34" spans="1:35" ht="15.6">
      <c r="A34" s="45"/>
      <c r="J34" s="47"/>
      <c r="L34" s="39" t="s">
        <v>17</v>
      </c>
      <c r="M34" s="23" t="s">
        <v>3</v>
      </c>
      <c r="N34" s="23"/>
      <c r="O34" s="43">
        <f>RATE(O29,O30*1000,-O28,1000)</f>
        <v>4.1771120086655192E-2</v>
      </c>
      <c r="P34" s="42">
        <f>O34</f>
        <v>4.1771120086655192E-2</v>
      </c>
      <c r="Q34" s="22"/>
      <c r="R34" s="25" t="s">
        <v>34</v>
      </c>
      <c r="S34" s="31">
        <f>YIELD(S28,S29,S30,S31,S32,S33)</f>
        <v>4.1771120086635714E-2</v>
      </c>
      <c r="T34" s="21"/>
    </row>
    <row r="35" spans="1:35" ht="15.6">
      <c r="A35" s="45"/>
      <c r="J35" s="47"/>
      <c r="L35" s="9"/>
      <c r="M35" s="11"/>
      <c r="N35" s="11"/>
      <c r="O35" s="11" t="s">
        <v>32</v>
      </c>
      <c r="P35" s="11"/>
      <c r="Q35" s="22"/>
      <c r="R35" s="32" t="s">
        <v>33</v>
      </c>
      <c r="S35" s="11"/>
      <c r="T35" s="21"/>
    </row>
    <row r="36" spans="1:35" ht="15.6">
      <c r="A36" s="45"/>
      <c r="J36" s="47"/>
      <c r="L36" s="21"/>
      <c r="M36" s="21"/>
      <c r="N36" s="21"/>
      <c r="O36" s="21"/>
      <c r="P36" s="21"/>
      <c r="Q36" s="21"/>
      <c r="R36" s="21"/>
      <c r="S36" s="21"/>
      <c r="T36" s="21"/>
    </row>
    <row r="37" spans="1:35" ht="15.6">
      <c r="A37" s="44" t="s">
        <v>50</v>
      </c>
      <c r="B37" t="s">
        <v>156</v>
      </c>
      <c r="J37" s="46"/>
      <c r="L37" s="9"/>
      <c r="M37" s="23" t="s">
        <v>9</v>
      </c>
      <c r="N37" s="11"/>
      <c r="O37" s="24">
        <v>915</v>
      </c>
      <c r="P37" s="11"/>
      <c r="Q37" s="22"/>
      <c r="R37" s="25" t="s">
        <v>24</v>
      </c>
      <c r="S37" s="26">
        <v>42004</v>
      </c>
    </row>
    <row r="38" spans="1:35" ht="15.6">
      <c r="A38" s="45"/>
      <c r="B38" t="s">
        <v>149</v>
      </c>
      <c r="J38" s="47"/>
      <c r="L38" s="9"/>
      <c r="M38" s="23" t="s">
        <v>12</v>
      </c>
      <c r="N38" s="11"/>
      <c r="O38" s="27">
        <v>11</v>
      </c>
      <c r="P38" s="11"/>
      <c r="Q38" s="22"/>
      <c r="R38" s="25" t="s">
        <v>25</v>
      </c>
      <c r="S38" s="26">
        <v>46022</v>
      </c>
    </row>
    <row r="39" spans="1:35" ht="15.6">
      <c r="A39" s="45"/>
      <c r="J39" s="47"/>
      <c r="L39" s="9"/>
      <c r="M39" s="23" t="s">
        <v>1</v>
      </c>
      <c r="N39" s="11"/>
      <c r="O39" s="28">
        <v>4.4999999999999998E-2</v>
      </c>
      <c r="P39" s="11"/>
      <c r="Q39" s="22"/>
      <c r="R39" s="25" t="s">
        <v>26</v>
      </c>
      <c r="S39" s="48">
        <f>O39</f>
        <v>4.4999999999999998E-2</v>
      </c>
    </row>
    <row r="40" spans="1:35" ht="15.6">
      <c r="A40" s="45" t="s">
        <v>91</v>
      </c>
      <c r="E40" s="88">
        <f>O44</f>
        <v>5.5424055711387553E-2</v>
      </c>
      <c r="J40" s="47">
        <v>2</v>
      </c>
      <c r="L40" s="9"/>
      <c r="M40" s="11"/>
      <c r="N40" s="11"/>
      <c r="O40" s="11"/>
      <c r="P40" s="11"/>
      <c r="Q40" s="22"/>
      <c r="R40" s="25" t="s">
        <v>27</v>
      </c>
      <c r="S40" s="30">
        <f>O37/10</f>
        <v>91.5</v>
      </c>
    </row>
    <row r="41" spans="1:35" ht="15.6">
      <c r="A41" s="45"/>
      <c r="J41" s="47"/>
      <c r="L41" s="9"/>
      <c r="M41" s="11"/>
      <c r="N41" s="11"/>
      <c r="O41" s="11"/>
      <c r="P41" s="11"/>
      <c r="Q41" s="22"/>
      <c r="R41" s="25" t="s">
        <v>10</v>
      </c>
      <c r="S41" s="30">
        <f>1000/10</f>
        <v>100</v>
      </c>
    </row>
    <row r="42" spans="1:35" ht="15.6">
      <c r="A42" s="45"/>
      <c r="J42" s="47"/>
      <c r="L42" s="35" t="s">
        <v>0</v>
      </c>
      <c r="M42" s="23"/>
      <c r="N42" s="23"/>
      <c r="O42" s="23"/>
      <c r="P42" s="11"/>
      <c r="Q42" s="22"/>
      <c r="R42" s="25" t="s">
        <v>28</v>
      </c>
      <c r="S42" s="23">
        <v>2</v>
      </c>
    </row>
    <row r="43" spans="1:35" ht="15.6">
      <c r="A43" s="45"/>
      <c r="J43" s="47"/>
      <c r="L43" s="39"/>
      <c r="M43" s="23"/>
      <c r="N43" s="23"/>
      <c r="O43" s="40">
        <f>RATE(22,22.5,-915,1000)</f>
        <v>2.7712027855693776E-2</v>
      </c>
      <c r="P43" s="42"/>
      <c r="Q43" s="22"/>
      <c r="R43" s="25" t="s">
        <v>34</v>
      </c>
      <c r="S43" s="31">
        <f>YIELD(S37,S38,S39,S40,S41,S42)</f>
        <v>5.5424055710885947E-2</v>
      </c>
    </row>
    <row r="44" spans="1:35" ht="15.6">
      <c r="A44" s="45"/>
      <c r="J44" s="47"/>
      <c r="L44" s="39"/>
      <c r="M44" s="23" t="s">
        <v>3</v>
      </c>
      <c r="N44" s="23"/>
      <c r="O44" s="43">
        <f>RATE(O38*2,(O39/2)*1000,-O37,1000)*2</f>
        <v>5.5424055711387553E-2</v>
      </c>
      <c r="P44" s="42">
        <f>O44</f>
        <v>5.5424055711387553E-2</v>
      </c>
      <c r="Q44" s="22"/>
      <c r="R44" s="32" t="s">
        <v>33</v>
      </c>
      <c r="S44" s="11"/>
    </row>
    <row r="45" spans="1:35" ht="15.6">
      <c r="A45" s="44" t="s">
        <v>51</v>
      </c>
      <c r="B45" t="s">
        <v>150</v>
      </c>
      <c r="J45" s="46"/>
      <c r="L45" s="9"/>
      <c r="M45" s="23" t="s">
        <v>9</v>
      </c>
      <c r="N45" s="11"/>
      <c r="O45" s="24">
        <v>930</v>
      </c>
      <c r="P45" s="11"/>
      <c r="Q45" s="22"/>
      <c r="R45" s="25" t="s">
        <v>24</v>
      </c>
      <c r="S45" s="26">
        <v>42004</v>
      </c>
      <c r="U45" s="23" t="s">
        <v>9</v>
      </c>
      <c r="V45" s="11"/>
      <c r="W45" s="24">
        <f>O45</f>
        <v>930</v>
      </c>
      <c r="X45" s="11"/>
      <c r="Y45" s="22"/>
      <c r="Z45" s="25" t="s">
        <v>24</v>
      </c>
      <c r="AA45" s="26">
        <v>42004</v>
      </c>
      <c r="AC45" s="23" t="s">
        <v>9</v>
      </c>
      <c r="AD45" s="11"/>
      <c r="AE45" s="24">
        <f>O45</f>
        <v>930</v>
      </c>
      <c r="AF45" s="11"/>
      <c r="AG45" s="22"/>
      <c r="AH45" s="25" t="s">
        <v>24</v>
      </c>
      <c r="AI45" s="26">
        <v>42004</v>
      </c>
    </row>
    <row r="46" spans="1:35" ht="15.6">
      <c r="A46" s="45"/>
      <c r="B46" t="s">
        <v>151</v>
      </c>
      <c r="J46" s="47"/>
      <c r="L46" s="9"/>
      <c r="M46" s="23" t="s">
        <v>12</v>
      </c>
      <c r="N46" s="11"/>
      <c r="O46" s="27">
        <v>15</v>
      </c>
      <c r="P46" s="11"/>
      <c r="Q46" s="22"/>
      <c r="R46" s="25" t="s">
        <v>25</v>
      </c>
      <c r="S46" s="26">
        <v>47483</v>
      </c>
      <c r="U46" s="23" t="s">
        <v>12</v>
      </c>
      <c r="V46" s="11"/>
      <c r="W46" s="27">
        <v>5</v>
      </c>
      <c r="X46" s="11"/>
      <c r="Y46" s="22"/>
      <c r="Z46" s="25" t="s">
        <v>25</v>
      </c>
      <c r="AA46" s="26">
        <v>43830</v>
      </c>
      <c r="AC46" s="23" t="s">
        <v>12</v>
      </c>
      <c r="AD46" s="11"/>
      <c r="AE46" s="27">
        <v>3</v>
      </c>
      <c r="AF46" s="11"/>
      <c r="AG46" s="22"/>
      <c r="AH46" s="25" t="s">
        <v>25</v>
      </c>
      <c r="AI46" s="26">
        <v>43100</v>
      </c>
    </row>
    <row r="47" spans="1:35" ht="15.6">
      <c r="A47" s="45"/>
      <c r="J47" s="47"/>
      <c r="L47" s="9"/>
      <c r="M47" s="23" t="s">
        <v>1</v>
      </c>
      <c r="N47" s="11"/>
      <c r="O47" s="28">
        <v>4.2000000000000003E-2</v>
      </c>
      <c r="P47" s="11"/>
      <c r="Q47" s="22"/>
      <c r="R47" s="25" t="s">
        <v>26</v>
      </c>
      <c r="S47" s="48">
        <f>O47</f>
        <v>4.2000000000000003E-2</v>
      </c>
      <c r="U47" s="23" t="s">
        <v>1</v>
      </c>
      <c r="V47" s="11"/>
      <c r="W47" s="28">
        <f>O47</f>
        <v>4.2000000000000003E-2</v>
      </c>
      <c r="X47" s="11"/>
      <c r="Y47" s="22"/>
      <c r="Z47" s="25" t="s">
        <v>26</v>
      </c>
      <c r="AA47" s="48">
        <f>W47</f>
        <v>4.2000000000000003E-2</v>
      </c>
      <c r="AC47" s="23" t="s">
        <v>1</v>
      </c>
      <c r="AD47" s="11"/>
      <c r="AE47" s="28">
        <f>O47</f>
        <v>4.2000000000000003E-2</v>
      </c>
      <c r="AF47" s="11"/>
      <c r="AG47" s="22"/>
      <c r="AH47" s="25" t="s">
        <v>26</v>
      </c>
      <c r="AI47" s="48">
        <f>AE47</f>
        <v>4.2000000000000003E-2</v>
      </c>
    </row>
    <row r="48" spans="1:35" ht="15.6">
      <c r="A48" s="45" t="s">
        <v>91</v>
      </c>
      <c r="B48" t="s">
        <v>52</v>
      </c>
      <c r="F48" s="88">
        <f>O52</f>
        <v>4.8627830921991771E-2</v>
      </c>
      <c r="J48" s="47">
        <v>2</v>
      </c>
      <c r="L48" s="9"/>
      <c r="M48" s="11"/>
      <c r="N48" s="11"/>
      <c r="O48" s="11"/>
      <c r="P48" s="11"/>
      <c r="Q48" s="22"/>
      <c r="R48" s="25" t="s">
        <v>27</v>
      </c>
      <c r="S48" s="30">
        <f>O45/10</f>
        <v>93</v>
      </c>
      <c r="U48" s="11"/>
      <c r="V48" s="11"/>
      <c r="W48" s="11"/>
      <c r="X48" s="11"/>
      <c r="Y48" s="22"/>
      <c r="Z48" s="25" t="s">
        <v>27</v>
      </c>
      <c r="AA48" s="30">
        <f>W45/10</f>
        <v>93</v>
      </c>
      <c r="AC48" s="11"/>
      <c r="AD48" s="11"/>
      <c r="AE48" s="11"/>
      <c r="AF48" s="11"/>
      <c r="AG48" s="22"/>
      <c r="AH48" s="25" t="s">
        <v>27</v>
      </c>
      <c r="AI48" s="30">
        <f>AE45/10</f>
        <v>93</v>
      </c>
    </row>
    <row r="49" spans="1:35" ht="15.6">
      <c r="A49" s="45"/>
      <c r="J49" s="47"/>
      <c r="L49" s="9"/>
      <c r="M49" s="11"/>
      <c r="N49" s="11"/>
      <c r="O49" s="11"/>
      <c r="P49" s="11"/>
      <c r="Q49" s="22"/>
      <c r="R49" s="25" t="s">
        <v>10</v>
      </c>
      <c r="S49" s="30">
        <f>1000/10</f>
        <v>100</v>
      </c>
      <c r="U49" s="11"/>
      <c r="V49" s="11"/>
      <c r="W49" s="11"/>
      <c r="X49" s="11"/>
      <c r="Y49" s="22"/>
      <c r="Z49" s="25" t="s">
        <v>10</v>
      </c>
      <c r="AA49" s="30">
        <v>106</v>
      </c>
      <c r="AC49" s="11"/>
      <c r="AD49" s="11"/>
      <c r="AE49" s="11"/>
      <c r="AF49" s="11"/>
      <c r="AG49" s="22"/>
      <c r="AH49" s="25" t="s">
        <v>10</v>
      </c>
      <c r="AI49" s="30">
        <v>112</v>
      </c>
    </row>
    <row r="50" spans="1:35" ht="15.6">
      <c r="A50" s="45"/>
      <c r="J50" s="47"/>
      <c r="L50" s="35" t="s">
        <v>0</v>
      </c>
      <c r="M50" s="23"/>
      <c r="N50" s="23"/>
      <c r="O50" s="23"/>
      <c r="P50" s="11"/>
      <c r="Q50" s="22"/>
      <c r="R50" s="25" t="s">
        <v>28</v>
      </c>
      <c r="S50" s="23">
        <v>2</v>
      </c>
      <c r="U50" s="23"/>
      <c r="V50" s="23"/>
      <c r="W50" s="23"/>
      <c r="X50" s="11"/>
      <c r="Y50" s="22"/>
      <c r="Z50" s="25" t="s">
        <v>28</v>
      </c>
      <c r="AA50" s="23">
        <v>2</v>
      </c>
      <c r="AC50" s="23"/>
      <c r="AD50" s="23"/>
      <c r="AE50" s="23"/>
      <c r="AF50" s="11"/>
      <c r="AG50" s="22"/>
      <c r="AH50" s="25" t="s">
        <v>28</v>
      </c>
      <c r="AI50" s="23">
        <v>2</v>
      </c>
    </row>
    <row r="51" spans="1:35" ht="15.6">
      <c r="A51" s="45"/>
      <c r="J51" s="47"/>
      <c r="L51" s="39"/>
      <c r="M51" s="23"/>
      <c r="N51" s="23"/>
      <c r="O51" s="40"/>
      <c r="P51" s="42"/>
      <c r="Q51" s="22"/>
      <c r="R51" s="25" t="s">
        <v>34</v>
      </c>
      <c r="S51" s="31">
        <f>YIELD(S45,S46,S47,S48,S49,S50)</f>
        <v>4.8627830921333062E-2</v>
      </c>
      <c r="U51" s="23"/>
      <c r="V51" s="23"/>
      <c r="W51" s="40"/>
      <c r="X51" s="42"/>
      <c r="Y51" s="22"/>
      <c r="Z51" s="25" t="s">
        <v>34</v>
      </c>
      <c r="AA51" s="31">
        <f>YIELD(AA45,AA46,AA47,AA48,AA49,AA50)</f>
        <v>6.9044856863312312E-2</v>
      </c>
      <c r="AC51" s="23"/>
      <c r="AD51" s="23"/>
      <c r="AE51" s="40"/>
      <c r="AF51" s="42"/>
      <c r="AG51" s="22"/>
      <c r="AH51" s="25" t="s">
        <v>34</v>
      </c>
      <c r="AI51" s="31">
        <f>YIELD(AI45,AI46,AI47,AI48,AI49,AI50)</f>
        <v>0.10486624212798513</v>
      </c>
    </row>
    <row r="52" spans="1:35" ht="15.6">
      <c r="A52" s="45"/>
      <c r="J52" s="47"/>
      <c r="L52" s="39"/>
      <c r="M52" s="23" t="s">
        <v>3</v>
      </c>
      <c r="N52" s="23"/>
      <c r="O52" s="43">
        <f>RATE(O46*2,(O47/2)*1000,-O45,1000)*2</f>
        <v>4.8627830921991771E-2</v>
      </c>
      <c r="P52" s="42">
        <f>O52</f>
        <v>4.8627830921991771E-2</v>
      </c>
      <c r="Q52" s="22"/>
      <c r="R52" s="32" t="s">
        <v>33</v>
      </c>
      <c r="S52" s="11"/>
      <c r="U52" s="23" t="s">
        <v>55</v>
      </c>
      <c r="V52" s="23"/>
      <c r="W52" s="43">
        <f>RATE(W46*2,(W47/2)*1000,-W45,1060)*2</f>
        <v>6.9044856863718182E-2</v>
      </c>
      <c r="X52" s="42">
        <f>W52</f>
        <v>6.9044856863718182E-2</v>
      </c>
      <c r="Y52" s="22"/>
      <c r="Z52" s="32" t="s">
        <v>33</v>
      </c>
      <c r="AA52" s="11"/>
      <c r="AC52" s="23" t="s">
        <v>55</v>
      </c>
      <c r="AD52" s="23"/>
      <c r="AE52" s="43">
        <f>RATE(AE46*2,(AE47/2)*1000,-AE45,1120)*2</f>
        <v>0.10486624222082028</v>
      </c>
      <c r="AF52" s="42">
        <f>AE52</f>
        <v>0.10486624222082028</v>
      </c>
      <c r="AG52" s="22"/>
      <c r="AH52" s="32" t="s">
        <v>33</v>
      </c>
      <c r="AI52" s="11"/>
    </row>
    <row r="53" spans="1:35" ht="16.2" thickBot="1">
      <c r="A53" s="45" t="s">
        <v>91</v>
      </c>
      <c r="B53" t="s">
        <v>54</v>
      </c>
      <c r="F53" s="88">
        <f>W52</f>
        <v>6.9044856863718182E-2</v>
      </c>
      <c r="J53" s="47">
        <v>2</v>
      </c>
      <c r="L53" s="9"/>
      <c r="M53" s="11"/>
      <c r="N53" s="11"/>
      <c r="O53" s="11"/>
      <c r="P53" s="11"/>
      <c r="Q53" s="33"/>
      <c r="R53" s="34"/>
      <c r="S53" s="11"/>
      <c r="U53" s="11"/>
      <c r="V53" s="11"/>
      <c r="W53" s="11"/>
      <c r="X53" s="11"/>
      <c r="Y53" s="33"/>
      <c r="Z53" s="34"/>
      <c r="AA53" s="11"/>
      <c r="AC53" s="11"/>
      <c r="AD53" s="11"/>
      <c r="AE53" s="11"/>
      <c r="AF53" s="11"/>
      <c r="AG53" s="33"/>
      <c r="AH53" s="34"/>
      <c r="AI53" s="11"/>
    </row>
    <row r="54" spans="1:35">
      <c r="A54" s="45"/>
      <c r="J54" s="47"/>
    </row>
    <row r="55" spans="1:35">
      <c r="A55" s="45"/>
      <c r="J55" s="47"/>
    </row>
    <row r="56" spans="1:35">
      <c r="A56" s="45"/>
      <c r="J56" s="47"/>
    </row>
    <row r="57" spans="1:35">
      <c r="A57" s="45"/>
      <c r="J57" s="47"/>
    </row>
    <row r="58" spans="1:35">
      <c r="A58" s="45" t="s">
        <v>91</v>
      </c>
      <c r="B58" t="s">
        <v>53</v>
      </c>
      <c r="F58" s="88">
        <f>AE52</f>
        <v>0.10486624222082028</v>
      </c>
      <c r="J58" s="47">
        <v>2</v>
      </c>
    </row>
    <row r="59" spans="1:35">
      <c r="A59" s="45"/>
      <c r="J59" s="47"/>
    </row>
    <row r="60" spans="1:35">
      <c r="A60" s="45"/>
      <c r="J60" s="47"/>
    </row>
    <row r="61" spans="1:35" ht="15.6">
      <c r="A61" s="45"/>
      <c r="J61" s="47"/>
      <c r="L61" s="9"/>
      <c r="M61" s="10"/>
      <c r="N61" s="9"/>
      <c r="O61" s="9"/>
      <c r="P61" s="9"/>
      <c r="Q61" s="9"/>
      <c r="R61" s="9"/>
      <c r="S61" s="9"/>
      <c r="T61" s="9"/>
      <c r="U61" s="9"/>
      <c r="V61" s="9"/>
      <c r="W61" s="49"/>
      <c r="X61" s="9"/>
      <c r="Y61" s="9"/>
    </row>
    <row r="62" spans="1:35" ht="15.6">
      <c r="A62" s="44" t="s">
        <v>57</v>
      </c>
      <c r="B62" t="s">
        <v>152</v>
      </c>
      <c r="J62" s="46"/>
      <c r="L62" s="9"/>
      <c r="M62" s="11"/>
      <c r="N62" s="11"/>
      <c r="O62" s="11"/>
      <c r="P62" s="11"/>
      <c r="Q62" s="22"/>
      <c r="R62" s="11"/>
      <c r="S62" s="11"/>
      <c r="T62" s="11"/>
      <c r="U62" s="22"/>
      <c r="V62" s="25" t="s">
        <v>21</v>
      </c>
      <c r="W62" s="41" t="s">
        <v>20</v>
      </c>
      <c r="X62" s="25" t="s">
        <v>18</v>
      </c>
      <c r="Y62" s="25" t="s">
        <v>19</v>
      </c>
    </row>
    <row r="63" spans="1:35" ht="15.6">
      <c r="A63" s="45"/>
      <c r="B63" t="s">
        <v>93</v>
      </c>
      <c r="J63" s="47"/>
      <c r="L63" s="9"/>
      <c r="M63" s="23" t="s">
        <v>9</v>
      </c>
      <c r="N63" s="11"/>
      <c r="O63" s="24">
        <v>960</v>
      </c>
      <c r="P63" s="11"/>
      <c r="Q63" s="22"/>
      <c r="R63" s="25" t="s">
        <v>24</v>
      </c>
      <c r="S63" s="26">
        <v>42004</v>
      </c>
      <c r="T63" s="26"/>
      <c r="U63" s="22"/>
      <c r="V63" s="43">
        <f>S69</f>
        <v>3.9929917368805003E-2</v>
      </c>
      <c r="W63" s="41">
        <v>0</v>
      </c>
      <c r="X63" s="50">
        <f>-O63</f>
        <v>-960</v>
      </c>
      <c r="Y63" s="50">
        <f>X63</f>
        <v>-960</v>
      </c>
    </row>
    <row r="64" spans="1:35" ht="15.6">
      <c r="A64" s="45"/>
      <c r="J64" s="47"/>
      <c r="L64" s="9"/>
      <c r="M64" s="23" t="s">
        <v>12</v>
      </c>
      <c r="N64" s="11"/>
      <c r="O64" s="27">
        <v>10</v>
      </c>
      <c r="P64" s="11"/>
      <c r="Q64" s="22"/>
      <c r="R64" s="25" t="s">
        <v>25</v>
      </c>
      <c r="S64" s="26">
        <v>45657</v>
      </c>
      <c r="T64" s="26"/>
      <c r="U64" s="22"/>
      <c r="V64" s="11"/>
      <c r="W64" s="41">
        <f>W63+1</f>
        <v>1</v>
      </c>
      <c r="X64" s="50">
        <f>1000*O65</f>
        <v>35</v>
      </c>
      <c r="Y64" s="50">
        <f>X64/(1+$S$69)^W64</f>
        <v>33.656114143302844</v>
      </c>
    </row>
    <row r="65" spans="1:25" ht="15.6">
      <c r="A65" s="45" t="s">
        <v>91</v>
      </c>
      <c r="B65" t="s">
        <v>52</v>
      </c>
      <c r="E65" s="88">
        <f>S69</f>
        <v>3.9929917368805003E-2</v>
      </c>
      <c r="J65" s="47">
        <v>2</v>
      </c>
      <c r="L65" s="9"/>
      <c r="M65" s="23" t="s">
        <v>1</v>
      </c>
      <c r="N65" s="11"/>
      <c r="O65" s="28">
        <v>3.5000000000000003E-2</v>
      </c>
      <c r="P65" s="11"/>
      <c r="Q65" s="22"/>
      <c r="R65" s="25" t="s">
        <v>26</v>
      </c>
      <c r="S65" s="29">
        <f>O65</f>
        <v>3.5000000000000003E-2</v>
      </c>
      <c r="T65" s="29"/>
      <c r="U65" s="22"/>
      <c r="V65" s="11"/>
      <c r="W65" s="41">
        <f t="shared" ref="W65:W73" si="0">W64+1</f>
        <v>2</v>
      </c>
      <c r="X65" s="50">
        <f>X64</f>
        <v>35</v>
      </c>
      <c r="Y65" s="50">
        <f t="shared" ref="Y65:Y74" si="1">X65/(1+$S$69)^W65</f>
        <v>32.363829120772287</v>
      </c>
    </row>
    <row r="66" spans="1:25" ht="15.6">
      <c r="A66" s="45"/>
      <c r="J66" s="47"/>
      <c r="L66" s="9"/>
      <c r="M66" s="11"/>
      <c r="N66" s="11"/>
      <c r="O66" s="11"/>
      <c r="P66" s="11"/>
      <c r="Q66" s="22"/>
      <c r="R66" s="25" t="s">
        <v>27</v>
      </c>
      <c r="S66" s="30">
        <f>O63/10</f>
        <v>96</v>
      </c>
      <c r="T66" s="30"/>
      <c r="U66" s="22"/>
      <c r="V66" s="11"/>
      <c r="W66" s="41">
        <f t="shared" si="0"/>
        <v>3</v>
      </c>
      <c r="X66" s="50">
        <f t="shared" ref="X66:X72" si="2">X65</f>
        <v>35</v>
      </c>
      <c r="Y66" s="50">
        <f t="shared" si="1"/>
        <v>31.121163628658874</v>
      </c>
    </row>
    <row r="67" spans="1:25" ht="15.6">
      <c r="A67" s="45"/>
      <c r="J67" s="47"/>
      <c r="L67" s="9"/>
      <c r="M67" s="11"/>
      <c r="N67" s="11"/>
      <c r="O67" s="11"/>
      <c r="P67" s="11"/>
      <c r="Q67" s="22"/>
      <c r="R67" s="25" t="s">
        <v>10</v>
      </c>
      <c r="S67" s="30">
        <f>1000/10</f>
        <v>100</v>
      </c>
      <c r="T67" s="30"/>
      <c r="U67" s="22"/>
      <c r="V67" s="11"/>
      <c r="W67" s="41">
        <f t="shared" si="0"/>
        <v>4</v>
      </c>
      <c r="X67" s="50">
        <f t="shared" si="2"/>
        <v>35</v>
      </c>
      <c r="Y67" s="50">
        <f t="shared" si="1"/>
        <v>29.926212438815661</v>
      </c>
    </row>
    <row r="68" spans="1:25" ht="15.6">
      <c r="A68" s="45"/>
      <c r="J68" s="47"/>
      <c r="L68" s="9"/>
      <c r="M68" s="11"/>
      <c r="N68" s="11"/>
      <c r="O68" s="11"/>
      <c r="P68" s="11"/>
      <c r="Q68" s="22"/>
      <c r="R68" s="25" t="s">
        <v>28</v>
      </c>
      <c r="S68" s="23">
        <v>1</v>
      </c>
      <c r="T68" s="23"/>
      <c r="U68" s="22"/>
      <c r="V68" s="11"/>
      <c r="W68" s="41">
        <f t="shared" si="0"/>
        <v>5</v>
      </c>
      <c r="X68" s="50">
        <f t="shared" si="2"/>
        <v>35</v>
      </c>
      <c r="Y68" s="50">
        <f t="shared" si="1"/>
        <v>28.777143477643126</v>
      </c>
    </row>
    <row r="69" spans="1:25" ht="15" customHeight="1">
      <c r="A69" s="20"/>
      <c r="L69" s="9"/>
      <c r="M69" s="11"/>
      <c r="N69" s="11"/>
      <c r="O69" s="11"/>
      <c r="P69" s="11"/>
      <c r="Q69" s="22"/>
      <c r="R69" s="25" t="s">
        <v>34</v>
      </c>
      <c r="S69" s="43">
        <f>YIELD(S63,S64,S65,S66,S67,S68)</f>
        <v>3.9929917368805003E-2</v>
      </c>
      <c r="T69" s="31"/>
      <c r="U69" s="22"/>
      <c r="V69" s="11"/>
      <c r="W69" s="41">
        <f t="shared" si="0"/>
        <v>6</v>
      </c>
      <c r="X69" s="50">
        <f t="shared" si="2"/>
        <v>35</v>
      </c>
      <c r="Y69" s="50">
        <f t="shared" si="1"/>
        <v>27.672195017193147</v>
      </c>
    </row>
    <row r="70" spans="1:25" ht="21.9" customHeight="1">
      <c r="A70" s="45" t="s">
        <v>92</v>
      </c>
      <c r="B70" t="s">
        <v>58</v>
      </c>
      <c r="E70" s="57" t="s">
        <v>20</v>
      </c>
      <c r="F70" s="94" t="s">
        <v>18</v>
      </c>
      <c r="G70" s="94" t="s">
        <v>19</v>
      </c>
      <c r="J70" s="47">
        <v>4</v>
      </c>
      <c r="L70" s="9"/>
      <c r="M70" s="11"/>
      <c r="N70" s="11"/>
      <c r="O70" s="11"/>
      <c r="P70" s="11"/>
      <c r="Q70" s="22"/>
      <c r="R70" s="32" t="s">
        <v>33</v>
      </c>
      <c r="S70" s="11"/>
      <c r="T70" s="11"/>
      <c r="U70" s="51"/>
      <c r="V70" s="23"/>
      <c r="W70" s="41">
        <f t="shared" si="0"/>
        <v>7</v>
      </c>
      <c r="X70" s="50">
        <f t="shared" si="2"/>
        <v>35</v>
      </c>
      <c r="Y70" s="50">
        <f t="shared" si="1"/>
        <v>26.609672974125392</v>
      </c>
    </row>
    <row r="71" spans="1:25" ht="24.9" customHeight="1" thickBot="1">
      <c r="A71" s="45"/>
      <c r="E71" s="57">
        <v>0</v>
      </c>
      <c r="F71" s="58">
        <f t="shared" ref="F71:F80" si="3">X63</f>
        <v>-960</v>
      </c>
      <c r="G71" s="58">
        <f t="shared" ref="G71:G80" si="4">Y63</f>
        <v>-960</v>
      </c>
      <c r="J71" s="47"/>
      <c r="L71" s="9"/>
      <c r="M71" s="11"/>
      <c r="N71" s="11"/>
      <c r="O71" s="11"/>
      <c r="P71" s="11"/>
      <c r="Q71" s="33"/>
      <c r="R71" s="34"/>
      <c r="S71" s="11"/>
      <c r="T71" s="11"/>
      <c r="U71" s="51"/>
      <c r="V71" s="23"/>
      <c r="W71" s="41">
        <f t="shared" si="0"/>
        <v>8</v>
      </c>
      <c r="X71" s="50">
        <f t="shared" si="2"/>
        <v>35</v>
      </c>
      <c r="Y71" s="50">
        <f t="shared" si="1"/>
        <v>25.587948312375008</v>
      </c>
    </row>
    <row r="72" spans="1:25" ht="24.9" customHeight="1">
      <c r="A72" s="45"/>
      <c r="E72" s="57">
        <f>E71+1</f>
        <v>1</v>
      </c>
      <c r="F72" s="58">
        <f t="shared" si="3"/>
        <v>35</v>
      </c>
      <c r="G72" s="58">
        <f t="shared" si="4"/>
        <v>33.656114143302844</v>
      </c>
      <c r="J72" s="47"/>
      <c r="L72" s="35" t="s">
        <v>0</v>
      </c>
      <c r="M72" s="23"/>
      <c r="N72" s="23"/>
      <c r="O72" s="23"/>
      <c r="P72" s="23"/>
      <c r="Q72" s="23"/>
      <c r="R72" s="36"/>
      <c r="S72" s="11"/>
      <c r="T72" s="11"/>
      <c r="U72" s="51"/>
      <c r="V72" s="23"/>
      <c r="W72" s="41">
        <f t="shared" si="0"/>
        <v>9</v>
      </c>
      <c r="X72" s="50">
        <f t="shared" si="2"/>
        <v>35</v>
      </c>
      <c r="Y72" s="50">
        <f t="shared" si="1"/>
        <v>24.605454545549332</v>
      </c>
    </row>
    <row r="73" spans="1:25" ht="24.9" customHeight="1">
      <c r="A73" s="45"/>
      <c r="E73" s="57">
        <f t="shared" ref="E73:E81" si="5">E72+1</f>
        <v>2</v>
      </c>
      <c r="F73" s="58">
        <f t="shared" si="3"/>
        <v>35</v>
      </c>
      <c r="G73" s="58">
        <f t="shared" si="4"/>
        <v>32.363829120772287</v>
      </c>
      <c r="J73" s="47"/>
      <c r="L73" s="37" t="s">
        <v>13</v>
      </c>
      <c r="M73" s="11"/>
      <c r="N73" s="11"/>
      <c r="O73" s="11"/>
      <c r="P73" s="11"/>
      <c r="Q73" s="11"/>
      <c r="R73" s="38"/>
      <c r="S73" s="11"/>
      <c r="T73" s="11"/>
      <c r="U73" s="51"/>
      <c r="V73" s="23"/>
      <c r="W73" s="41">
        <f t="shared" si="0"/>
        <v>10</v>
      </c>
      <c r="X73" s="50">
        <f>X72</f>
        <v>35</v>
      </c>
      <c r="Y73" s="50">
        <f t="shared" si="1"/>
        <v>23.660685335224525</v>
      </c>
    </row>
    <row r="74" spans="1:25" ht="24.9" customHeight="1">
      <c r="A74" s="45"/>
      <c r="E74" s="57">
        <f t="shared" si="5"/>
        <v>3</v>
      </c>
      <c r="F74" s="58">
        <f t="shared" si="3"/>
        <v>35</v>
      </c>
      <c r="G74" s="58">
        <f t="shared" si="4"/>
        <v>31.121163628658874</v>
      </c>
      <c r="J74" s="47"/>
      <c r="L74" s="39" t="s">
        <v>16</v>
      </c>
      <c r="M74" s="23" t="s">
        <v>4</v>
      </c>
      <c r="N74" s="23"/>
      <c r="O74" s="40">
        <f>O65*1000/O63</f>
        <v>3.6458333333333336E-2</v>
      </c>
      <c r="P74" s="41" t="s">
        <v>29</v>
      </c>
      <c r="Q74" s="42">
        <f>O74</f>
        <v>3.6458333333333336E-2</v>
      </c>
      <c r="R74" s="38"/>
      <c r="S74" s="11"/>
      <c r="T74" s="11"/>
      <c r="U74" s="51"/>
      <c r="V74" s="11"/>
      <c r="W74" s="41">
        <f>W73</f>
        <v>10</v>
      </c>
      <c r="X74" s="50">
        <f>1000</f>
        <v>1000</v>
      </c>
      <c r="Y74" s="50">
        <f t="shared" si="1"/>
        <v>676.01958100641502</v>
      </c>
    </row>
    <row r="75" spans="1:25" ht="24.9" customHeight="1">
      <c r="A75" s="45"/>
      <c r="E75" s="57">
        <f t="shared" si="5"/>
        <v>4</v>
      </c>
      <c r="F75" s="58">
        <f t="shared" si="3"/>
        <v>35</v>
      </c>
      <c r="G75" s="58">
        <f t="shared" si="4"/>
        <v>29.926212438815661</v>
      </c>
      <c r="J75" s="47"/>
      <c r="L75" s="39" t="s">
        <v>17</v>
      </c>
      <c r="M75" s="23" t="s">
        <v>3</v>
      </c>
      <c r="N75" s="23"/>
      <c r="O75" s="43">
        <f>RATE(O64,O65*1000,-O63,1000)</f>
        <v>3.9929917368853429E-2</v>
      </c>
      <c r="P75" s="41" t="s">
        <v>29</v>
      </c>
      <c r="Q75" s="42">
        <f>O75</f>
        <v>3.9929917368853429E-2</v>
      </c>
      <c r="R75" s="38"/>
      <c r="S75" s="11"/>
      <c r="T75" s="11"/>
      <c r="U75" s="51"/>
      <c r="V75" s="23"/>
      <c r="W75" s="25" t="s">
        <v>22</v>
      </c>
      <c r="X75" s="50">
        <f>SUM(X63:X74)</f>
        <v>390</v>
      </c>
      <c r="Y75" s="50">
        <f>SUM(Y63:Y74)</f>
        <v>7.5374373409431428E-11</v>
      </c>
    </row>
    <row r="76" spans="1:25" ht="24.9" customHeight="1">
      <c r="A76" s="45"/>
      <c r="E76" s="57">
        <f t="shared" si="5"/>
        <v>5</v>
      </c>
      <c r="F76" s="58">
        <f t="shared" si="3"/>
        <v>35</v>
      </c>
      <c r="G76" s="58">
        <f t="shared" si="4"/>
        <v>28.777143477643126</v>
      </c>
      <c r="J76" s="47"/>
      <c r="L76" s="9"/>
      <c r="M76" s="11"/>
      <c r="N76" s="11"/>
      <c r="O76" s="11"/>
      <c r="P76" s="11"/>
      <c r="Q76" s="11"/>
      <c r="R76" s="38"/>
      <c r="S76" s="11"/>
      <c r="T76" s="11"/>
      <c r="U76" s="51"/>
      <c r="V76" s="23"/>
      <c r="W76" s="25" t="s">
        <v>23</v>
      </c>
      <c r="X76" s="50">
        <f>SUM(X64:X74)</f>
        <v>1350</v>
      </c>
      <c r="Y76" s="52">
        <f>SUM(Y64:Y74)</f>
        <v>960.00000000007526</v>
      </c>
    </row>
    <row r="77" spans="1:25" ht="24.9" customHeight="1">
      <c r="A77" s="45"/>
      <c r="E77" s="57">
        <f t="shared" si="5"/>
        <v>6</v>
      </c>
      <c r="F77" s="58">
        <f t="shared" si="3"/>
        <v>35</v>
      </c>
      <c r="G77" s="58">
        <f t="shared" si="4"/>
        <v>27.672195017193147</v>
      </c>
      <c r="J77" s="47"/>
      <c r="L77" s="9"/>
      <c r="M77" s="11"/>
      <c r="N77" s="11"/>
      <c r="O77" s="11"/>
      <c r="P77" s="11"/>
      <c r="Q77" s="11"/>
      <c r="R77" s="38"/>
      <c r="S77" s="11"/>
      <c r="T77" s="11"/>
      <c r="U77" s="51"/>
      <c r="V77" s="23"/>
      <c r="W77" s="41"/>
      <c r="X77" s="50"/>
      <c r="Y77" s="53"/>
    </row>
    <row r="78" spans="1:25" ht="24.9" customHeight="1">
      <c r="A78" s="45"/>
      <c r="E78" s="57">
        <f t="shared" si="5"/>
        <v>7</v>
      </c>
      <c r="F78" s="58">
        <f t="shared" si="3"/>
        <v>35</v>
      </c>
      <c r="G78" s="58">
        <f t="shared" si="4"/>
        <v>26.609672974125392</v>
      </c>
      <c r="J78" s="47"/>
      <c r="L78" s="9"/>
      <c r="M78" s="11"/>
      <c r="N78" s="11"/>
      <c r="O78" s="11"/>
      <c r="P78" s="11"/>
      <c r="Q78" s="23"/>
      <c r="R78" s="54"/>
      <c r="S78" s="11"/>
      <c r="T78" s="11"/>
      <c r="U78" s="22"/>
      <c r="V78" s="11"/>
      <c r="W78" s="55"/>
      <c r="X78" s="25" t="s">
        <v>31</v>
      </c>
      <c r="Y78" s="56">
        <f>SUM(Y64:Y73)</f>
        <v>283.98041899366018</v>
      </c>
    </row>
    <row r="79" spans="1:25" ht="24.9" customHeight="1">
      <c r="A79" s="45"/>
      <c r="E79" s="57">
        <f t="shared" si="5"/>
        <v>8</v>
      </c>
      <c r="F79" s="58">
        <f t="shared" si="3"/>
        <v>35</v>
      </c>
      <c r="G79" s="58">
        <f t="shared" si="4"/>
        <v>25.587948312375008</v>
      </c>
      <c r="J79" s="47"/>
      <c r="L79" s="9"/>
      <c r="M79" s="11"/>
      <c r="N79" s="11"/>
      <c r="O79" s="11"/>
      <c r="P79" s="11"/>
      <c r="Q79" s="11"/>
      <c r="R79" s="38"/>
      <c r="S79" s="11"/>
      <c r="T79" s="11"/>
      <c r="U79" s="22"/>
      <c r="V79" s="11"/>
      <c r="W79" s="55"/>
      <c r="X79" s="25" t="s">
        <v>30</v>
      </c>
      <c r="Y79" s="56">
        <f>1000/(1+V63)^(W74)</f>
        <v>676.01958100641502</v>
      </c>
    </row>
    <row r="80" spans="1:25" ht="24.9" customHeight="1">
      <c r="A80" s="45"/>
      <c r="E80" s="57">
        <f t="shared" si="5"/>
        <v>9</v>
      </c>
      <c r="F80" s="58">
        <f t="shared" si="3"/>
        <v>35</v>
      </c>
      <c r="G80" s="58">
        <f t="shared" si="4"/>
        <v>24.605454545549332</v>
      </c>
      <c r="J80" s="47"/>
      <c r="L80" s="9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55"/>
      <c r="X80" s="11"/>
      <c r="Y80" s="56">
        <f>Y78+Y79</f>
        <v>960.00000000007526</v>
      </c>
    </row>
    <row r="81" spans="1:25" ht="24.9" customHeight="1">
      <c r="A81" s="45"/>
      <c r="E81" s="57">
        <f t="shared" si="5"/>
        <v>10</v>
      </c>
      <c r="F81" s="58">
        <f>X73+X74</f>
        <v>1035</v>
      </c>
      <c r="G81" s="58">
        <f>Y73+Y74</f>
        <v>699.68026634163959</v>
      </c>
      <c r="J81" s="47"/>
    </row>
    <row r="82" spans="1:25" ht="24.9" customHeight="1">
      <c r="A82" s="45"/>
      <c r="E82" s="57" t="s">
        <v>59</v>
      </c>
      <c r="F82" s="58">
        <f>F71</f>
        <v>-960</v>
      </c>
      <c r="G82" s="58">
        <f>G71</f>
        <v>-960</v>
      </c>
      <c r="J82" s="47"/>
    </row>
    <row r="83" spans="1:25" ht="24.9" customHeight="1">
      <c r="A83" s="45"/>
      <c r="E83" s="59" t="s">
        <v>60</v>
      </c>
      <c r="F83" s="58">
        <f>SUM(F72:F81)</f>
        <v>1350</v>
      </c>
      <c r="G83" s="58">
        <f>SUM(G72:G81)</f>
        <v>960.00000000007526</v>
      </c>
      <c r="J83" s="47"/>
    </row>
    <row r="84" spans="1:25" ht="24.9" customHeight="1">
      <c r="A84" s="45"/>
      <c r="E84" s="59" t="s">
        <v>61</v>
      </c>
      <c r="F84" s="58">
        <f>F83+F82</f>
        <v>390</v>
      </c>
      <c r="G84" s="58">
        <f>G83+G82</f>
        <v>7.5260686571709812E-11</v>
      </c>
      <c r="J84" s="47"/>
    </row>
    <row r="85" spans="1:25">
      <c r="A85" s="45"/>
      <c r="J85" s="47"/>
    </row>
    <row r="86" spans="1:25">
      <c r="A86" s="45"/>
      <c r="J86" s="47"/>
    </row>
    <row r="87" spans="1:25">
      <c r="A87" s="45"/>
      <c r="J87" s="47"/>
    </row>
    <row r="88" spans="1:25" ht="15.6">
      <c r="A88" s="44" t="s">
        <v>56</v>
      </c>
      <c r="B88" t="s">
        <v>158</v>
      </c>
      <c r="J88" s="46"/>
      <c r="L88" s="9"/>
      <c r="M88" s="10" t="s">
        <v>62</v>
      </c>
      <c r="N88" s="9"/>
      <c r="O88" s="9"/>
      <c r="P88" s="9"/>
      <c r="Q88" s="9"/>
      <c r="R88" s="9"/>
      <c r="S88" s="9"/>
      <c r="T88" s="60"/>
      <c r="U88" s="9"/>
      <c r="V88" s="9"/>
      <c r="W88" s="61">
        <f>Q93</f>
        <v>4.7E-2</v>
      </c>
      <c r="X88" s="9"/>
      <c r="Y88" s="9"/>
    </row>
    <row r="89" spans="1:25" ht="15.6">
      <c r="A89" s="45"/>
      <c r="B89" t="s">
        <v>159</v>
      </c>
      <c r="J89" s="47"/>
      <c r="L89" s="9"/>
      <c r="M89" s="11"/>
      <c r="N89" s="11"/>
      <c r="O89" s="11"/>
      <c r="P89" s="11"/>
      <c r="Q89" s="11"/>
      <c r="R89" s="11"/>
      <c r="S89" s="11"/>
      <c r="T89" s="38"/>
      <c r="U89" s="25" t="s">
        <v>63</v>
      </c>
      <c r="V89" s="25"/>
      <c r="W89" s="25" t="s">
        <v>64</v>
      </c>
      <c r="X89" s="25"/>
      <c r="Y89" s="25" t="s">
        <v>65</v>
      </c>
    </row>
    <row r="90" spans="1:25" ht="15.6">
      <c r="A90" s="45"/>
      <c r="J90" s="47"/>
      <c r="L90" s="9"/>
      <c r="M90" s="11" t="s">
        <v>11</v>
      </c>
      <c r="N90" s="11"/>
      <c r="O90" s="11"/>
      <c r="P90" s="11"/>
      <c r="Q90" s="12">
        <v>0.05</v>
      </c>
      <c r="R90" s="11"/>
      <c r="S90" s="11"/>
      <c r="T90" s="38"/>
      <c r="U90" s="25" t="s">
        <v>66</v>
      </c>
      <c r="V90" s="25" t="s">
        <v>67</v>
      </c>
      <c r="W90" s="25" t="s">
        <v>67</v>
      </c>
      <c r="X90" s="25" t="s">
        <v>68</v>
      </c>
      <c r="Y90" s="25" t="s">
        <v>68</v>
      </c>
    </row>
    <row r="91" spans="1:25" ht="15.6">
      <c r="A91" s="45" t="s">
        <v>91</v>
      </c>
      <c r="E91" s="95">
        <f>O102</f>
        <v>2.8600272762519672</v>
      </c>
      <c r="J91" s="47">
        <v>2</v>
      </c>
      <c r="L91" s="9"/>
      <c r="M91" s="11" t="s">
        <v>69</v>
      </c>
      <c r="N91" s="11"/>
      <c r="O91" s="11"/>
      <c r="P91" s="11"/>
      <c r="Q91" s="62">
        <v>1</v>
      </c>
      <c r="R91" s="11"/>
      <c r="S91" s="63" t="s">
        <v>70</v>
      </c>
      <c r="T91" s="38"/>
      <c r="U91" s="11">
        <v>1</v>
      </c>
      <c r="V91" s="64">
        <f>1000*$Q$90</f>
        <v>50</v>
      </c>
      <c r="W91" s="64">
        <f>(V91/((1+$W$88)^U91))</f>
        <v>47.755491881566385</v>
      </c>
      <c r="X91" s="65">
        <f>W91/$W$94</f>
        <v>4.7366335411826416E-2</v>
      </c>
      <c r="Y91" s="65">
        <f>U91*X91</f>
        <v>4.7366335411826416E-2</v>
      </c>
    </row>
    <row r="92" spans="1:25" ht="15.6">
      <c r="A92" s="45"/>
      <c r="J92" s="47"/>
      <c r="L92" s="9"/>
      <c r="M92" s="11" t="s">
        <v>12</v>
      </c>
      <c r="N92" s="11"/>
      <c r="O92" s="11"/>
      <c r="P92" s="11"/>
      <c r="Q92" s="62">
        <v>3</v>
      </c>
      <c r="R92" s="11"/>
      <c r="S92" s="66">
        <v>36526</v>
      </c>
      <c r="T92" s="38"/>
      <c r="U92" s="11">
        <v>2</v>
      </c>
      <c r="V92" s="64">
        <f>1000*$Q$90</f>
        <v>50</v>
      </c>
      <c r="W92" s="64">
        <f>(V92/((1+$W$88)^U92))</f>
        <v>45.611740097007058</v>
      </c>
      <c r="X92" s="65">
        <f>W92/$W$94</f>
        <v>4.524005292438054E-2</v>
      </c>
      <c r="Y92" s="65">
        <f>U92*X92</f>
        <v>9.048010584876108E-2</v>
      </c>
    </row>
    <row r="93" spans="1:25" ht="15.6">
      <c r="A93" s="45"/>
      <c r="J93" s="47"/>
      <c r="L93" s="9"/>
      <c r="M93" s="11" t="s">
        <v>71</v>
      </c>
      <c r="N93" s="11"/>
      <c r="O93" s="11"/>
      <c r="P93" s="11"/>
      <c r="Q93" s="67">
        <v>4.7E-2</v>
      </c>
      <c r="R93" s="11"/>
      <c r="S93" s="66">
        <f>DATE(YEAR(S92)+Q92,MONTH(S92),DAY(S92))</f>
        <v>37622</v>
      </c>
      <c r="T93" s="38"/>
      <c r="U93" s="11">
        <v>3</v>
      </c>
      <c r="V93" s="64">
        <f>1000*$Q$90+1000</f>
        <v>1050</v>
      </c>
      <c r="W93" s="64">
        <f>(V93/((1+$W$88)^U93))</f>
        <v>914.84865524082932</v>
      </c>
      <c r="X93" s="65">
        <f>W93/$W$94</f>
        <v>0.90739361166379306</v>
      </c>
      <c r="Y93" s="65">
        <f>U93*X93</f>
        <v>2.722180834991379</v>
      </c>
    </row>
    <row r="94" spans="1:25" ht="15.6">
      <c r="A94" s="45"/>
      <c r="J94" s="47"/>
      <c r="L94" s="9"/>
      <c r="M94" s="11" t="s">
        <v>72</v>
      </c>
      <c r="N94" s="11"/>
      <c r="O94" s="11"/>
      <c r="P94" s="11"/>
      <c r="Q94" s="68">
        <v>4.7E-2</v>
      </c>
      <c r="R94" s="11"/>
      <c r="S94" s="66"/>
      <c r="T94" s="38"/>
      <c r="U94" s="25" t="s">
        <v>73</v>
      </c>
      <c r="V94" s="64"/>
      <c r="W94" s="69">
        <f>SUM(W91:W93)</f>
        <v>1008.2158872194027</v>
      </c>
      <c r="X94" s="70">
        <f>SUM(X91:X93)</f>
        <v>1</v>
      </c>
      <c r="Y94" s="71">
        <f>SUM(Y91:Y93)</f>
        <v>2.8600272762519663</v>
      </c>
    </row>
    <row r="95" spans="1:25" ht="15.6">
      <c r="A95" s="45"/>
      <c r="J95" s="47"/>
      <c r="L95" s="9"/>
      <c r="M95" s="11"/>
      <c r="N95" s="11"/>
      <c r="O95" s="11"/>
      <c r="P95" s="11"/>
      <c r="Q95" s="11"/>
      <c r="R95" s="11"/>
      <c r="S95" s="66"/>
      <c r="T95" s="38"/>
      <c r="U95" s="11"/>
      <c r="V95" s="64"/>
      <c r="W95" s="64"/>
      <c r="X95" s="65"/>
      <c r="Y95" s="65"/>
    </row>
    <row r="96" spans="1:25" ht="15.6">
      <c r="A96" s="45"/>
      <c r="J96" s="47"/>
      <c r="L96" s="9"/>
      <c r="M96" s="11"/>
      <c r="N96" s="11"/>
      <c r="O96" s="11"/>
      <c r="P96" s="11"/>
      <c r="Q96" s="11"/>
      <c r="R96" s="11"/>
      <c r="S96" s="66"/>
      <c r="T96" s="38"/>
      <c r="U96" s="11"/>
      <c r="V96" s="64"/>
      <c r="W96" s="64"/>
      <c r="X96" s="65"/>
      <c r="Y96" s="65"/>
    </row>
    <row r="97" spans="1:25" ht="15.6">
      <c r="A97" s="45"/>
      <c r="J97" s="47"/>
      <c r="L97" s="9"/>
      <c r="M97" s="11"/>
      <c r="N97" s="11"/>
      <c r="O97" s="11"/>
      <c r="P97" s="11"/>
      <c r="Q97" s="11"/>
      <c r="R97" s="11"/>
      <c r="S97" s="66"/>
      <c r="T97" s="38"/>
      <c r="U97" s="11"/>
      <c r="V97" s="64"/>
      <c r="W97" s="64"/>
      <c r="X97" s="65"/>
      <c r="Y97" s="65"/>
    </row>
    <row r="98" spans="1:25" ht="15.6">
      <c r="A98" s="45"/>
      <c r="J98" s="47"/>
      <c r="L98" s="9"/>
      <c r="R98" s="11"/>
      <c r="S98" s="11"/>
      <c r="T98" s="38"/>
    </row>
    <row r="99" spans="1:25" ht="15.6">
      <c r="A99" s="45"/>
      <c r="J99" s="47"/>
      <c r="L99" s="9"/>
      <c r="M99" s="11"/>
      <c r="N99" s="11"/>
      <c r="O99" s="11"/>
      <c r="P99" s="11"/>
      <c r="Q99" s="11"/>
      <c r="R99" s="11"/>
      <c r="S99" s="11"/>
      <c r="T99" s="38"/>
      <c r="U99" s="11"/>
      <c r="V99" s="11"/>
      <c r="W99" s="11"/>
      <c r="X99" s="11"/>
      <c r="Y99" s="11"/>
    </row>
    <row r="100" spans="1:25" ht="15.6">
      <c r="A100" s="45"/>
      <c r="J100" s="47"/>
      <c r="L100" s="14" t="s">
        <v>0</v>
      </c>
      <c r="M100" s="11"/>
      <c r="N100" s="11"/>
      <c r="O100" s="11"/>
      <c r="P100" s="11"/>
      <c r="Q100" s="11"/>
      <c r="R100" s="11"/>
      <c r="S100" s="11"/>
      <c r="T100" s="38"/>
      <c r="U100" s="11"/>
      <c r="V100" s="11"/>
      <c r="W100" s="72">
        <f>Q94</f>
        <v>4.7E-2</v>
      </c>
      <c r="X100" s="11"/>
      <c r="Y100" s="11"/>
    </row>
    <row r="101" spans="1:25" ht="15.6">
      <c r="A101" s="45"/>
      <c r="J101" s="47"/>
      <c r="L101" s="9"/>
      <c r="M101" s="11"/>
      <c r="N101" s="11"/>
      <c r="O101" s="11"/>
      <c r="P101" s="11"/>
      <c r="Q101" s="11"/>
      <c r="R101" s="11"/>
      <c r="S101" s="11"/>
      <c r="T101" s="38"/>
      <c r="U101" s="25" t="s">
        <v>63</v>
      </c>
      <c r="V101" s="25"/>
      <c r="W101" s="25" t="s">
        <v>64</v>
      </c>
      <c r="X101" s="25"/>
      <c r="Y101" s="25" t="s">
        <v>65</v>
      </c>
    </row>
    <row r="102" spans="1:25" ht="15.6">
      <c r="A102" s="45"/>
      <c r="J102" s="47"/>
      <c r="L102" s="9"/>
      <c r="M102" s="11" t="s">
        <v>74</v>
      </c>
      <c r="N102" s="11"/>
      <c r="O102" s="73">
        <f>DURATION(S92,S93,Q90,Q93,Q91)</f>
        <v>2.8600272762519672</v>
      </c>
      <c r="P102" s="74"/>
      <c r="Q102" s="11"/>
      <c r="R102" s="11"/>
      <c r="S102" s="11"/>
      <c r="T102" s="38"/>
      <c r="U102" s="25" t="s">
        <v>66</v>
      </c>
      <c r="V102" s="25" t="s">
        <v>67</v>
      </c>
      <c r="W102" s="25" t="s">
        <v>67</v>
      </c>
      <c r="X102" s="25" t="s">
        <v>68</v>
      </c>
      <c r="Y102" s="25" t="s">
        <v>68</v>
      </c>
    </row>
    <row r="103" spans="1:25" ht="15.6">
      <c r="A103" s="44" t="s">
        <v>79</v>
      </c>
      <c r="B103" t="s">
        <v>160</v>
      </c>
      <c r="J103" s="46"/>
      <c r="L103" s="9"/>
      <c r="M103" s="11" t="s">
        <v>75</v>
      </c>
      <c r="N103" s="11"/>
      <c r="O103" s="75">
        <f>DURATION(S92,S93,Q90,Q94,Q91)</f>
        <v>2.8600272762519672</v>
      </c>
      <c r="P103" s="11"/>
      <c r="Q103" s="11"/>
      <c r="R103" s="11"/>
      <c r="S103" s="11"/>
      <c r="T103" s="38"/>
      <c r="U103" s="11">
        <v>1</v>
      </c>
      <c r="V103" s="64">
        <f>1000*$Q$90</f>
        <v>50</v>
      </c>
      <c r="W103" s="64">
        <f>(V103/((1+$W$100)^U103))</f>
        <v>47.755491881566385</v>
      </c>
      <c r="X103" s="65">
        <f>W103/$W$106</f>
        <v>4.7366335411826416E-2</v>
      </c>
      <c r="Y103" s="65">
        <f>U103*X103</f>
        <v>4.7366335411826416E-2</v>
      </c>
    </row>
    <row r="104" spans="1:25" ht="15.6">
      <c r="A104" s="45"/>
      <c r="B104" t="s">
        <v>161</v>
      </c>
      <c r="J104" s="47"/>
      <c r="L104" s="9"/>
      <c r="M104" s="11" t="s">
        <v>76</v>
      </c>
      <c r="N104" s="11"/>
      <c r="O104" s="73">
        <f>MDURATION(S92,S93,Q90,Q93,Q91)</f>
        <v>2.7316401874421845</v>
      </c>
      <c r="P104" s="11"/>
      <c r="Q104" s="76">
        <f>O102/(1+Q93)</f>
        <v>2.7316401874421845</v>
      </c>
      <c r="R104" s="11"/>
      <c r="S104" s="11" t="s">
        <v>77</v>
      </c>
      <c r="T104" s="38"/>
      <c r="U104" s="11">
        <v>2</v>
      </c>
      <c r="V104" s="64">
        <f>1000*$Q$90</f>
        <v>50</v>
      </c>
      <c r="W104" s="64">
        <f>(V104/((1+$W$100)^U104))</f>
        <v>45.611740097007058</v>
      </c>
      <c r="X104" s="65">
        <f>W104/$W$106</f>
        <v>4.524005292438054E-2</v>
      </c>
      <c r="Y104" s="65">
        <f>U104*X104</f>
        <v>9.048010584876108E-2</v>
      </c>
    </row>
    <row r="105" spans="1:25" ht="15.6">
      <c r="A105" s="20"/>
      <c r="J105" s="47"/>
      <c r="L105" s="9"/>
      <c r="M105" s="11" t="s">
        <v>78</v>
      </c>
      <c r="N105" s="11"/>
      <c r="O105" s="75">
        <f>MDURATION(S92,S93,Q90,Q94,Q91)</f>
        <v>2.7316401874421845</v>
      </c>
      <c r="P105" s="11"/>
      <c r="Q105" s="76">
        <f>O103/(1+Q94)</f>
        <v>2.7316401874421845</v>
      </c>
      <c r="R105" s="11"/>
      <c r="S105" s="11" t="s">
        <v>77</v>
      </c>
      <c r="T105" s="38"/>
      <c r="U105" s="11">
        <v>3</v>
      </c>
      <c r="V105" s="64">
        <f>1000*$Q$90+1000</f>
        <v>1050</v>
      </c>
      <c r="W105" s="64">
        <f>(V105/((1+$W$100)^U105))</f>
        <v>914.84865524082932</v>
      </c>
      <c r="X105" s="65">
        <f>W105/$W$106</f>
        <v>0.90739361166379306</v>
      </c>
      <c r="Y105" s="65">
        <f>U105*X105</f>
        <v>2.722180834991379</v>
      </c>
    </row>
    <row r="106" spans="1:25" ht="15.6">
      <c r="A106" s="20" t="s">
        <v>91</v>
      </c>
      <c r="E106" s="95">
        <f>O104</f>
        <v>2.7316401874421845</v>
      </c>
      <c r="J106" s="47">
        <v>2</v>
      </c>
      <c r="L106" s="9"/>
      <c r="U106" s="25" t="s">
        <v>73</v>
      </c>
      <c r="V106" s="64"/>
      <c r="W106" s="69">
        <f>SUM(W103:W105)</f>
        <v>1008.2158872194027</v>
      </c>
      <c r="X106" s="70">
        <f>SUM(X103:X105)</f>
        <v>1</v>
      </c>
      <c r="Y106" s="77">
        <f>SUM(Y103:Y105)</f>
        <v>2.8600272762519663</v>
      </c>
    </row>
    <row r="107" spans="1:25" ht="15.6">
      <c r="A107" s="20"/>
      <c r="J107" s="47"/>
      <c r="L107" s="9"/>
      <c r="U107" s="11"/>
      <c r="V107" s="11"/>
      <c r="W107" s="11"/>
      <c r="X107" s="11"/>
      <c r="Y107" s="11"/>
    </row>
    <row r="108" spans="1:25" ht="15.6">
      <c r="A108" s="20"/>
      <c r="J108" s="47"/>
      <c r="L108" s="9"/>
      <c r="U108" s="11"/>
      <c r="V108" s="11"/>
      <c r="W108" s="11"/>
      <c r="X108" s="11"/>
      <c r="Y108" s="11"/>
    </row>
    <row r="109" spans="1:25" ht="15.6">
      <c r="A109" s="20"/>
      <c r="J109" s="47"/>
      <c r="L109" s="9"/>
      <c r="U109" s="11"/>
      <c r="V109" s="11"/>
      <c r="W109" s="11"/>
      <c r="X109" s="11"/>
      <c r="Y109" s="11"/>
    </row>
    <row r="110" spans="1:25">
      <c r="A110" s="20"/>
      <c r="J110" s="47"/>
    </row>
    <row r="111" spans="1:25">
      <c r="A111" s="20"/>
      <c r="J111" s="47"/>
    </row>
    <row r="112" spans="1:25">
      <c r="A112" s="20"/>
      <c r="J112" s="47"/>
    </row>
    <row r="113" spans="1:42">
      <c r="A113" s="20"/>
      <c r="J113" s="47"/>
    </row>
    <row r="114" spans="1:42" ht="15.6">
      <c r="A114" s="44" t="s">
        <v>80</v>
      </c>
      <c r="B114" t="s">
        <v>84</v>
      </c>
      <c r="J114" s="46"/>
      <c r="L114" s="9"/>
      <c r="M114" s="10" t="s">
        <v>62</v>
      </c>
      <c r="N114" s="9"/>
      <c r="O114" s="9"/>
      <c r="P114" s="9"/>
      <c r="Q114" s="9"/>
      <c r="R114" s="9"/>
      <c r="S114" s="9"/>
      <c r="AH114" s="9"/>
      <c r="AI114" s="23" t="s">
        <v>9</v>
      </c>
      <c r="AJ114" s="11"/>
      <c r="AK114" s="24">
        <v>1027</v>
      </c>
      <c r="AL114" s="11"/>
      <c r="AM114" s="22"/>
      <c r="AN114" s="25" t="s">
        <v>24</v>
      </c>
      <c r="AO114" s="26">
        <v>42004</v>
      </c>
    </row>
    <row r="115" spans="1:42" ht="15.6">
      <c r="A115" s="45"/>
      <c r="B115" t="s">
        <v>81</v>
      </c>
      <c r="J115" s="47"/>
      <c r="L115" s="9"/>
      <c r="M115" s="11"/>
      <c r="N115" s="11"/>
      <c r="O115" s="11"/>
      <c r="P115" s="11"/>
      <c r="Q115" s="11"/>
      <c r="R115" s="11"/>
      <c r="S115" s="11"/>
      <c r="AB115" s="9"/>
      <c r="AC115" s="10" t="s">
        <v>9</v>
      </c>
      <c r="AD115" s="9"/>
      <c r="AE115" s="9"/>
      <c r="AF115" s="9"/>
      <c r="AH115" s="9"/>
      <c r="AI115" s="23" t="s">
        <v>12</v>
      </c>
      <c r="AJ115" s="11"/>
      <c r="AK115" s="27">
        <v>9</v>
      </c>
      <c r="AL115" s="11"/>
      <c r="AM115" s="22"/>
      <c r="AN115" s="25" t="s">
        <v>25</v>
      </c>
      <c r="AO115" s="26">
        <v>45291</v>
      </c>
    </row>
    <row r="116" spans="1:42" ht="15.6">
      <c r="A116" s="20"/>
      <c r="J116" s="47"/>
      <c r="L116" s="9"/>
      <c r="M116" s="11" t="s">
        <v>11</v>
      </c>
      <c r="N116" s="11"/>
      <c r="O116" s="11"/>
      <c r="P116" s="11"/>
      <c r="Q116" s="12">
        <v>5.2999999999999999E-2</v>
      </c>
      <c r="R116" s="11"/>
      <c r="S116" s="11"/>
      <c r="AB116" s="9"/>
      <c r="AC116" s="11"/>
      <c r="AD116" s="11"/>
      <c r="AE116" s="11"/>
      <c r="AF116" s="11"/>
      <c r="AH116" s="9"/>
      <c r="AI116" s="23" t="s">
        <v>1</v>
      </c>
      <c r="AJ116" s="11"/>
      <c r="AK116" s="28">
        <v>5.2999999999999999E-2</v>
      </c>
      <c r="AL116" s="11"/>
      <c r="AM116" s="22"/>
      <c r="AN116" s="25" t="s">
        <v>26</v>
      </c>
      <c r="AO116" s="29">
        <f>AK116</f>
        <v>5.2999999999999999E-2</v>
      </c>
    </row>
    <row r="117" spans="1:42" ht="15.6">
      <c r="A117" s="20" t="s">
        <v>91</v>
      </c>
      <c r="B117" t="s">
        <v>52</v>
      </c>
      <c r="E117" s="88">
        <f>Q119</f>
        <v>4.9249969482844845E-2</v>
      </c>
      <c r="J117" s="47">
        <v>2</v>
      </c>
      <c r="L117" s="9"/>
      <c r="M117" s="11" t="s">
        <v>69</v>
      </c>
      <c r="N117" s="11"/>
      <c r="O117" s="11"/>
      <c r="P117" s="11"/>
      <c r="Q117" s="62">
        <v>2</v>
      </c>
      <c r="R117" s="11"/>
      <c r="S117" s="63" t="s">
        <v>70</v>
      </c>
      <c r="AB117" s="9"/>
      <c r="AC117" s="11" t="s">
        <v>1</v>
      </c>
      <c r="AD117" s="11"/>
      <c r="AE117" s="12">
        <v>5.2999999999999999E-2</v>
      </c>
      <c r="AF117" s="11"/>
      <c r="AH117" s="9"/>
      <c r="AI117" s="11"/>
      <c r="AJ117" s="11"/>
      <c r="AK117" s="11"/>
      <c r="AL117" s="11"/>
      <c r="AM117" s="22"/>
      <c r="AN117" s="25" t="s">
        <v>27</v>
      </c>
      <c r="AO117" s="30">
        <f>AK114/10</f>
        <v>102.7</v>
      </c>
    </row>
    <row r="118" spans="1:42" ht="15.6">
      <c r="A118" s="20"/>
      <c r="J118" s="47"/>
      <c r="L118" s="9"/>
      <c r="M118" s="11" t="s">
        <v>12</v>
      </c>
      <c r="N118" s="11"/>
      <c r="O118" s="11"/>
      <c r="P118" s="11"/>
      <c r="Q118" s="62">
        <v>9</v>
      </c>
      <c r="R118" s="11"/>
      <c r="S118" s="66">
        <v>36526</v>
      </c>
      <c r="AB118" s="9"/>
      <c r="AC118" s="11" t="s">
        <v>5</v>
      </c>
      <c r="AD118" s="11"/>
      <c r="AE118" s="12">
        <f>AE119/2</f>
        <v>2.6499999999999999E-2</v>
      </c>
      <c r="AF118" s="11"/>
      <c r="AH118" s="35" t="s">
        <v>0</v>
      </c>
      <c r="AI118" s="23"/>
      <c r="AJ118" s="23"/>
      <c r="AK118" s="23"/>
      <c r="AL118" s="11"/>
      <c r="AM118" s="22"/>
      <c r="AN118" s="25" t="s">
        <v>10</v>
      </c>
      <c r="AO118" s="30">
        <f>1000/10</f>
        <v>100</v>
      </c>
    </row>
    <row r="119" spans="1:42" ht="15.6">
      <c r="A119" s="20"/>
      <c r="J119" s="47"/>
      <c r="L119" s="9"/>
      <c r="M119" s="11" t="s">
        <v>71</v>
      </c>
      <c r="N119" s="11"/>
      <c r="O119" s="11"/>
      <c r="P119" s="11"/>
      <c r="Q119" s="78">
        <f>AK120</f>
        <v>4.9249969482844845E-2</v>
      </c>
      <c r="R119" s="11"/>
      <c r="S119" s="66">
        <f>DATE(YEAR(S118)+Q118,MONTH(S118),DAY(S118))</f>
        <v>39814</v>
      </c>
      <c r="AB119" s="9"/>
      <c r="AC119" s="11" t="s">
        <v>38</v>
      </c>
      <c r="AD119" s="11"/>
      <c r="AE119" s="12">
        <v>5.2999999999999999E-2</v>
      </c>
      <c r="AF119" s="11"/>
      <c r="AH119" s="39" t="s">
        <v>16</v>
      </c>
      <c r="AI119" s="23" t="s">
        <v>4</v>
      </c>
      <c r="AJ119" s="23"/>
      <c r="AK119" s="40">
        <f>AK116*1000/AK114</f>
        <v>5.1606621226874393E-2</v>
      </c>
      <c r="AL119" s="42">
        <f>AK119</f>
        <v>5.1606621226874393E-2</v>
      </c>
      <c r="AM119" s="22"/>
      <c r="AN119" s="25" t="s">
        <v>28</v>
      </c>
      <c r="AO119" s="23">
        <v>2</v>
      </c>
    </row>
    <row r="120" spans="1:42" ht="15.6">
      <c r="A120" s="20"/>
      <c r="J120" s="47"/>
      <c r="L120" s="9"/>
      <c r="M120" s="11" t="s">
        <v>72</v>
      </c>
      <c r="N120" s="11"/>
      <c r="O120" s="11"/>
      <c r="P120" s="11"/>
      <c r="Q120" s="79">
        <f>Q119</f>
        <v>4.9249969482844845E-2</v>
      </c>
      <c r="R120" s="11"/>
      <c r="S120" s="11"/>
      <c r="AB120" s="9"/>
      <c r="AC120" s="11" t="s">
        <v>6</v>
      </c>
      <c r="AD120" s="11"/>
      <c r="AE120" s="13">
        <v>9</v>
      </c>
      <c r="AF120" s="11"/>
      <c r="AH120" s="39" t="s">
        <v>17</v>
      </c>
      <c r="AI120" s="23" t="s">
        <v>3</v>
      </c>
      <c r="AJ120" s="23"/>
      <c r="AK120" s="43">
        <f>RATE(AK115*2,(AK116/2)*1000,-AK114,1000)*2</f>
        <v>4.9249969482844845E-2</v>
      </c>
      <c r="AL120" s="42">
        <f>AK120</f>
        <v>4.9249969482844845E-2</v>
      </c>
      <c r="AM120" s="22"/>
      <c r="AN120" s="25" t="s">
        <v>34</v>
      </c>
      <c r="AO120" s="31">
        <f>YIELD(AO114,AO115,AO116,AO117,AO118,AO119)</f>
        <v>4.9249969482844311E-2</v>
      </c>
    </row>
    <row r="121" spans="1:42" ht="15.6">
      <c r="A121" s="20"/>
      <c r="J121" s="47"/>
      <c r="L121" s="9"/>
      <c r="M121" s="11"/>
      <c r="N121" s="11"/>
      <c r="O121" s="11"/>
      <c r="P121" s="11"/>
      <c r="Q121" s="79"/>
      <c r="R121" s="11"/>
      <c r="S121" s="11"/>
      <c r="AB121" s="9"/>
      <c r="AC121" s="11"/>
      <c r="AD121" s="11"/>
      <c r="AE121" s="13"/>
      <c r="AF121" s="11"/>
      <c r="AH121" s="39"/>
      <c r="AI121" s="23"/>
      <c r="AJ121" s="23"/>
      <c r="AK121" s="43"/>
      <c r="AL121" s="42"/>
      <c r="AM121" s="22"/>
      <c r="AN121" s="25"/>
      <c r="AO121" s="31"/>
    </row>
    <row r="122" spans="1:42" ht="15.6">
      <c r="A122" s="20"/>
      <c r="J122" s="47"/>
      <c r="L122" s="9"/>
      <c r="M122" s="11"/>
      <c r="N122" s="11"/>
      <c r="O122" s="11"/>
      <c r="P122" s="11"/>
      <c r="Q122" s="11"/>
      <c r="R122" s="11"/>
      <c r="S122" s="11"/>
      <c r="AB122" s="14" t="s">
        <v>0</v>
      </c>
      <c r="AC122" s="11"/>
      <c r="AD122" s="11"/>
      <c r="AE122" s="11"/>
      <c r="AF122" s="11"/>
      <c r="AK122" t="s">
        <v>32</v>
      </c>
      <c r="AM122" s="22"/>
      <c r="AN122" s="32" t="s">
        <v>33</v>
      </c>
      <c r="AO122" s="11"/>
    </row>
    <row r="123" spans="1:42" ht="15.6">
      <c r="A123" s="20" t="s">
        <v>91</v>
      </c>
      <c r="B123" t="s">
        <v>85</v>
      </c>
      <c r="E123" s="95">
        <f>O126</f>
        <v>7.2995894407085924</v>
      </c>
      <c r="J123" s="47">
        <v>2</v>
      </c>
      <c r="L123" s="14" t="s">
        <v>0</v>
      </c>
      <c r="M123" s="11"/>
      <c r="N123" s="11"/>
      <c r="O123" s="11"/>
      <c r="P123" s="11"/>
      <c r="Q123" s="11"/>
      <c r="R123" s="11"/>
      <c r="S123" s="11"/>
      <c r="AB123" s="9"/>
      <c r="AC123" s="11" t="s">
        <v>7</v>
      </c>
      <c r="AD123" s="11"/>
      <c r="AE123" s="11"/>
      <c r="AF123" s="15">
        <f>-PV(AE118,AE120*2,AE117*1000/2,1000)</f>
        <v>1000</v>
      </c>
      <c r="AH123" s="9"/>
      <c r="AI123" s="11"/>
      <c r="AJ123" s="11"/>
      <c r="AK123" s="11"/>
      <c r="AL123" s="11"/>
      <c r="AM123" s="11"/>
      <c r="AN123" s="11"/>
      <c r="AO123" s="11"/>
      <c r="AP123" s="11"/>
    </row>
    <row r="124" spans="1:42" ht="15.6">
      <c r="A124" s="20"/>
      <c r="J124" s="47"/>
      <c r="L124" s="14"/>
      <c r="M124" s="11"/>
      <c r="N124" s="11"/>
      <c r="O124" s="11"/>
      <c r="P124" s="11"/>
      <c r="Q124" s="11"/>
      <c r="R124" s="11"/>
      <c r="S124" s="11"/>
      <c r="AB124" s="9"/>
      <c r="AC124" s="11"/>
      <c r="AD124" s="11"/>
      <c r="AE124" s="11"/>
      <c r="AF124" s="15"/>
      <c r="AH124" s="9"/>
      <c r="AI124" s="11"/>
      <c r="AJ124" s="11"/>
      <c r="AK124" s="11"/>
      <c r="AL124" s="11"/>
      <c r="AM124" s="11"/>
      <c r="AN124" s="11"/>
      <c r="AO124" s="11"/>
      <c r="AP124" s="11"/>
    </row>
    <row r="125" spans="1:42" ht="15.6">
      <c r="A125" s="20"/>
      <c r="J125" s="47"/>
      <c r="L125" s="9"/>
      <c r="M125" s="11"/>
      <c r="N125" s="11"/>
      <c r="O125" s="11"/>
      <c r="P125" s="11"/>
      <c r="Q125" s="11"/>
      <c r="R125" s="11"/>
      <c r="S125" s="11"/>
    </row>
    <row r="126" spans="1:42" ht="15.6">
      <c r="A126" s="20"/>
      <c r="J126" s="47"/>
      <c r="L126" s="9"/>
      <c r="M126" s="11" t="s">
        <v>74</v>
      </c>
      <c r="N126" s="11"/>
      <c r="O126" s="73">
        <f>DURATION(S118,S119,Q116,Q119,Q117)</f>
        <v>7.2995894407085924</v>
      </c>
      <c r="P126" s="74"/>
      <c r="Q126" s="11"/>
      <c r="R126" s="11"/>
      <c r="S126" s="11"/>
    </row>
    <row r="127" spans="1:42" ht="15.6">
      <c r="A127" s="20"/>
      <c r="J127" s="47"/>
      <c r="L127" s="9"/>
      <c r="M127" s="11" t="s">
        <v>75</v>
      </c>
      <c r="N127" s="11"/>
      <c r="O127" s="75">
        <f>DURATION(S118,S119,Q116,Q120,Q117)</f>
        <v>7.2995894407085924</v>
      </c>
      <c r="P127" s="11"/>
      <c r="Q127" s="11"/>
      <c r="R127" s="11"/>
      <c r="S127" s="11"/>
    </row>
    <row r="128" spans="1:42" ht="15.6">
      <c r="A128" s="20"/>
      <c r="J128" s="47"/>
      <c r="L128" s="9"/>
      <c r="M128" s="11" t="s">
        <v>76</v>
      </c>
      <c r="N128" s="11"/>
      <c r="O128" s="73">
        <f>MDURATION(S118,S119,Q116,Q119,Q117)</f>
        <v>7.1241571788831015</v>
      </c>
      <c r="P128" s="11"/>
      <c r="Q128" s="76">
        <f>O126/(1+Q119/2)</f>
        <v>7.1241571788831015</v>
      </c>
      <c r="R128" s="11"/>
      <c r="S128" s="11" t="s">
        <v>77</v>
      </c>
    </row>
    <row r="129" spans="1:20" ht="15.6">
      <c r="A129" s="20"/>
      <c r="J129" s="47"/>
      <c r="L129" s="9"/>
      <c r="M129" s="11"/>
      <c r="N129" s="11"/>
      <c r="O129" s="73"/>
      <c r="P129" s="11"/>
      <c r="Q129" s="76"/>
      <c r="R129" s="11"/>
      <c r="S129" s="11"/>
    </row>
    <row r="130" spans="1:20" ht="15.6">
      <c r="A130" s="20"/>
      <c r="J130" s="47"/>
      <c r="L130" s="9"/>
      <c r="M130" s="11"/>
      <c r="N130" s="11"/>
      <c r="O130" s="73"/>
      <c r="P130" s="11"/>
      <c r="Q130" s="76"/>
      <c r="R130" s="11"/>
      <c r="S130" s="11"/>
    </row>
    <row r="131" spans="1:20" ht="15.6">
      <c r="A131" s="20"/>
      <c r="J131" s="47"/>
      <c r="L131" s="9"/>
      <c r="M131" s="11"/>
      <c r="N131" s="11"/>
      <c r="O131" s="73"/>
      <c r="P131" s="11"/>
      <c r="Q131" s="76"/>
      <c r="R131" s="11"/>
      <c r="S131" s="11"/>
    </row>
    <row r="132" spans="1:20" ht="15.6">
      <c r="A132" s="20"/>
      <c r="J132" s="47"/>
      <c r="L132" s="9"/>
      <c r="M132" s="11"/>
      <c r="N132" s="11"/>
      <c r="O132" s="73"/>
      <c r="P132" s="11"/>
      <c r="Q132" s="76"/>
      <c r="R132" s="11"/>
      <c r="S132" s="11"/>
    </row>
    <row r="133" spans="1:20" ht="15.6">
      <c r="A133" s="20"/>
      <c r="J133" s="47"/>
      <c r="L133" s="9"/>
      <c r="M133" s="11"/>
      <c r="N133" s="11"/>
      <c r="O133" s="73"/>
      <c r="P133" s="11"/>
      <c r="Q133" s="76"/>
      <c r="R133" s="11"/>
      <c r="S133" s="11"/>
    </row>
    <row r="134" spans="1:20" ht="15.6">
      <c r="A134" s="20"/>
      <c r="J134" s="47"/>
      <c r="L134" s="9"/>
      <c r="M134" s="11" t="s">
        <v>78</v>
      </c>
      <c r="N134" s="11"/>
      <c r="O134" s="75">
        <f>MDURATION(S118,S119,Q116,Q120,Q117)</f>
        <v>7.1241571788831015</v>
      </c>
      <c r="P134" s="11"/>
      <c r="Q134" s="76">
        <f>O127/(1+Q120/2)</f>
        <v>7.1241571788831015</v>
      </c>
      <c r="R134" s="11"/>
      <c r="S134" s="11" t="s">
        <v>77</v>
      </c>
    </row>
    <row r="135" spans="1:20" ht="15.6">
      <c r="A135" s="44" t="s">
        <v>86</v>
      </c>
      <c r="B135" t="s">
        <v>162</v>
      </c>
      <c r="J135" s="46"/>
      <c r="L135" s="9"/>
    </row>
    <row r="136" spans="1:20" ht="15.6">
      <c r="A136" s="20"/>
      <c r="B136" t="s">
        <v>163</v>
      </c>
      <c r="J136" s="47"/>
      <c r="M136" s="9"/>
      <c r="N136" s="10" t="s">
        <v>95</v>
      </c>
      <c r="O136" s="9"/>
      <c r="P136" s="9"/>
      <c r="Q136" s="9"/>
      <c r="R136" s="9"/>
      <c r="S136" s="21"/>
      <c r="T136" s="21"/>
    </row>
    <row r="137" spans="1:20" ht="15.6">
      <c r="A137" s="20"/>
      <c r="B137" t="s">
        <v>87</v>
      </c>
      <c r="J137" s="47"/>
      <c r="M137" s="9"/>
      <c r="N137" s="11" t="s">
        <v>62</v>
      </c>
      <c r="O137" s="11"/>
      <c r="P137" s="11"/>
      <c r="Q137" s="11"/>
      <c r="R137" s="80">
        <v>14.654</v>
      </c>
      <c r="S137" s="21"/>
      <c r="T137" s="21"/>
    </row>
    <row r="138" spans="1:20" ht="15.6">
      <c r="A138" s="20"/>
      <c r="J138" s="47"/>
      <c r="M138" s="9"/>
      <c r="N138" s="11" t="s">
        <v>3</v>
      </c>
      <c r="O138" s="11"/>
      <c r="P138" s="11"/>
      <c r="Q138" s="11"/>
      <c r="R138" s="81">
        <v>7.1999999999999995E-2</v>
      </c>
      <c r="S138" s="21"/>
      <c r="T138" s="21"/>
    </row>
    <row r="139" spans="1:20" ht="15.6">
      <c r="A139" s="20" t="s">
        <v>91</v>
      </c>
      <c r="E139" s="88">
        <f>P141</f>
        <v>-5.4679104477611942E-2</v>
      </c>
      <c r="J139" s="47">
        <v>2</v>
      </c>
      <c r="M139" s="9"/>
      <c r="N139" s="11" t="s">
        <v>96</v>
      </c>
      <c r="O139" s="11"/>
      <c r="P139" s="11"/>
      <c r="Q139" s="11"/>
      <c r="R139" s="12">
        <v>4.0000000000000001E-3</v>
      </c>
      <c r="S139" s="21"/>
      <c r="T139" s="21"/>
    </row>
    <row r="140" spans="1:20" ht="15.6">
      <c r="A140" s="20"/>
      <c r="J140" s="47"/>
      <c r="M140" s="14" t="s">
        <v>0</v>
      </c>
      <c r="N140" s="11"/>
      <c r="O140" s="11"/>
      <c r="P140" s="11"/>
      <c r="Q140" s="11"/>
      <c r="R140" s="12"/>
      <c r="S140" s="21"/>
      <c r="T140" s="21"/>
    </row>
    <row r="141" spans="1:20" ht="15.6">
      <c r="A141" s="20"/>
      <c r="J141" s="47"/>
      <c r="M141" s="9"/>
      <c r="N141" s="11" t="s">
        <v>97</v>
      </c>
      <c r="O141" s="11"/>
      <c r="P141" s="104">
        <f>-R137*(R139/(1+R138))</f>
        <v>-5.4679104477611942E-2</v>
      </c>
      <c r="Q141" s="11"/>
      <c r="R141" s="11"/>
      <c r="S141" s="21"/>
      <c r="T141" s="21"/>
    </row>
    <row r="142" spans="1:20" ht="15.6">
      <c r="A142" s="20"/>
      <c r="J142" s="47"/>
      <c r="P142" s="104">
        <f>(-R137/(1+R138))*R139</f>
        <v>-5.4679104477611935E-2</v>
      </c>
      <c r="S142" s="21"/>
      <c r="T142" s="21"/>
    </row>
    <row r="143" spans="1:20" ht="15.6">
      <c r="A143" s="20"/>
      <c r="J143" s="47"/>
      <c r="S143" s="21"/>
      <c r="T143" s="21"/>
    </row>
    <row r="144" spans="1:20" ht="15.6">
      <c r="A144" s="20"/>
      <c r="J144" s="47"/>
      <c r="N144" s="11"/>
      <c r="O144" s="11"/>
      <c r="P144" s="11"/>
      <c r="Q144" s="11"/>
      <c r="R144" s="11"/>
      <c r="S144" s="21"/>
      <c r="T144" s="21"/>
    </row>
    <row r="145" spans="1:20" ht="15.6">
      <c r="A145" s="20"/>
      <c r="J145" s="47"/>
      <c r="M145" s="9"/>
      <c r="N145" s="11"/>
      <c r="O145" s="11"/>
      <c r="P145" s="11"/>
      <c r="Q145" s="11"/>
      <c r="R145" s="11"/>
      <c r="S145" s="21"/>
      <c r="T145" s="21"/>
    </row>
    <row r="146" spans="1:20" ht="15.6">
      <c r="A146" s="44" t="s">
        <v>88</v>
      </c>
      <c r="B146" t="s">
        <v>89</v>
      </c>
      <c r="J146" s="46"/>
      <c r="M146" s="9"/>
      <c r="N146" s="11"/>
      <c r="O146" s="11"/>
      <c r="P146" s="11"/>
      <c r="Q146" s="11"/>
      <c r="R146" s="11"/>
      <c r="S146" s="21"/>
      <c r="T146" s="21"/>
    </row>
    <row r="147" spans="1:20" ht="15.6">
      <c r="A147" s="20"/>
      <c r="B147" t="s">
        <v>90</v>
      </c>
      <c r="J147" s="47"/>
      <c r="M147" s="9"/>
      <c r="N147" s="11"/>
      <c r="O147" s="11"/>
      <c r="P147" s="11"/>
      <c r="Q147" s="11"/>
      <c r="R147" s="11"/>
      <c r="S147" s="21"/>
      <c r="T147" s="21"/>
    </row>
    <row r="148" spans="1:20" ht="15.6">
      <c r="A148" s="20"/>
      <c r="J148" s="47"/>
      <c r="M148" s="9"/>
      <c r="N148" s="11"/>
      <c r="O148" s="11"/>
      <c r="P148" s="11"/>
      <c r="Q148" s="11"/>
      <c r="R148" s="11"/>
      <c r="S148" s="21"/>
      <c r="T148" s="21"/>
    </row>
    <row r="149" spans="1:20" ht="15.6">
      <c r="A149" s="20" t="s">
        <v>91</v>
      </c>
      <c r="E149">
        <v>15</v>
      </c>
      <c r="J149" s="47">
        <v>2</v>
      </c>
      <c r="M149" s="9"/>
      <c r="N149" s="11"/>
      <c r="O149" s="11"/>
      <c r="P149" s="11"/>
      <c r="Q149" s="11"/>
      <c r="R149" s="11"/>
      <c r="S149" s="21"/>
      <c r="T149" s="21"/>
    </row>
    <row r="150" spans="1:20" ht="15.6">
      <c r="J150" s="47"/>
      <c r="M150" s="9"/>
      <c r="N150" s="11"/>
      <c r="O150" s="11"/>
      <c r="P150" s="11"/>
      <c r="Q150" s="11"/>
      <c r="R150" s="11"/>
      <c r="S150" s="21"/>
      <c r="T150" s="21"/>
    </row>
    <row r="151" spans="1:20" ht="15.6">
      <c r="J151" s="47"/>
      <c r="M151" s="9"/>
      <c r="N151" s="11"/>
      <c r="O151" s="11"/>
      <c r="P151" s="11"/>
      <c r="Q151" s="11"/>
      <c r="R151" s="11"/>
      <c r="S151" s="21"/>
      <c r="T151" s="21"/>
    </row>
    <row r="152" spans="1:20" ht="15.6">
      <c r="M152" s="9"/>
      <c r="N152" s="11"/>
      <c r="O152" s="11"/>
      <c r="P152" s="11"/>
      <c r="Q152" s="11"/>
      <c r="R152" s="11"/>
      <c r="S152" s="21"/>
      <c r="T152" s="21"/>
    </row>
    <row r="153" spans="1:20" ht="15.6">
      <c r="M153" s="9"/>
      <c r="N153" s="11"/>
      <c r="O153" s="11"/>
      <c r="P153" s="11"/>
      <c r="Q153" s="11"/>
      <c r="R153" s="11"/>
      <c r="S153" s="21"/>
      <c r="T153" s="21"/>
    </row>
    <row r="154" spans="1:20" ht="15.6">
      <c r="J154" s="8">
        <f>SUM(J8:J149)</f>
        <v>36</v>
      </c>
      <c r="M154" s="9"/>
      <c r="N154" s="11"/>
      <c r="O154" s="11"/>
      <c r="P154" s="11"/>
      <c r="Q154" s="11"/>
      <c r="R154" s="11"/>
      <c r="S154" s="21"/>
      <c r="T154" s="21"/>
    </row>
    <row r="155" spans="1:20" ht="15.6">
      <c r="M155" s="9"/>
      <c r="N155" s="11"/>
      <c r="O155" s="11"/>
      <c r="P155" s="11"/>
      <c r="Q155" s="11"/>
      <c r="R155" s="11"/>
      <c r="S155" s="21"/>
      <c r="T155" s="21"/>
    </row>
    <row r="156" spans="1:20" ht="15.6">
      <c r="M156" s="9"/>
      <c r="N156" s="11"/>
      <c r="O156" s="11"/>
      <c r="P156" s="11"/>
      <c r="Q156" s="11"/>
      <c r="R156" s="11"/>
      <c r="S156" s="21"/>
      <c r="T156" s="21"/>
    </row>
    <row r="157" spans="1:20" ht="15.6">
      <c r="M157" s="9"/>
      <c r="N157" s="11"/>
      <c r="O157" s="11"/>
      <c r="P157" s="11"/>
      <c r="Q157" s="11"/>
      <c r="R157" s="11"/>
      <c r="S157" s="21"/>
    </row>
    <row r="158" spans="1:20" ht="15.6">
      <c r="M158" s="9"/>
      <c r="N158" s="11"/>
      <c r="O158" s="11"/>
      <c r="P158" s="11"/>
      <c r="Q158" s="11"/>
      <c r="R158" s="11"/>
      <c r="S158" s="21"/>
    </row>
    <row r="159" spans="1:20" ht="15.6">
      <c r="M159" s="9"/>
      <c r="N159" s="11"/>
      <c r="O159" s="11"/>
      <c r="P159" s="11"/>
      <c r="Q159" s="11"/>
      <c r="R159" s="11"/>
      <c r="S159" s="21"/>
    </row>
    <row r="160" spans="1:20" ht="15.6">
      <c r="M160" s="9"/>
      <c r="N160" s="11"/>
      <c r="O160" s="11"/>
      <c r="P160" s="11"/>
      <c r="Q160" s="11"/>
      <c r="R160" s="11"/>
      <c r="S160" s="21"/>
    </row>
  </sheetData>
  <pageMargins left="0.45" right="0.45" top="0.75" bottom="0.75" header="0.3" footer="0.3"/>
  <pageSetup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58"/>
  <sheetViews>
    <sheetView workbookViewId="0">
      <selection activeCell="A5" sqref="A5"/>
    </sheetView>
  </sheetViews>
  <sheetFormatPr defaultColWidth="12.6640625" defaultRowHeight="14.4"/>
  <cols>
    <col min="1" max="1" width="6" customWidth="1"/>
    <col min="5" max="5" width="13.6640625" bestFit="1" customWidth="1"/>
    <col min="6" max="6" width="12.88671875" customWidth="1"/>
    <col min="13" max="13" width="13.6640625" bestFit="1" customWidth="1"/>
  </cols>
  <sheetData>
    <row r="1" spans="1:7" ht="16.2" thickBot="1">
      <c r="A1" s="3" t="s">
        <v>145</v>
      </c>
      <c r="D1" s="4"/>
      <c r="E1" s="4"/>
      <c r="F1" s="4"/>
      <c r="G1" s="4"/>
    </row>
    <row r="2" spans="1:7" ht="15.6">
      <c r="A2" s="3" t="s">
        <v>36</v>
      </c>
      <c r="F2" s="5" t="s">
        <v>35</v>
      </c>
      <c r="G2" s="6"/>
    </row>
    <row r="3" spans="1:7" ht="15.6">
      <c r="A3" s="3" t="s">
        <v>98</v>
      </c>
      <c r="F3" s="4"/>
      <c r="G3" s="4"/>
    </row>
    <row r="4" spans="1:7" ht="15.6">
      <c r="A4" s="7" t="s">
        <v>165</v>
      </c>
      <c r="F4" s="4"/>
      <c r="G4" s="4"/>
    </row>
    <row r="5" spans="1:7" ht="15.6">
      <c r="A5" s="7"/>
      <c r="F5" s="4"/>
      <c r="G5" s="4"/>
    </row>
    <row r="6" spans="1:7" ht="15.6">
      <c r="A6" s="16"/>
      <c r="F6" s="4"/>
      <c r="G6" s="4"/>
    </row>
    <row r="7" spans="1:7" ht="15.6">
      <c r="A7" s="3" t="s">
        <v>99</v>
      </c>
      <c r="B7" s="18"/>
      <c r="C7" s="18"/>
      <c r="D7" s="18"/>
      <c r="E7" s="18"/>
      <c r="F7" s="19"/>
      <c r="G7" s="4"/>
    </row>
    <row r="8" spans="1:7" ht="15.6">
      <c r="A8" s="3" t="s">
        <v>186</v>
      </c>
      <c r="F8" s="4"/>
      <c r="G8" s="4"/>
    </row>
    <row r="11" spans="1:7" ht="15.6">
      <c r="A11" s="3" t="s">
        <v>166</v>
      </c>
    </row>
    <row r="13" spans="1:7" ht="15.6">
      <c r="A13" s="3"/>
    </row>
    <row r="14" spans="1:7" ht="15.6">
      <c r="A14" s="3"/>
    </row>
    <row r="15" spans="1:7" ht="15.6">
      <c r="A15" s="3"/>
    </row>
    <row r="16" spans="1:7" ht="15.6">
      <c r="A16" s="3"/>
    </row>
    <row r="17" spans="1:12">
      <c r="A17" s="46" t="s">
        <v>16</v>
      </c>
      <c r="B17" t="s">
        <v>167</v>
      </c>
    </row>
    <row r="18" spans="1:12">
      <c r="A18" s="47"/>
      <c r="B18" t="s">
        <v>168</v>
      </c>
    </row>
    <row r="19" spans="1:12">
      <c r="A19" s="47"/>
      <c r="L19" s="84">
        <v>46</v>
      </c>
    </row>
    <row r="20" spans="1:12">
      <c r="A20" s="47"/>
      <c r="L20" s="84">
        <v>1000</v>
      </c>
    </row>
    <row r="21" spans="1:12">
      <c r="A21" s="47"/>
      <c r="L21" s="88">
        <f>L19/L20</f>
        <v>4.5999999999999999E-2</v>
      </c>
    </row>
    <row r="22" spans="1:12">
      <c r="A22" s="47"/>
      <c r="L22" s="88"/>
    </row>
    <row r="23" spans="1:12">
      <c r="A23" s="47"/>
      <c r="L23" s="88"/>
    </row>
    <row r="24" spans="1:12">
      <c r="A24" s="47"/>
    </row>
    <row r="25" spans="1:12">
      <c r="A25" s="46" t="s">
        <v>17</v>
      </c>
      <c r="B25" t="s">
        <v>100</v>
      </c>
    </row>
    <row r="26" spans="1:12">
      <c r="A26" s="47"/>
      <c r="B26" t="s">
        <v>101</v>
      </c>
    </row>
    <row r="27" spans="1:12">
      <c r="A27" s="47"/>
      <c r="L27" s="84">
        <f>L19</f>
        <v>46</v>
      </c>
    </row>
    <row r="28" spans="1:12">
      <c r="A28" s="47"/>
      <c r="L28" s="84">
        <v>1130</v>
      </c>
    </row>
    <row r="29" spans="1:12">
      <c r="A29" s="47"/>
      <c r="L29" s="88">
        <f>L27/L28</f>
        <v>4.0707964601769911E-2</v>
      </c>
    </row>
    <row r="30" spans="1:12">
      <c r="A30" s="47"/>
      <c r="L30" s="88"/>
    </row>
    <row r="31" spans="1:12">
      <c r="A31" s="47"/>
      <c r="L31" s="88"/>
    </row>
    <row r="32" spans="1:12">
      <c r="A32" s="47"/>
    </row>
    <row r="33" spans="1:12">
      <c r="A33" s="46" t="s">
        <v>50</v>
      </c>
      <c r="B33" t="s">
        <v>102</v>
      </c>
    </row>
    <row r="34" spans="1:12">
      <c r="A34" s="47"/>
      <c r="B34" t="s">
        <v>103</v>
      </c>
    </row>
    <row r="35" spans="1:12">
      <c r="A35" s="47"/>
      <c r="B35" s="114" t="s">
        <v>104</v>
      </c>
      <c r="C35" s="114"/>
      <c r="D35" s="114"/>
      <c r="E35" s="114"/>
      <c r="F35" s="114"/>
      <c r="G35" s="114"/>
      <c r="H35" s="114"/>
      <c r="L35" t="s">
        <v>14</v>
      </c>
    </row>
    <row r="36" spans="1:12">
      <c r="A36" s="47"/>
      <c r="B36" t="s">
        <v>105</v>
      </c>
    </row>
    <row r="37" spans="1:12">
      <c r="A37" s="47"/>
    </row>
    <row r="38" spans="1:12">
      <c r="A38" s="47"/>
    </row>
    <row r="39" spans="1:12">
      <c r="A39" s="47"/>
    </row>
    <row r="40" spans="1:12">
      <c r="A40" s="47"/>
    </row>
    <row r="41" spans="1:12">
      <c r="A41" s="47"/>
    </row>
    <row r="42" spans="1:12">
      <c r="A42" s="47"/>
    </row>
    <row r="43" spans="1:12">
      <c r="A43" s="47"/>
    </row>
    <row r="44" spans="1:12">
      <c r="A44" s="47"/>
    </row>
    <row r="45" spans="1:12">
      <c r="A45" s="47"/>
    </row>
    <row r="46" spans="1:12">
      <c r="A46" s="47"/>
    </row>
    <row r="47" spans="1:12">
      <c r="A47" s="46" t="s">
        <v>51</v>
      </c>
      <c r="B47" t="s">
        <v>169</v>
      </c>
    </row>
    <row r="48" spans="1:12">
      <c r="A48" s="47"/>
      <c r="B48" t="s">
        <v>106</v>
      </c>
    </row>
    <row r="49" spans="1:15">
      <c r="A49" s="47"/>
      <c r="D49" s="82" t="s">
        <v>107</v>
      </c>
      <c r="E49" s="84">
        <v>1028.75</v>
      </c>
    </row>
    <row r="50" spans="1:15">
      <c r="A50" s="47"/>
      <c r="D50" s="82" t="s">
        <v>108</v>
      </c>
      <c r="E50" s="85">
        <v>41988</v>
      </c>
    </row>
    <row r="51" spans="1:15">
      <c r="A51" s="47"/>
      <c r="D51" s="82" t="s">
        <v>109</v>
      </c>
      <c r="E51" s="84">
        <v>26</v>
      </c>
      <c r="L51" s="89">
        <f>E51/E54</f>
        <v>0.14285714285714285</v>
      </c>
      <c r="M51" t="s">
        <v>141</v>
      </c>
    </row>
    <row r="52" spans="1:15">
      <c r="A52" s="47"/>
      <c r="D52" s="82" t="s">
        <v>111</v>
      </c>
      <c r="E52" s="86">
        <f>O54-E50</f>
        <v>118</v>
      </c>
      <c r="L52" s="86">
        <f>E52</f>
        <v>118</v>
      </c>
    </row>
    <row r="53" spans="1:15">
      <c r="A53" s="47"/>
      <c r="D53" s="82" t="s">
        <v>112</v>
      </c>
      <c r="E53" s="85">
        <v>42170</v>
      </c>
      <c r="L53" s="89">
        <f>L51*L52</f>
        <v>16.857142857142858</v>
      </c>
      <c r="M53" t="s">
        <v>142</v>
      </c>
    </row>
    <row r="54" spans="1:15">
      <c r="A54" s="47"/>
      <c r="D54" s="82" t="s">
        <v>110</v>
      </c>
      <c r="E54" s="86">
        <f>E53-E50</f>
        <v>182</v>
      </c>
      <c r="L54" s="84">
        <f>E49</f>
        <v>1028.75</v>
      </c>
      <c r="O54" s="83">
        <v>42106</v>
      </c>
    </row>
    <row r="55" spans="1:15">
      <c r="A55" s="47"/>
      <c r="L55" s="84">
        <f>L53+L54</f>
        <v>1045.6071428571429</v>
      </c>
      <c r="M55" t="s">
        <v>143</v>
      </c>
    </row>
    <row r="56" spans="1:15">
      <c r="A56" s="47"/>
      <c r="D56" s="82" t="s">
        <v>144</v>
      </c>
    </row>
    <row r="57" spans="1:15">
      <c r="A57" s="47"/>
    </row>
    <row r="58" spans="1:15">
      <c r="A58" s="47"/>
    </row>
    <row r="59" spans="1:15">
      <c r="A59" s="47"/>
    </row>
    <row r="60" spans="1:15">
      <c r="A60" s="47"/>
    </row>
    <row r="61" spans="1:15">
      <c r="A61" s="47"/>
    </row>
    <row r="62" spans="1:15">
      <c r="A62" s="46" t="s">
        <v>57</v>
      </c>
      <c r="B62" t="s">
        <v>170</v>
      </c>
    </row>
    <row r="63" spans="1:15">
      <c r="A63" s="47"/>
      <c r="B63" t="s">
        <v>106</v>
      </c>
    </row>
    <row r="64" spans="1:15">
      <c r="A64" s="47"/>
      <c r="D64" s="82" t="s">
        <v>107</v>
      </c>
      <c r="E64" s="84">
        <v>890</v>
      </c>
    </row>
    <row r="65" spans="1:15">
      <c r="A65" s="47"/>
      <c r="D65" s="82" t="s">
        <v>108</v>
      </c>
      <c r="E65" s="85">
        <v>42036</v>
      </c>
    </row>
    <row r="66" spans="1:15">
      <c r="A66" s="47"/>
      <c r="D66" s="82" t="s">
        <v>189</v>
      </c>
      <c r="E66" s="115">
        <v>4.3999999999999997E-2</v>
      </c>
      <c r="L66" s="89">
        <f>N66/E69</f>
        <v>0.12154696132596685</v>
      </c>
      <c r="M66" t="s">
        <v>141</v>
      </c>
      <c r="N66" s="84">
        <v>22</v>
      </c>
    </row>
    <row r="67" spans="1:15">
      <c r="A67" s="47"/>
      <c r="D67" s="82" t="s">
        <v>111</v>
      </c>
      <c r="E67" s="86">
        <f>O69-E65</f>
        <v>56</v>
      </c>
      <c r="L67" s="86">
        <f>E67</f>
        <v>56</v>
      </c>
    </row>
    <row r="68" spans="1:15">
      <c r="A68" s="47"/>
      <c r="D68" s="82" t="s">
        <v>112</v>
      </c>
      <c r="E68" s="85">
        <v>42217</v>
      </c>
      <c r="L68" s="89">
        <f>L66*L67</f>
        <v>6.8066298342541431</v>
      </c>
      <c r="M68" t="s">
        <v>142</v>
      </c>
    </row>
    <row r="69" spans="1:15">
      <c r="A69" s="47"/>
      <c r="D69" s="82" t="s">
        <v>110</v>
      </c>
      <c r="E69" s="86">
        <f>E68-E65</f>
        <v>181</v>
      </c>
      <c r="L69" s="84">
        <f>E64</f>
        <v>890</v>
      </c>
      <c r="O69" s="83">
        <v>42092</v>
      </c>
    </row>
    <row r="70" spans="1:15">
      <c r="A70" s="47"/>
      <c r="L70" s="84">
        <f>L68+L69</f>
        <v>896.80662983425418</v>
      </c>
      <c r="M70" t="s">
        <v>143</v>
      </c>
    </row>
    <row r="71" spans="1:15">
      <c r="A71" s="47"/>
      <c r="D71" s="82" t="s">
        <v>144</v>
      </c>
    </row>
    <row r="72" spans="1:15">
      <c r="A72" s="47"/>
    </row>
    <row r="73" spans="1:15">
      <c r="A73" s="47"/>
    </row>
    <row r="74" spans="1:15">
      <c r="A74" s="47"/>
    </row>
    <row r="75" spans="1:15">
      <c r="A75" s="47"/>
    </row>
    <row r="76" spans="1:15">
      <c r="A76" s="47"/>
    </row>
    <row r="77" spans="1:15">
      <c r="A77" s="46" t="s">
        <v>56</v>
      </c>
      <c r="B77" t="s">
        <v>113</v>
      </c>
    </row>
    <row r="78" spans="1:15">
      <c r="A78" s="47"/>
      <c r="B78" t="s">
        <v>171</v>
      </c>
    </row>
    <row r="79" spans="1:15">
      <c r="A79" s="47"/>
      <c r="B79" t="s">
        <v>173</v>
      </c>
    </row>
    <row r="80" spans="1:15">
      <c r="A80" s="47"/>
      <c r="B80" t="s">
        <v>174</v>
      </c>
    </row>
    <row r="81" spans="1:13">
      <c r="A81" s="47"/>
      <c r="K81">
        <v>101</v>
      </c>
      <c r="L81">
        <v>0.82</v>
      </c>
      <c r="M81" s="90">
        <f>K81+L81</f>
        <v>101.82</v>
      </c>
    </row>
    <row r="82" spans="1:13">
      <c r="A82" s="47"/>
      <c r="M82" s="109">
        <v>10</v>
      </c>
    </row>
    <row r="83" spans="1:13">
      <c r="A83" s="47"/>
      <c r="M83" s="84">
        <f>M81*M82</f>
        <v>1018.1999999999999</v>
      </c>
    </row>
    <row r="84" spans="1:13">
      <c r="A84" s="47"/>
      <c r="M84" s="109">
        <v>15</v>
      </c>
    </row>
    <row r="85" spans="1:13">
      <c r="A85" s="47"/>
      <c r="M85" s="84">
        <f>M83*M84</f>
        <v>15272.999999999998</v>
      </c>
    </row>
    <row r="86" spans="1:13">
      <c r="A86" s="47"/>
    </row>
    <row r="87" spans="1:13">
      <c r="A87" s="47"/>
    </row>
    <row r="88" spans="1:13">
      <c r="A88" s="47"/>
    </row>
    <row r="89" spans="1:13">
      <c r="A89" s="47"/>
    </row>
    <row r="90" spans="1:13">
      <c r="A90" s="47"/>
    </row>
    <row r="91" spans="1:13">
      <c r="A91" s="47"/>
    </row>
    <row r="92" spans="1:13">
      <c r="A92" s="47"/>
    </row>
    <row r="93" spans="1:13">
      <c r="A93" s="47"/>
    </row>
    <row r="94" spans="1:13">
      <c r="A94" s="46" t="s">
        <v>79</v>
      </c>
      <c r="B94" t="s">
        <v>114</v>
      </c>
    </row>
    <row r="95" spans="1:13">
      <c r="A95" s="47"/>
      <c r="B95" t="s">
        <v>175</v>
      </c>
    </row>
    <row r="96" spans="1:13">
      <c r="A96" s="47"/>
      <c r="B96" t="s">
        <v>115</v>
      </c>
    </row>
    <row r="97" spans="1:13">
      <c r="A97" s="47"/>
      <c r="K97">
        <v>15</v>
      </c>
      <c r="L97" s="84">
        <v>58</v>
      </c>
      <c r="M97" s="84">
        <f>K97*L97</f>
        <v>870</v>
      </c>
    </row>
    <row r="98" spans="1:13">
      <c r="A98" s="47"/>
    </row>
    <row r="99" spans="1:13">
      <c r="A99" s="47"/>
    </row>
    <row r="100" spans="1:13">
      <c r="A100" s="47"/>
    </row>
    <row r="101" spans="1:13">
      <c r="A101" s="47"/>
    </row>
    <row r="102" spans="1:13">
      <c r="A102" s="47"/>
    </row>
    <row r="103" spans="1:13">
      <c r="A103" s="46" t="s">
        <v>80</v>
      </c>
      <c r="B103" t="s">
        <v>116</v>
      </c>
    </row>
    <row r="104" spans="1:13">
      <c r="A104" s="47"/>
    </row>
    <row r="105" spans="1:13">
      <c r="A105" s="47"/>
      <c r="K105" s="84">
        <v>930</v>
      </c>
      <c r="L105" s="84">
        <f>M97</f>
        <v>870</v>
      </c>
      <c r="M105" s="84">
        <f>K105-L105</f>
        <v>60</v>
      </c>
    </row>
    <row r="106" spans="1:13">
      <c r="A106" s="47"/>
    </row>
    <row r="107" spans="1:13">
      <c r="A107" s="47"/>
    </row>
    <row r="108" spans="1:13">
      <c r="A108" s="47"/>
    </row>
    <row r="109" spans="1:13">
      <c r="A109" s="47"/>
    </row>
    <row r="110" spans="1:13">
      <c r="A110" s="47"/>
    </row>
    <row r="111" spans="1:13">
      <c r="A111" s="46" t="s">
        <v>86</v>
      </c>
      <c r="B111" t="s">
        <v>117</v>
      </c>
    </row>
    <row r="112" spans="1:13">
      <c r="A112" s="47"/>
      <c r="B112" t="s">
        <v>118</v>
      </c>
    </row>
    <row r="113" spans="1:11">
      <c r="A113" s="47"/>
      <c r="B113" t="s">
        <v>119</v>
      </c>
    </row>
    <row r="114" spans="1:11">
      <c r="A114" s="47"/>
    </row>
    <row r="115" spans="1:11">
      <c r="A115" s="47"/>
      <c r="K115" t="s">
        <v>138</v>
      </c>
    </row>
    <row r="116" spans="1:11">
      <c r="A116" s="47"/>
      <c r="K116" t="s">
        <v>139</v>
      </c>
    </row>
    <row r="117" spans="1:11">
      <c r="A117" s="47"/>
    </row>
    <row r="118" spans="1:11">
      <c r="A118" s="47"/>
    </row>
    <row r="119" spans="1:11">
      <c r="A119" s="47"/>
    </row>
    <row r="120" spans="1:11">
      <c r="A120" s="46" t="s">
        <v>88</v>
      </c>
      <c r="B120" t="s">
        <v>120</v>
      </c>
    </row>
    <row r="121" spans="1:11">
      <c r="A121" s="47"/>
    </row>
    <row r="122" spans="1:11">
      <c r="A122" s="47"/>
      <c r="B122" s="114" t="b">
        <v>1</v>
      </c>
      <c r="C122" s="114" t="b">
        <v>0</v>
      </c>
      <c r="K122" t="b">
        <v>1</v>
      </c>
    </row>
    <row r="123" spans="1:11">
      <c r="A123" s="47"/>
      <c r="B123" s="114"/>
      <c r="C123" s="114"/>
    </row>
    <row r="124" spans="1:11">
      <c r="A124" s="47"/>
      <c r="B124" s="114"/>
      <c r="C124" s="114"/>
    </row>
    <row r="125" spans="1:11">
      <c r="A125" s="47"/>
      <c r="B125" s="114"/>
      <c r="C125" s="114"/>
    </row>
    <row r="126" spans="1:11">
      <c r="A126" s="47"/>
      <c r="B126" s="114"/>
      <c r="C126" s="114"/>
    </row>
    <row r="127" spans="1:11">
      <c r="A127" s="46" t="s">
        <v>121</v>
      </c>
      <c r="B127" s="114" t="s">
        <v>122</v>
      </c>
      <c r="C127" s="114"/>
    </row>
    <row r="128" spans="1:11">
      <c r="A128" s="47"/>
      <c r="B128" s="114"/>
      <c r="C128" s="114"/>
    </row>
    <row r="129" spans="1:11">
      <c r="A129" s="47"/>
      <c r="B129" s="114" t="b">
        <v>1</v>
      </c>
      <c r="C129" s="114" t="b">
        <v>0</v>
      </c>
      <c r="K129" t="b">
        <v>0</v>
      </c>
    </row>
    <row r="130" spans="1:11">
      <c r="A130" s="47"/>
      <c r="B130" s="114"/>
      <c r="C130" s="114"/>
    </row>
    <row r="131" spans="1:11">
      <c r="A131" s="47"/>
      <c r="B131" s="114"/>
      <c r="C131" s="114"/>
    </row>
    <row r="132" spans="1:11">
      <c r="A132" s="47"/>
      <c r="B132" s="114"/>
      <c r="C132" s="114"/>
    </row>
    <row r="133" spans="1:11">
      <c r="A133" s="47"/>
      <c r="B133" s="114"/>
      <c r="C133" s="114"/>
    </row>
    <row r="134" spans="1:11">
      <c r="A134" s="46" t="s">
        <v>123</v>
      </c>
      <c r="B134" s="114" t="s">
        <v>124</v>
      </c>
      <c r="C134" s="114"/>
    </row>
    <row r="135" spans="1:11">
      <c r="A135" s="47"/>
      <c r="B135" s="114" t="s">
        <v>125</v>
      </c>
      <c r="C135" s="114"/>
    </row>
    <row r="136" spans="1:11">
      <c r="A136" s="47"/>
      <c r="B136" s="114"/>
      <c r="C136" s="114"/>
    </row>
    <row r="137" spans="1:11">
      <c r="A137" s="47"/>
      <c r="B137" s="114" t="b">
        <v>1</v>
      </c>
      <c r="C137" s="114" t="b">
        <v>0</v>
      </c>
      <c r="K137" t="b">
        <v>0</v>
      </c>
    </row>
    <row r="138" spans="1:11">
      <c r="A138" s="47"/>
      <c r="B138" s="114"/>
      <c r="C138" s="114"/>
    </row>
    <row r="139" spans="1:11">
      <c r="A139" s="47"/>
      <c r="B139" s="114"/>
      <c r="C139" s="114"/>
    </row>
    <row r="140" spans="1:11">
      <c r="A140" s="47"/>
      <c r="B140" s="114"/>
      <c r="C140" s="114"/>
    </row>
    <row r="141" spans="1:11">
      <c r="A141" s="46" t="s">
        <v>126</v>
      </c>
      <c r="B141" s="114" t="s">
        <v>127</v>
      </c>
      <c r="C141" s="114"/>
    </row>
    <row r="142" spans="1:11">
      <c r="A142" s="47"/>
      <c r="B142" s="114"/>
      <c r="C142" s="114"/>
    </row>
    <row r="143" spans="1:11">
      <c r="A143" s="47"/>
      <c r="B143" s="114" t="b">
        <v>1</v>
      </c>
      <c r="C143" s="114" t="b">
        <v>0</v>
      </c>
      <c r="K143" t="b">
        <v>1</v>
      </c>
    </row>
    <row r="144" spans="1:11">
      <c r="A144" s="47"/>
    </row>
    <row r="145" spans="1:16">
      <c r="A145" s="47"/>
    </row>
    <row r="146" spans="1:16">
      <c r="A146" s="47"/>
    </row>
    <row r="147" spans="1:16">
      <c r="A147" s="46" t="s">
        <v>128</v>
      </c>
      <c r="B147" t="s">
        <v>129</v>
      </c>
    </row>
    <row r="148" spans="1:16">
      <c r="A148" s="47"/>
      <c r="B148" t="s">
        <v>130</v>
      </c>
    </row>
    <row r="149" spans="1:16">
      <c r="A149" s="47"/>
      <c r="B149" t="s">
        <v>176</v>
      </c>
    </row>
    <row r="150" spans="1:16">
      <c r="A150" s="47"/>
      <c r="B150" s="114" t="s">
        <v>131</v>
      </c>
      <c r="C150" s="114"/>
      <c r="D150" s="114"/>
      <c r="E150" s="114"/>
      <c r="F150" s="114"/>
      <c r="G150" s="114"/>
      <c r="H150" s="114"/>
      <c r="K150" t="s">
        <v>15</v>
      </c>
    </row>
    <row r="151" spans="1:16">
      <c r="A151" s="47"/>
      <c r="B151" s="114" t="s">
        <v>132</v>
      </c>
      <c r="C151" s="114"/>
      <c r="D151" s="114"/>
      <c r="E151" s="114"/>
      <c r="F151" s="114"/>
      <c r="G151" s="114"/>
      <c r="H151" s="114"/>
    </row>
    <row r="152" spans="1:16">
      <c r="A152" s="47"/>
    </row>
    <row r="153" spans="1:16">
      <c r="A153" s="47"/>
    </row>
    <row r="154" spans="1:16">
      <c r="A154" s="47"/>
    </row>
    <row r="155" spans="1:16" ht="15.6">
      <c r="A155" s="47"/>
      <c r="B155" s="91" t="s">
        <v>188</v>
      </c>
      <c r="C155" s="91"/>
      <c r="D155" s="91"/>
      <c r="E155" s="91"/>
      <c r="F155" s="91"/>
      <c r="G155" s="91"/>
      <c r="L155" s="91"/>
      <c r="M155" s="91"/>
      <c r="N155" s="91"/>
      <c r="O155" s="91"/>
      <c r="P155" s="91"/>
    </row>
    <row r="156" spans="1:16" ht="15.6">
      <c r="A156" s="47"/>
      <c r="B156" s="91"/>
      <c r="C156" s="91"/>
      <c r="D156" s="91"/>
      <c r="E156" s="91"/>
      <c r="F156" s="91"/>
      <c r="G156" s="91"/>
      <c r="L156" s="91"/>
      <c r="M156" s="91"/>
      <c r="N156" s="91"/>
      <c r="O156" s="91"/>
      <c r="P156" s="91"/>
    </row>
    <row r="157" spans="1:16" ht="15.6">
      <c r="A157" s="47"/>
      <c r="B157" s="91" t="s">
        <v>133</v>
      </c>
      <c r="C157" s="91"/>
      <c r="D157" s="91"/>
      <c r="E157" s="92" t="s">
        <v>134</v>
      </c>
      <c r="F157" s="91" t="s">
        <v>187</v>
      </c>
      <c r="G157" s="91"/>
      <c r="J157" s="91"/>
      <c r="N157" s="92"/>
      <c r="O157" s="91"/>
      <c r="P157" s="91"/>
    </row>
    <row r="158" spans="1:16">
      <c r="A158" s="47"/>
      <c r="B158" s="20" t="s">
        <v>140</v>
      </c>
    </row>
    <row r="159" spans="1:16">
      <c r="A159" s="47"/>
    </row>
    <row r="160" spans="1:16">
      <c r="A160" s="46" t="s">
        <v>135</v>
      </c>
      <c r="B160" t="s">
        <v>178</v>
      </c>
    </row>
    <row r="161" spans="1:13">
      <c r="A161" s="47"/>
      <c r="B161" t="s">
        <v>179</v>
      </c>
    </row>
    <row r="162" spans="1:13">
      <c r="A162" s="47"/>
      <c r="L162" s="87">
        <v>8.9410000000000007</v>
      </c>
      <c r="M162" s="87">
        <f>L162</f>
        <v>8.9410000000000007</v>
      </c>
    </row>
    <row r="163" spans="1:13">
      <c r="A163" s="47"/>
      <c r="L163" s="87">
        <v>3.15E-2</v>
      </c>
      <c r="M163" s="87">
        <f>L163*100</f>
        <v>3.15</v>
      </c>
    </row>
    <row r="164" spans="1:13">
      <c r="A164" s="47"/>
      <c r="L164" s="87">
        <v>4.4999999999999997E-3</v>
      </c>
      <c r="M164" s="87">
        <f>L164*100</f>
        <v>0.44999999999999996</v>
      </c>
    </row>
    <row r="165" spans="1:13">
      <c r="A165" s="47"/>
      <c r="L165" s="87">
        <f>-L162*(L164/(1+L163))</f>
        <v>-3.9005816771691709E-2</v>
      </c>
      <c r="M165" s="87">
        <f>-M162*((M164/100)/((1+(M163)/100)))</f>
        <v>-3.9005816771691709E-2</v>
      </c>
    </row>
    <row r="166" spans="1:13">
      <c r="A166" s="8"/>
      <c r="L166" s="88">
        <f>L165</f>
        <v>-3.9005816771691709E-2</v>
      </c>
      <c r="M166" s="88">
        <f>M165</f>
        <v>-3.9005816771691709E-2</v>
      </c>
    </row>
    <row r="167" spans="1:13">
      <c r="A167" s="8"/>
    </row>
    <row r="168" spans="1:13">
      <c r="A168" s="8"/>
    </row>
    <row r="169" spans="1:13">
      <c r="A169" s="46" t="s">
        <v>136</v>
      </c>
      <c r="B169" t="s">
        <v>137</v>
      </c>
    </row>
    <row r="170" spans="1:13">
      <c r="A170" s="47"/>
      <c r="B170" t="s">
        <v>177</v>
      </c>
    </row>
    <row r="171" spans="1:13">
      <c r="A171" s="47"/>
    </row>
    <row r="172" spans="1:13">
      <c r="A172" s="47"/>
      <c r="K172" s="84">
        <v>945</v>
      </c>
      <c r="L172" s="100">
        <f>1+L165</f>
        <v>0.96099418322830832</v>
      </c>
      <c r="M172" s="89">
        <f>K172*L172</f>
        <v>908.13950315075135</v>
      </c>
    </row>
    <row r="173" spans="1:13">
      <c r="A173" s="47"/>
      <c r="K173" s="8" t="s">
        <v>29</v>
      </c>
    </row>
    <row r="174" spans="1:13">
      <c r="A174" s="47"/>
      <c r="K174" s="84">
        <f>K172</f>
        <v>945</v>
      </c>
      <c r="L174" s="100">
        <f>ROUND(L172,4)</f>
        <v>0.96099999999999997</v>
      </c>
      <c r="M174" s="89">
        <f>K174*L174</f>
        <v>908.14499999999998</v>
      </c>
    </row>
    <row r="175" spans="1:13">
      <c r="A175" s="8"/>
    </row>
    <row r="176" spans="1:13">
      <c r="A176" s="8"/>
    </row>
    <row r="177" spans="1:14">
      <c r="A177" s="46" t="s">
        <v>180</v>
      </c>
      <c r="B177" t="s">
        <v>181</v>
      </c>
    </row>
    <row r="178" spans="1:14">
      <c r="A178" s="47"/>
      <c r="B178" t="s">
        <v>185</v>
      </c>
      <c r="K178" s="8" t="s">
        <v>2</v>
      </c>
      <c r="L178" s="8" t="s">
        <v>62</v>
      </c>
      <c r="M178" s="8" t="s">
        <v>182</v>
      </c>
      <c r="N178" s="8" t="s">
        <v>183</v>
      </c>
    </row>
    <row r="179" spans="1:14">
      <c r="A179" s="8"/>
      <c r="K179" s="84">
        <v>980</v>
      </c>
      <c r="L179" s="112"/>
      <c r="M179" s="112">
        <v>3.0000000000000001E-3</v>
      </c>
      <c r="N179" s="112">
        <v>4.5999999999999999E-2</v>
      </c>
    </row>
    <row r="180" spans="1:14">
      <c r="A180" s="8"/>
      <c r="K180" s="84">
        <v>915</v>
      </c>
      <c r="L180" s="112"/>
      <c r="M180" s="112"/>
      <c r="N180" s="112"/>
    </row>
    <row r="181" spans="1:14">
      <c r="A181" s="8"/>
      <c r="K181" s="84">
        <f>K180-K179</f>
        <v>-65</v>
      </c>
      <c r="L181" s="112"/>
      <c r="M181" s="112"/>
      <c r="N181" s="112"/>
    </row>
    <row r="182" spans="1:14">
      <c r="A182" s="8"/>
      <c r="K182" s="111">
        <f>K181/K179</f>
        <v>-6.6326530612244902E-2</v>
      </c>
      <c r="L182" s="112">
        <f>K182/M182</f>
        <v>-23.125850340136054</v>
      </c>
      <c r="M182" s="112">
        <f>M179/(1+N179)</f>
        <v>2.8680688336520078E-3</v>
      </c>
      <c r="N182" s="112"/>
    </row>
    <row r="183" spans="1:14">
      <c r="A183" s="8"/>
      <c r="L183" s="112">
        <f>-L182</f>
        <v>23.125850340136054</v>
      </c>
    </row>
    <row r="184" spans="1:14">
      <c r="A184" s="8"/>
    </row>
    <row r="185" spans="1:14">
      <c r="A185" s="8"/>
    </row>
    <row r="186" spans="1:14">
      <c r="A186" s="8"/>
    </row>
    <row r="187" spans="1:14">
      <c r="A187" s="8"/>
    </row>
    <row r="188" spans="1:14">
      <c r="A188" s="8"/>
    </row>
    <row r="189" spans="1:14">
      <c r="A189" s="8"/>
    </row>
    <row r="190" spans="1:14">
      <c r="A190" s="8"/>
    </row>
    <row r="191" spans="1:14">
      <c r="A191" s="8"/>
    </row>
    <row r="192" spans="1:14">
      <c r="A192" s="8"/>
    </row>
    <row r="193" spans="1:1">
      <c r="A193" s="8"/>
    </row>
    <row r="194" spans="1:1">
      <c r="A194" s="8"/>
    </row>
    <row r="195" spans="1:1">
      <c r="A195" s="8"/>
    </row>
    <row r="196" spans="1:1">
      <c r="A196" s="8"/>
    </row>
    <row r="197" spans="1:1">
      <c r="A197" s="8"/>
    </row>
    <row r="198" spans="1:1">
      <c r="A198" s="8"/>
    </row>
    <row r="199" spans="1:1">
      <c r="A199" s="8"/>
    </row>
    <row r="200" spans="1:1">
      <c r="A200" s="8"/>
    </row>
    <row r="201" spans="1:1">
      <c r="A201" s="8"/>
    </row>
    <row r="202" spans="1:1">
      <c r="A202" s="8"/>
    </row>
    <row r="203" spans="1:1">
      <c r="A203" s="8"/>
    </row>
    <row r="204" spans="1:1">
      <c r="A204" s="8"/>
    </row>
    <row r="205" spans="1:1">
      <c r="A205" s="8"/>
    </row>
    <row r="206" spans="1:1">
      <c r="A206" s="8"/>
    </row>
    <row r="207" spans="1:1">
      <c r="A207" s="8"/>
    </row>
    <row r="208" spans="1:1">
      <c r="A208" s="8"/>
    </row>
    <row r="209" spans="1:1">
      <c r="A209" s="8"/>
    </row>
    <row r="210" spans="1:1">
      <c r="A210" s="8"/>
    </row>
    <row r="211" spans="1:1">
      <c r="A211" s="8"/>
    </row>
    <row r="212" spans="1:1">
      <c r="A212" s="8"/>
    </row>
    <row r="213" spans="1:1">
      <c r="A213" s="8"/>
    </row>
    <row r="214" spans="1:1">
      <c r="A214" s="8"/>
    </row>
    <row r="215" spans="1:1">
      <c r="A215" s="8"/>
    </row>
    <row r="216" spans="1:1">
      <c r="A216" s="8"/>
    </row>
    <row r="217" spans="1:1">
      <c r="A217" s="8"/>
    </row>
    <row r="218" spans="1:1">
      <c r="A218" s="8"/>
    </row>
    <row r="219" spans="1:1">
      <c r="A219" s="8"/>
    </row>
    <row r="220" spans="1:1">
      <c r="A220" s="8"/>
    </row>
    <row r="221" spans="1:1">
      <c r="A221" s="8"/>
    </row>
    <row r="222" spans="1:1">
      <c r="A222" s="8"/>
    </row>
    <row r="223" spans="1:1">
      <c r="A223" s="8"/>
    </row>
    <row r="224" spans="1:1">
      <c r="A224" s="8"/>
    </row>
    <row r="225" spans="1:1">
      <c r="A225" s="8"/>
    </row>
    <row r="226" spans="1:1">
      <c r="A226" s="8"/>
    </row>
    <row r="227" spans="1:1">
      <c r="A227" s="8"/>
    </row>
    <row r="228" spans="1:1">
      <c r="A228" s="8"/>
    </row>
    <row r="229" spans="1:1">
      <c r="A229" s="8"/>
    </row>
    <row r="230" spans="1:1">
      <c r="A230" s="8"/>
    </row>
    <row r="231" spans="1:1">
      <c r="A231" s="8"/>
    </row>
    <row r="232" spans="1:1">
      <c r="A232" s="8"/>
    </row>
    <row r="233" spans="1:1">
      <c r="A233" s="8"/>
    </row>
    <row r="234" spans="1:1">
      <c r="A234" s="8"/>
    </row>
    <row r="235" spans="1:1">
      <c r="A235" s="8"/>
    </row>
    <row r="236" spans="1:1">
      <c r="A236" s="8"/>
    </row>
    <row r="237" spans="1:1">
      <c r="A237" s="8"/>
    </row>
    <row r="238" spans="1:1">
      <c r="A238" s="8"/>
    </row>
    <row r="239" spans="1:1">
      <c r="A239" s="8"/>
    </row>
    <row r="240" spans="1:1">
      <c r="A240" s="8"/>
    </row>
    <row r="241" spans="1:1">
      <c r="A241" s="8"/>
    </row>
    <row r="242" spans="1:1">
      <c r="A242" s="8"/>
    </row>
    <row r="243" spans="1:1">
      <c r="A243" s="8"/>
    </row>
    <row r="244" spans="1:1">
      <c r="A244" s="8"/>
    </row>
    <row r="245" spans="1:1">
      <c r="A245" s="8"/>
    </row>
    <row r="246" spans="1:1">
      <c r="A246" s="8"/>
    </row>
    <row r="247" spans="1:1">
      <c r="A247" s="8"/>
    </row>
    <row r="248" spans="1:1">
      <c r="A248" s="8"/>
    </row>
    <row r="249" spans="1:1">
      <c r="A249" s="8"/>
    </row>
    <row r="250" spans="1:1">
      <c r="A250" s="8"/>
    </row>
    <row r="251" spans="1:1">
      <c r="A251" s="8"/>
    </row>
    <row r="252" spans="1:1">
      <c r="A252" s="8"/>
    </row>
    <row r="253" spans="1:1">
      <c r="A253" s="8"/>
    </row>
    <row r="254" spans="1:1">
      <c r="A254" s="8"/>
    </row>
    <row r="255" spans="1:1">
      <c r="A255" s="8"/>
    </row>
    <row r="256" spans="1:1">
      <c r="A256" s="8"/>
    </row>
    <row r="257" spans="1:1">
      <c r="A257" s="8"/>
    </row>
    <row r="258" spans="1:1">
      <c r="A258" s="8"/>
    </row>
    <row r="259" spans="1:1">
      <c r="A259" s="8"/>
    </row>
    <row r="260" spans="1:1">
      <c r="A260" s="8"/>
    </row>
    <row r="261" spans="1:1">
      <c r="A261" s="8"/>
    </row>
    <row r="262" spans="1:1">
      <c r="A262" s="8"/>
    </row>
    <row r="263" spans="1:1">
      <c r="A263" s="8"/>
    </row>
    <row r="264" spans="1:1">
      <c r="A264" s="8"/>
    </row>
    <row r="265" spans="1:1">
      <c r="A265" s="8"/>
    </row>
    <row r="266" spans="1:1">
      <c r="A266" s="8"/>
    </row>
    <row r="267" spans="1:1">
      <c r="A267" s="8"/>
    </row>
    <row r="268" spans="1:1">
      <c r="A268" s="8"/>
    </row>
    <row r="269" spans="1:1">
      <c r="A269" s="8"/>
    </row>
    <row r="270" spans="1:1">
      <c r="A270" s="8"/>
    </row>
    <row r="271" spans="1:1">
      <c r="A271" s="8"/>
    </row>
    <row r="272" spans="1:1">
      <c r="A272" s="8"/>
    </row>
    <row r="273" spans="1:1">
      <c r="A273" s="8"/>
    </row>
    <row r="274" spans="1:1">
      <c r="A274" s="8"/>
    </row>
    <row r="275" spans="1:1">
      <c r="A275" s="8"/>
    </row>
    <row r="276" spans="1:1">
      <c r="A276" s="8"/>
    </row>
    <row r="277" spans="1:1">
      <c r="A277" s="8"/>
    </row>
    <row r="278" spans="1:1">
      <c r="A278" s="8"/>
    </row>
    <row r="279" spans="1:1">
      <c r="A279" s="8"/>
    </row>
    <row r="280" spans="1:1">
      <c r="A280" s="8"/>
    </row>
    <row r="281" spans="1:1">
      <c r="A281" s="8"/>
    </row>
    <row r="282" spans="1:1">
      <c r="A282" s="8"/>
    </row>
    <row r="283" spans="1:1">
      <c r="A283" s="8"/>
    </row>
    <row r="284" spans="1:1">
      <c r="A284" s="8"/>
    </row>
    <row r="285" spans="1:1">
      <c r="A285" s="8"/>
    </row>
    <row r="286" spans="1:1">
      <c r="A286" s="8"/>
    </row>
    <row r="287" spans="1:1">
      <c r="A287" s="8"/>
    </row>
    <row r="288" spans="1:1">
      <c r="A288" s="8"/>
    </row>
    <row r="289" spans="1:1">
      <c r="A289" s="8"/>
    </row>
    <row r="290" spans="1:1">
      <c r="A290" s="8"/>
    </row>
    <row r="291" spans="1:1">
      <c r="A291" s="8"/>
    </row>
    <row r="292" spans="1:1">
      <c r="A292" s="8"/>
    </row>
    <row r="293" spans="1:1">
      <c r="A293" s="8"/>
    </row>
    <row r="294" spans="1:1">
      <c r="A294" s="8"/>
    </row>
    <row r="295" spans="1:1">
      <c r="A295" s="8"/>
    </row>
    <row r="296" spans="1:1">
      <c r="A296" s="8"/>
    </row>
    <row r="297" spans="1:1">
      <c r="A297" s="8"/>
    </row>
    <row r="298" spans="1:1">
      <c r="A298" s="8"/>
    </row>
    <row r="299" spans="1:1">
      <c r="A299" s="8"/>
    </row>
    <row r="300" spans="1:1">
      <c r="A300" s="8"/>
    </row>
    <row r="301" spans="1:1">
      <c r="A301" s="8"/>
    </row>
    <row r="302" spans="1:1">
      <c r="A302" s="8"/>
    </row>
    <row r="303" spans="1:1">
      <c r="A303" s="8"/>
    </row>
    <row r="304" spans="1:1">
      <c r="A304" s="8"/>
    </row>
    <row r="305" spans="1:1">
      <c r="A305" s="8"/>
    </row>
    <row r="306" spans="1:1">
      <c r="A306" s="8"/>
    </row>
    <row r="307" spans="1:1">
      <c r="A307" s="8"/>
    </row>
    <row r="308" spans="1:1">
      <c r="A308" s="8"/>
    </row>
    <row r="309" spans="1:1">
      <c r="A309" s="8"/>
    </row>
    <row r="310" spans="1:1">
      <c r="A310" s="8"/>
    </row>
    <row r="311" spans="1:1">
      <c r="A311" s="8"/>
    </row>
    <row r="312" spans="1:1">
      <c r="A312" s="8"/>
    </row>
    <row r="313" spans="1:1">
      <c r="A313" s="8"/>
    </row>
    <row r="314" spans="1:1">
      <c r="A314" s="8"/>
    </row>
    <row r="315" spans="1:1">
      <c r="A315" s="8"/>
    </row>
    <row r="316" spans="1:1">
      <c r="A316" s="8"/>
    </row>
    <row r="317" spans="1:1">
      <c r="A317" s="8"/>
    </row>
    <row r="318" spans="1:1">
      <c r="A318" s="8"/>
    </row>
    <row r="319" spans="1:1">
      <c r="A319" s="8"/>
    </row>
    <row r="320" spans="1:1">
      <c r="A320" s="8"/>
    </row>
    <row r="321" spans="1:1">
      <c r="A321" s="8"/>
    </row>
    <row r="322" spans="1:1">
      <c r="A322" s="8"/>
    </row>
    <row r="323" spans="1:1">
      <c r="A323" s="8"/>
    </row>
    <row r="324" spans="1:1">
      <c r="A324" s="8"/>
    </row>
    <row r="325" spans="1:1">
      <c r="A325" s="8"/>
    </row>
    <row r="326" spans="1:1">
      <c r="A326" s="8"/>
    </row>
    <row r="327" spans="1:1">
      <c r="A327" s="8"/>
    </row>
    <row r="328" spans="1:1">
      <c r="A328" s="8"/>
    </row>
    <row r="329" spans="1:1">
      <c r="A329" s="8"/>
    </row>
    <row r="330" spans="1:1">
      <c r="A330" s="8"/>
    </row>
    <row r="331" spans="1:1">
      <c r="A331" s="8"/>
    </row>
    <row r="332" spans="1:1">
      <c r="A332" s="8"/>
    </row>
    <row r="333" spans="1:1">
      <c r="A333" s="8"/>
    </row>
    <row r="334" spans="1:1">
      <c r="A334" s="8"/>
    </row>
    <row r="335" spans="1:1">
      <c r="A335" s="8"/>
    </row>
    <row r="336" spans="1:1">
      <c r="A336" s="8"/>
    </row>
    <row r="337" spans="1:1">
      <c r="A337" s="8"/>
    </row>
    <row r="338" spans="1:1">
      <c r="A338" s="8"/>
    </row>
    <row r="339" spans="1:1">
      <c r="A339" s="8"/>
    </row>
    <row r="340" spans="1:1">
      <c r="A340" s="8"/>
    </row>
    <row r="341" spans="1:1">
      <c r="A341" s="8"/>
    </row>
    <row r="342" spans="1:1">
      <c r="A342" s="8"/>
    </row>
    <row r="343" spans="1:1">
      <c r="A343" s="8"/>
    </row>
    <row r="344" spans="1:1">
      <c r="A344" s="8"/>
    </row>
    <row r="345" spans="1:1">
      <c r="A345" s="8"/>
    </row>
    <row r="346" spans="1:1">
      <c r="A346" s="8"/>
    </row>
    <row r="347" spans="1:1">
      <c r="A347" s="8"/>
    </row>
    <row r="348" spans="1:1">
      <c r="A348" s="8"/>
    </row>
    <row r="349" spans="1:1">
      <c r="A349" s="8"/>
    </row>
    <row r="350" spans="1:1">
      <c r="A350" s="8"/>
    </row>
    <row r="351" spans="1:1">
      <c r="A351" s="8"/>
    </row>
    <row r="352" spans="1:1">
      <c r="A352" s="8"/>
    </row>
    <row r="353" spans="1:1">
      <c r="A353" s="8"/>
    </row>
    <row r="354" spans="1:1">
      <c r="A354" s="8"/>
    </row>
    <row r="355" spans="1:1">
      <c r="A355" s="8"/>
    </row>
    <row r="356" spans="1:1">
      <c r="A356" s="8"/>
    </row>
    <row r="357" spans="1:1">
      <c r="A357" s="8"/>
    </row>
    <row r="358" spans="1:1">
      <c r="A358" s="8"/>
    </row>
    <row r="359" spans="1:1">
      <c r="A359" s="8"/>
    </row>
    <row r="360" spans="1:1">
      <c r="A360" s="8"/>
    </row>
    <row r="361" spans="1:1">
      <c r="A361" s="8"/>
    </row>
    <row r="362" spans="1:1">
      <c r="A362" s="8"/>
    </row>
    <row r="363" spans="1:1">
      <c r="A363" s="8"/>
    </row>
    <row r="364" spans="1:1">
      <c r="A364" s="8"/>
    </row>
    <row r="365" spans="1:1">
      <c r="A365" s="8"/>
    </row>
    <row r="366" spans="1:1">
      <c r="A366" s="8"/>
    </row>
    <row r="367" spans="1:1">
      <c r="A367" s="8"/>
    </row>
    <row r="368" spans="1:1">
      <c r="A368" s="8"/>
    </row>
    <row r="369" spans="1:1">
      <c r="A369" s="8"/>
    </row>
    <row r="370" spans="1:1">
      <c r="A370" s="8"/>
    </row>
    <row r="371" spans="1:1">
      <c r="A371" s="8"/>
    </row>
    <row r="372" spans="1:1">
      <c r="A372" s="8"/>
    </row>
    <row r="373" spans="1:1">
      <c r="A373" s="8"/>
    </row>
    <row r="374" spans="1:1">
      <c r="A374" s="8"/>
    </row>
    <row r="375" spans="1:1">
      <c r="A375" s="8"/>
    </row>
    <row r="376" spans="1:1">
      <c r="A376" s="8"/>
    </row>
    <row r="377" spans="1:1">
      <c r="A377" s="8"/>
    </row>
    <row r="378" spans="1:1">
      <c r="A378" s="8"/>
    </row>
    <row r="379" spans="1:1">
      <c r="A379" s="8"/>
    </row>
    <row r="380" spans="1:1">
      <c r="A380" s="8"/>
    </row>
    <row r="381" spans="1:1">
      <c r="A381" s="8"/>
    </row>
    <row r="382" spans="1:1">
      <c r="A382" s="8"/>
    </row>
    <row r="383" spans="1:1">
      <c r="A383" s="8"/>
    </row>
    <row r="384" spans="1:1">
      <c r="A384" s="8"/>
    </row>
    <row r="385" spans="1:1">
      <c r="A385" s="8"/>
    </row>
    <row r="386" spans="1:1">
      <c r="A386" s="8"/>
    </row>
    <row r="387" spans="1:1">
      <c r="A387" s="8"/>
    </row>
    <row r="388" spans="1:1">
      <c r="A388" s="8"/>
    </row>
    <row r="389" spans="1:1">
      <c r="A389" s="8"/>
    </row>
    <row r="390" spans="1:1">
      <c r="A390" s="8"/>
    </row>
    <row r="391" spans="1:1">
      <c r="A391" s="8"/>
    </row>
    <row r="392" spans="1:1">
      <c r="A392" s="8"/>
    </row>
    <row r="393" spans="1:1">
      <c r="A393" s="8"/>
    </row>
    <row r="394" spans="1:1">
      <c r="A394" s="8"/>
    </row>
    <row r="395" spans="1:1">
      <c r="A395" s="8"/>
    </row>
    <row r="396" spans="1:1">
      <c r="A396" s="8"/>
    </row>
    <row r="397" spans="1:1">
      <c r="A397" s="8"/>
    </row>
    <row r="398" spans="1:1">
      <c r="A398" s="8"/>
    </row>
    <row r="399" spans="1:1">
      <c r="A399" s="8"/>
    </row>
    <row r="400" spans="1:1">
      <c r="A400" s="8"/>
    </row>
    <row r="401" spans="1:1">
      <c r="A401" s="8"/>
    </row>
    <row r="402" spans="1:1">
      <c r="A402" s="8"/>
    </row>
    <row r="403" spans="1:1">
      <c r="A403" s="8"/>
    </row>
    <row r="404" spans="1:1">
      <c r="A404" s="8"/>
    </row>
    <row r="405" spans="1:1">
      <c r="A405" s="8"/>
    </row>
    <row r="406" spans="1:1">
      <c r="A406" s="8"/>
    </row>
    <row r="407" spans="1:1">
      <c r="A407" s="8"/>
    </row>
    <row r="408" spans="1:1">
      <c r="A408" s="8"/>
    </row>
    <row r="409" spans="1:1">
      <c r="A409" s="8"/>
    </row>
    <row r="410" spans="1:1">
      <c r="A410" s="8"/>
    </row>
    <row r="411" spans="1:1">
      <c r="A411" s="8"/>
    </row>
    <row r="412" spans="1:1">
      <c r="A412" s="8"/>
    </row>
    <row r="413" spans="1:1">
      <c r="A413" s="8"/>
    </row>
    <row r="414" spans="1:1">
      <c r="A414" s="8"/>
    </row>
    <row r="415" spans="1:1">
      <c r="A415" s="8"/>
    </row>
    <row r="416" spans="1:1">
      <c r="A416" s="8"/>
    </row>
    <row r="417" spans="1:1">
      <c r="A417" s="8"/>
    </row>
    <row r="418" spans="1:1">
      <c r="A418" s="8"/>
    </row>
    <row r="419" spans="1:1">
      <c r="A419" s="8"/>
    </row>
    <row r="420" spans="1:1">
      <c r="A420" s="8"/>
    </row>
    <row r="421" spans="1:1">
      <c r="A421" s="8"/>
    </row>
    <row r="422" spans="1:1">
      <c r="A422" s="8"/>
    </row>
    <row r="423" spans="1:1">
      <c r="A423" s="8"/>
    </row>
    <row r="424" spans="1:1">
      <c r="A424" s="8"/>
    </row>
    <row r="425" spans="1:1">
      <c r="A425" s="8"/>
    </row>
    <row r="426" spans="1:1">
      <c r="A426" s="8"/>
    </row>
    <row r="427" spans="1:1">
      <c r="A427" s="8"/>
    </row>
    <row r="428" spans="1:1">
      <c r="A428" s="8"/>
    </row>
    <row r="429" spans="1:1">
      <c r="A429" s="8"/>
    </row>
    <row r="430" spans="1:1">
      <c r="A430" s="8"/>
    </row>
    <row r="431" spans="1:1">
      <c r="A431" s="8"/>
    </row>
    <row r="432" spans="1:1">
      <c r="A432" s="8"/>
    </row>
    <row r="433" spans="1:1">
      <c r="A433" s="8"/>
    </row>
    <row r="434" spans="1:1">
      <c r="A434" s="8"/>
    </row>
    <row r="435" spans="1:1">
      <c r="A435" s="8"/>
    </row>
    <row r="436" spans="1:1">
      <c r="A436" s="8"/>
    </row>
    <row r="437" spans="1:1">
      <c r="A437" s="8"/>
    </row>
    <row r="438" spans="1:1">
      <c r="A438" s="8"/>
    </row>
    <row r="439" spans="1:1">
      <c r="A439" s="8"/>
    </row>
    <row r="440" spans="1:1">
      <c r="A440" s="8"/>
    </row>
    <row r="441" spans="1:1">
      <c r="A441" s="8"/>
    </row>
    <row r="442" spans="1:1">
      <c r="A442" s="8"/>
    </row>
    <row r="443" spans="1:1">
      <c r="A443" s="8"/>
    </row>
    <row r="444" spans="1:1">
      <c r="A444" s="8"/>
    </row>
    <row r="445" spans="1:1">
      <c r="A445" s="8"/>
    </row>
    <row r="446" spans="1:1">
      <c r="A446" s="8"/>
    </row>
    <row r="447" spans="1:1">
      <c r="A447" s="8"/>
    </row>
    <row r="448" spans="1:1">
      <c r="A448" s="8"/>
    </row>
    <row r="449" spans="1:1">
      <c r="A449" s="8"/>
    </row>
    <row r="450" spans="1:1">
      <c r="A450" s="8"/>
    </row>
    <row r="451" spans="1:1">
      <c r="A451" s="8"/>
    </row>
    <row r="452" spans="1:1">
      <c r="A452" s="8"/>
    </row>
    <row r="453" spans="1:1">
      <c r="A453" s="8"/>
    </row>
    <row r="454" spans="1:1">
      <c r="A454" s="8"/>
    </row>
    <row r="455" spans="1:1">
      <c r="A455" s="8"/>
    </row>
    <row r="456" spans="1:1">
      <c r="A456" s="8"/>
    </row>
    <row r="457" spans="1:1">
      <c r="A457" s="8"/>
    </row>
    <row r="458" spans="1:1">
      <c r="A458" s="8"/>
    </row>
  </sheetData>
  <pageMargins left="0.5" right="0.4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58"/>
  <sheetViews>
    <sheetView workbookViewId="0">
      <selection activeCell="H3" sqref="H3"/>
    </sheetView>
  </sheetViews>
  <sheetFormatPr defaultColWidth="12.6640625" defaultRowHeight="14.4"/>
  <cols>
    <col min="1" max="1" width="6" customWidth="1"/>
    <col min="5" max="5" width="13.6640625" bestFit="1" customWidth="1"/>
    <col min="6" max="6" width="12.88671875" customWidth="1"/>
    <col min="13" max="13" width="13.6640625" bestFit="1" customWidth="1"/>
  </cols>
  <sheetData>
    <row r="1" spans="1:7" ht="16.2" thickBot="1">
      <c r="A1" s="3" t="s">
        <v>145</v>
      </c>
      <c r="D1" s="4"/>
      <c r="E1" s="4"/>
      <c r="F1" s="4" t="s">
        <v>164</v>
      </c>
      <c r="G1" s="4"/>
    </row>
    <row r="2" spans="1:7" ht="15.6">
      <c r="A2" s="3" t="s">
        <v>36</v>
      </c>
      <c r="F2" s="5" t="s">
        <v>35</v>
      </c>
      <c r="G2" s="6"/>
    </row>
    <row r="3" spans="1:7" ht="15.6">
      <c r="A3" s="3" t="s">
        <v>98</v>
      </c>
      <c r="F3" s="4"/>
      <c r="G3" s="4"/>
    </row>
    <row r="4" spans="1:7" ht="15.6">
      <c r="A4" s="7" t="s">
        <v>165</v>
      </c>
      <c r="F4" s="4"/>
      <c r="G4" s="4"/>
    </row>
    <row r="5" spans="1:7" ht="15.6">
      <c r="A5" s="7"/>
      <c r="F5" s="4"/>
      <c r="G5" s="4"/>
    </row>
    <row r="6" spans="1:7" ht="15.6">
      <c r="A6" s="16"/>
      <c r="F6" s="4"/>
      <c r="G6" s="4"/>
    </row>
    <row r="7" spans="1:7" ht="15.6">
      <c r="A7" s="3" t="s">
        <v>99</v>
      </c>
      <c r="B7" s="18"/>
      <c r="C7" s="18"/>
      <c r="D7" s="18"/>
      <c r="E7" s="18"/>
      <c r="F7" s="19"/>
      <c r="G7" s="4"/>
    </row>
    <row r="8" spans="1:7" ht="15.6">
      <c r="A8" s="3" t="s">
        <v>186</v>
      </c>
      <c r="F8" s="4"/>
      <c r="G8" s="4"/>
    </row>
    <row r="11" spans="1:7" ht="15.6">
      <c r="A11" s="3" t="s">
        <v>166</v>
      </c>
    </row>
    <row r="13" spans="1:7" ht="15.6">
      <c r="A13" s="3"/>
    </row>
    <row r="14" spans="1:7" ht="15.6">
      <c r="A14" s="3"/>
    </row>
    <row r="15" spans="1:7" ht="15.6">
      <c r="A15" s="3"/>
    </row>
    <row r="16" spans="1:7" ht="15.6">
      <c r="A16" s="3"/>
    </row>
    <row r="17" spans="1:12">
      <c r="A17" s="46" t="s">
        <v>16</v>
      </c>
      <c r="B17" t="s">
        <v>167</v>
      </c>
    </row>
    <row r="18" spans="1:12">
      <c r="A18" s="47"/>
      <c r="B18" t="s">
        <v>168</v>
      </c>
    </row>
    <row r="19" spans="1:12">
      <c r="A19" s="47"/>
      <c r="F19" s="84">
        <f>L19</f>
        <v>46</v>
      </c>
      <c r="L19" s="84">
        <v>46</v>
      </c>
    </row>
    <row r="20" spans="1:12">
      <c r="A20" s="47"/>
      <c r="F20" s="84">
        <f>L20</f>
        <v>1000</v>
      </c>
      <c r="L20" s="84">
        <v>1000</v>
      </c>
    </row>
    <row r="21" spans="1:12">
      <c r="A21" s="47"/>
      <c r="F21" s="99">
        <f>L21</f>
        <v>4.5999999999999999E-2</v>
      </c>
      <c r="L21" s="88">
        <f>L19/L20</f>
        <v>4.5999999999999999E-2</v>
      </c>
    </row>
    <row r="22" spans="1:12">
      <c r="A22" s="47"/>
      <c r="L22" s="88"/>
    </row>
    <row r="23" spans="1:12">
      <c r="A23" s="47"/>
      <c r="L23" s="88"/>
    </row>
    <row r="24" spans="1:12">
      <c r="A24" s="47"/>
    </row>
    <row r="25" spans="1:12">
      <c r="A25" s="46" t="s">
        <v>17</v>
      </c>
      <c r="B25" t="s">
        <v>100</v>
      </c>
    </row>
    <row r="26" spans="1:12">
      <c r="A26" s="47"/>
      <c r="B26" t="s">
        <v>101</v>
      </c>
    </row>
    <row r="27" spans="1:12">
      <c r="A27" s="47"/>
      <c r="F27" s="84">
        <f>L27</f>
        <v>54</v>
      </c>
      <c r="L27" s="84">
        <v>54</v>
      </c>
    </row>
    <row r="28" spans="1:12">
      <c r="A28" s="47"/>
      <c r="F28" s="84">
        <f>L28</f>
        <v>1120</v>
      </c>
      <c r="L28" s="84">
        <v>1120</v>
      </c>
    </row>
    <row r="29" spans="1:12">
      <c r="A29" s="47"/>
      <c r="F29" s="99">
        <f>L29</f>
        <v>4.8214285714285716E-2</v>
      </c>
      <c r="L29" s="88">
        <f>L27/L28</f>
        <v>4.8214285714285716E-2</v>
      </c>
    </row>
    <row r="30" spans="1:12">
      <c r="A30" s="47"/>
      <c r="L30" s="88"/>
    </row>
    <row r="31" spans="1:12">
      <c r="A31" s="47"/>
      <c r="L31" s="88"/>
    </row>
    <row r="32" spans="1:12">
      <c r="A32" s="47"/>
    </row>
    <row r="33" spans="1:12">
      <c r="A33" s="46" t="s">
        <v>50</v>
      </c>
      <c r="B33" t="s">
        <v>102</v>
      </c>
    </row>
    <row r="34" spans="1:12">
      <c r="A34" s="47"/>
      <c r="B34" t="s">
        <v>103</v>
      </c>
    </row>
    <row r="35" spans="1:12">
      <c r="A35" s="47"/>
      <c r="B35" s="97" t="s">
        <v>104</v>
      </c>
      <c r="C35" s="97"/>
      <c r="D35" s="97"/>
      <c r="E35" s="97"/>
      <c r="F35" s="97"/>
      <c r="G35" s="97"/>
      <c r="H35" s="97"/>
      <c r="L35" t="s">
        <v>14</v>
      </c>
    </row>
    <row r="36" spans="1:12">
      <c r="A36" s="47"/>
      <c r="B36" t="s">
        <v>105</v>
      </c>
    </row>
    <row r="37" spans="1:12">
      <c r="A37" s="47"/>
    </row>
    <row r="38" spans="1:12">
      <c r="A38" s="47"/>
    </row>
    <row r="39" spans="1:12">
      <c r="A39" s="47"/>
    </row>
    <row r="40" spans="1:12">
      <c r="A40" s="47"/>
    </row>
    <row r="41" spans="1:12">
      <c r="A41" s="47"/>
    </row>
    <row r="42" spans="1:12">
      <c r="A42" s="47"/>
    </row>
    <row r="43" spans="1:12">
      <c r="A43" s="47"/>
    </row>
    <row r="44" spans="1:12">
      <c r="A44" s="47"/>
    </row>
    <row r="45" spans="1:12">
      <c r="A45" s="47"/>
    </row>
    <row r="46" spans="1:12">
      <c r="A46" s="47"/>
    </row>
    <row r="47" spans="1:12">
      <c r="A47" s="46" t="s">
        <v>51</v>
      </c>
      <c r="B47" t="s">
        <v>169</v>
      </c>
    </row>
    <row r="48" spans="1:12">
      <c r="A48" s="47"/>
      <c r="B48" t="s">
        <v>106</v>
      </c>
    </row>
    <row r="49" spans="1:15">
      <c r="A49" s="47"/>
      <c r="D49" s="82" t="s">
        <v>107</v>
      </c>
      <c r="E49" s="84">
        <v>1028.75</v>
      </c>
    </row>
    <row r="50" spans="1:15">
      <c r="A50" s="47"/>
      <c r="D50" s="82" t="s">
        <v>108</v>
      </c>
      <c r="E50" s="85">
        <v>41988</v>
      </c>
    </row>
    <row r="51" spans="1:15">
      <c r="A51" s="47"/>
      <c r="D51" s="82" t="s">
        <v>109</v>
      </c>
      <c r="E51" s="84">
        <v>26</v>
      </c>
      <c r="L51" s="89">
        <f>E51/E54</f>
        <v>0.14285714285714285</v>
      </c>
      <c r="M51" t="s">
        <v>141</v>
      </c>
    </row>
    <row r="52" spans="1:15">
      <c r="A52" s="47"/>
      <c r="D52" s="82" t="s">
        <v>111</v>
      </c>
      <c r="E52" s="86">
        <f>O54-E50</f>
        <v>118</v>
      </c>
      <c r="L52" s="86">
        <f>E52</f>
        <v>118</v>
      </c>
    </row>
    <row r="53" spans="1:15">
      <c r="A53" s="47"/>
      <c r="D53" s="82" t="s">
        <v>112</v>
      </c>
      <c r="E53" s="85">
        <v>42170</v>
      </c>
      <c r="L53" s="89">
        <f>L51*L52</f>
        <v>16.857142857142858</v>
      </c>
      <c r="M53" t="s">
        <v>142</v>
      </c>
    </row>
    <row r="54" spans="1:15">
      <c r="A54" s="47"/>
      <c r="D54" s="82" t="s">
        <v>110</v>
      </c>
      <c r="E54" s="86">
        <f>E53-E50</f>
        <v>182</v>
      </c>
      <c r="L54" s="84">
        <f>E49</f>
        <v>1028.75</v>
      </c>
      <c r="O54" s="83">
        <v>42106</v>
      </c>
    </row>
    <row r="55" spans="1:15">
      <c r="A55" s="47"/>
      <c r="L55" s="84">
        <f>L53+L54</f>
        <v>1045.6071428571429</v>
      </c>
      <c r="M55" t="s">
        <v>143</v>
      </c>
    </row>
    <row r="56" spans="1:15">
      <c r="A56" s="47"/>
      <c r="D56" s="82" t="s">
        <v>144</v>
      </c>
      <c r="E56" s="102">
        <f>L55</f>
        <v>1045.6071428571429</v>
      </c>
    </row>
    <row r="57" spans="1:15">
      <c r="A57" s="47"/>
    </row>
    <row r="58" spans="1:15">
      <c r="A58" s="47"/>
    </row>
    <row r="59" spans="1:15">
      <c r="A59" s="47"/>
    </row>
    <row r="60" spans="1:15">
      <c r="A60" s="47"/>
    </row>
    <row r="61" spans="1:15">
      <c r="A61" s="47"/>
    </row>
    <row r="62" spans="1:15">
      <c r="A62" s="46" t="s">
        <v>57</v>
      </c>
      <c r="B62" t="s">
        <v>170</v>
      </c>
    </row>
    <row r="63" spans="1:15">
      <c r="A63" s="47"/>
      <c r="B63" t="s">
        <v>106</v>
      </c>
    </row>
    <row r="64" spans="1:15">
      <c r="A64" s="47"/>
      <c r="D64" s="82" t="s">
        <v>107</v>
      </c>
      <c r="E64" s="84">
        <v>890</v>
      </c>
    </row>
    <row r="65" spans="1:15">
      <c r="A65" s="47"/>
      <c r="D65" s="82" t="s">
        <v>108</v>
      </c>
      <c r="E65" s="85">
        <v>42036</v>
      </c>
    </row>
    <row r="66" spans="1:15">
      <c r="A66" s="47"/>
      <c r="D66" s="82" t="s">
        <v>189</v>
      </c>
      <c r="E66" s="115">
        <v>4.3999999999999997E-2</v>
      </c>
      <c r="L66" s="89">
        <f>N66/E69</f>
        <v>0.12154696132596685</v>
      </c>
      <c r="M66" t="s">
        <v>141</v>
      </c>
      <c r="N66" s="84">
        <v>22</v>
      </c>
    </row>
    <row r="67" spans="1:15">
      <c r="A67" s="47"/>
      <c r="D67" s="82" t="s">
        <v>111</v>
      </c>
      <c r="E67" s="86">
        <f>O69-E65</f>
        <v>56</v>
      </c>
      <c r="L67" s="86">
        <f>E67</f>
        <v>56</v>
      </c>
    </row>
    <row r="68" spans="1:15">
      <c r="A68" s="47"/>
      <c r="D68" s="82" t="s">
        <v>112</v>
      </c>
      <c r="E68" s="85">
        <v>42217</v>
      </c>
      <c r="L68" s="89">
        <f>L66*L67</f>
        <v>6.8066298342541431</v>
      </c>
      <c r="M68" t="s">
        <v>142</v>
      </c>
    </row>
    <row r="69" spans="1:15">
      <c r="A69" s="47"/>
      <c r="D69" s="82" t="s">
        <v>110</v>
      </c>
      <c r="E69" s="86">
        <f>E68-E65</f>
        <v>181</v>
      </c>
      <c r="L69" s="84">
        <f>E64</f>
        <v>890</v>
      </c>
      <c r="O69" s="83">
        <v>42092</v>
      </c>
    </row>
    <row r="70" spans="1:15">
      <c r="A70" s="47"/>
      <c r="L70" s="84">
        <f>L68+L69</f>
        <v>896.80662983425418</v>
      </c>
      <c r="M70" t="s">
        <v>143</v>
      </c>
    </row>
    <row r="71" spans="1:15">
      <c r="A71" s="47"/>
      <c r="D71" s="82" t="s">
        <v>144</v>
      </c>
      <c r="E71" s="102">
        <f>L70</f>
        <v>896.80662983425418</v>
      </c>
    </row>
    <row r="72" spans="1:15">
      <c r="A72" s="47"/>
    </row>
    <row r="73" spans="1:15">
      <c r="A73" s="47"/>
    </row>
    <row r="74" spans="1:15">
      <c r="A74" s="47"/>
    </row>
    <row r="75" spans="1:15">
      <c r="A75" s="47"/>
    </row>
    <row r="76" spans="1:15">
      <c r="A76" s="47"/>
    </row>
    <row r="77" spans="1:15">
      <c r="A77" s="46" t="s">
        <v>56</v>
      </c>
      <c r="B77" t="s">
        <v>113</v>
      </c>
    </row>
    <row r="78" spans="1:15">
      <c r="A78" s="47"/>
      <c r="B78" t="s">
        <v>171</v>
      </c>
    </row>
    <row r="79" spans="1:15">
      <c r="A79" s="47"/>
      <c r="B79" t="s">
        <v>173</v>
      </c>
    </row>
    <row r="80" spans="1:15">
      <c r="A80" s="47"/>
      <c r="B80" t="s">
        <v>174</v>
      </c>
    </row>
    <row r="81" spans="1:13">
      <c r="A81" s="47"/>
      <c r="K81">
        <v>101</v>
      </c>
      <c r="L81">
        <v>0.82</v>
      </c>
      <c r="M81" s="90">
        <f>K81+L81</f>
        <v>101.82</v>
      </c>
    </row>
    <row r="82" spans="1:13">
      <c r="A82" s="47"/>
      <c r="E82" s="84">
        <f>M83</f>
        <v>1018.1999999999999</v>
      </c>
      <c r="M82" s="109">
        <v>10</v>
      </c>
    </row>
    <row r="83" spans="1:13">
      <c r="A83" s="47"/>
      <c r="E83" s="108" t="s">
        <v>172</v>
      </c>
      <c r="M83" s="84">
        <f>M81*M82</f>
        <v>1018.1999999999999</v>
      </c>
    </row>
    <row r="84" spans="1:13">
      <c r="A84" s="47"/>
      <c r="E84" s="102">
        <f>M85</f>
        <v>15272.999999999998</v>
      </c>
      <c r="M84" s="109">
        <v>15</v>
      </c>
    </row>
    <row r="85" spans="1:13">
      <c r="A85" s="47"/>
      <c r="M85" s="84">
        <f>M83*M84</f>
        <v>15272.999999999998</v>
      </c>
    </row>
    <row r="86" spans="1:13">
      <c r="A86" s="47"/>
    </row>
    <row r="87" spans="1:13">
      <c r="A87" s="47"/>
    </row>
    <row r="88" spans="1:13">
      <c r="A88" s="47"/>
    </row>
    <row r="89" spans="1:13">
      <c r="A89" s="47"/>
    </row>
    <row r="90" spans="1:13">
      <c r="A90" s="47"/>
    </row>
    <row r="91" spans="1:13">
      <c r="A91" s="47"/>
    </row>
    <row r="92" spans="1:13">
      <c r="A92" s="47"/>
    </row>
    <row r="93" spans="1:13">
      <c r="A93" s="47"/>
    </row>
    <row r="94" spans="1:13">
      <c r="A94" s="46" t="s">
        <v>79</v>
      </c>
      <c r="B94" t="s">
        <v>114</v>
      </c>
    </row>
    <row r="95" spans="1:13">
      <c r="A95" s="47"/>
      <c r="B95" t="s">
        <v>175</v>
      </c>
    </row>
    <row r="96" spans="1:13">
      <c r="A96" s="47"/>
      <c r="B96" t="s">
        <v>115</v>
      </c>
    </row>
    <row r="97" spans="1:13">
      <c r="A97" s="47"/>
      <c r="K97">
        <v>15</v>
      </c>
      <c r="L97" s="84">
        <v>58</v>
      </c>
      <c r="M97" s="84">
        <f>K97*L97</f>
        <v>870</v>
      </c>
    </row>
    <row r="98" spans="1:13">
      <c r="A98" s="47"/>
      <c r="E98" s="102">
        <f>M97</f>
        <v>870</v>
      </c>
    </row>
    <row r="99" spans="1:13">
      <c r="A99" s="47"/>
    </row>
    <row r="100" spans="1:13">
      <c r="A100" s="47"/>
    </row>
    <row r="101" spans="1:13">
      <c r="A101" s="47"/>
    </row>
    <row r="102" spans="1:13">
      <c r="A102" s="47"/>
    </row>
    <row r="103" spans="1:13">
      <c r="A103" s="46" t="s">
        <v>80</v>
      </c>
      <c r="B103" t="s">
        <v>116</v>
      </c>
    </row>
    <row r="104" spans="1:13">
      <c r="A104" s="47"/>
    </row>
    <row r="105" spans="1:13">
      <c r="A105" s="47"/>
      <c r="K105" s="84">
        <v>930</v>
      </c>
      <c r="L105" s="84">
        <f>M97</f>
        <v>870</v>
      </c>
      <c r="M105" s="84">
        <f>K105-L105</f>
        <v>60</v>
      </c>
    </row>
    <row r="106" spans="1:13">
      <c r="A106" s="47"/>
      <c r="E106" s="102">
        <f>M105</f>
        <v>60</v>
      </c>
    </row>
    <row r="107" spans="1:13">
      <c r="A107" s="47"/>
    </row>
    <row r="108" spans="1:13">
      <c r="A108" s="47"/>
    </row>
    <row r="109" spans="1:13">
      <c r="A109" s="47"/>
    </row>
    <row r="110" spans="1:13">
      <c r="A110" s="47"/>
    </row>
    <row r="111" spans="1:13">
      <c r="A111" s="46" t="s">
        <v>86</v>
      </c>
      <c r="B111" t="s">
        <v>117</v>
      </c>
    </row>
    <row r="112" spans="1:13">
      <c r="A112" s="47"/>
      <c r="B112" t="s">
        <v>118</v>
      </c>
    </row>
    <row r="113" spans="1:11">
      <c r="A113" s="47"/>
      <c r="B113" t="s">
        <v>119</v>
      </c>
    </row>
    <row r="114" spans="1:11">
      <c r="A114" s="47"/>
    </row>
    <row r="115" spans="1:11">
      <c r="A115" s="47"/>
      <c r="C115" s="96" t="s">
        <v>138</v>
      </c>
      <c r="D115" s="96"/>
      <c r="E115" s="96"/>
      <c r="F115" s="96"/>
      <c r="K115" t="s">
        <v>138</v>
      </c>
    </row>
    <row r="116" spans="1:11">
      <c r="A116" s="47"/>
      <c r="C116" s="96" t="s">
        <v>139</v>
      </c>
      <c r="D116" s="96"/>
      <c r="E116" s="96"/>
      <c r="F116" s="96"/>
      <c r="K116" t="s">
        <v>139</v>
      </c>
    </row>
    <row r="117" spans="1:11">
      <c r="A117" s="47"/>
    </row>
    <row r="118" spans="1:11">
      <c r="A118" s="47"/>
    </row>
    <row r="119" spans="1:11">
      <c r="A119" s="47"/>
    </row>
    <row r="120" spans="1:11">
      <c r="A120" s="46" t="s">
        <v>88</v>
      </c>
      <c r="B120" t="s">
        <v>120</v>
      </c>
    </row>
    <row r="121" spans="1:11">
      <c r="A121" s="47"/>
    </row>
    <row r="122" spans="1:11">
      <c r="A122" s="47"/>
      <c r="B122" s="97" t="b">
        <v>1</v>
      </c>
      <c r="C122" t="b">
        <v>0</v>
      </c>
      <c r="K122" t="b">
        <v>1</v>
      </c>
    </row>
    <row r="123" spans="1:11">
      <c r="A123" s="47"/>
    </row>
    <row r="124" spans="1:11">
      <c r="A124" s="47"/>
    </row>
    <row r="125" spans="1:11">
      <c r="A125" s="47"/>
    </row>
    <row r="126" spans="1:11">
      <c r="A126" s="47"/>
    </row>
    <row r="127" spans="1:11">
      <c r="A127" s="46" t="s">
        <v>121</v>
      </c>
      <c r="B127" t="s">
        <v>122</v>
      </c>
    </row>
    <row r="128" spans="1:11">
      <c r="A128" s="47"/>
    </row>
    <row r="129" spans="1:11">
      <c r="A129" s="47"/>
      <c r="B129" s="98" t="b">
        <v>1</v>
      </c>
      <c r="C129" s="97" t="b">
        <v>0</v>
      </c>
      <c r="K129" t="b">
        <v>0</v>
      </c>
    </row>
    <row r="130" spans="1:11">
      <c r="A130" s="47"/>
    </row>
    <row r="131" spans="1:11">
      <c r="A131" s="47"/>
    </row>
    <row r="132" spans="1:11">
      <c r="A132" s="47"/>
    </row>
    <row r="133" spans="1:11">
      <c r="A133" s="47"/>
    </row>
    <row r="134" spans="1:11">
      <c r="A134" s="46" t="s">
        <v>123</v>
      </c>
      <c r="B134" t="s">
        <v>124</v>
      </c>
    </row>
    <row r="135" spans="1:11">
      <c r="A135" s="47"/>
      <c r="B135" t="s">
        <v>125</v>
      </c>
    </row>
    <row r="136" spans="1:11">
      <c r="A136" s="47"/>
    </row>
    <row r="137" spans="1:11">
      <c r="A137" s="47"/>
      <c r="B137" s="98" t="b">
        <v>1</v>
      </c>
      <c r="C137" s="97" t="b">
        <v>0</v>
      </c>
      <c r="K137" t="b">
        <v>0</v>
      </c>
    </row>
    <row r="138" spans="1:11">
      <c r="A138" s="47"/>
    </row>
    <row r="139" spans="1:11">
      <c r="A139" s="47"/>
    </row>
    <row r="140" spans="1:11">
      <c r="A140" s="47"/>
    </row>
    <row r="141" spans="1:11">
      <c r="A141" s="46" t="s">
        <v>126</v>
      </c>
      <c r="B141" t="s">
        <v>127</v>
      </c>
    </row>
    <row r="142" spans="1:11">
      <c r="A142" s="47"/>
    </row>
    <row r="143" spans="1:11">
      <c r="A143" s="47"/>
      <c r="B143" s="97" t="b">
        <v>1</v>
      </c>
      <c r="C143" t="b">
        <v>0</v>
      </c>
      <c r="K143" t="b">
        <v>1</v>
      </c>
    </row>
    <row r="144" spans="1:11">
      <c r="A144" s="47"/>
    </row>
    <row r="145" spans="1:16">
      <c r="A145" s="47"/>
    </row>
    <row r="146" spans="1:16">
      <c r="A146" s="47"/>
    </row>
    <row r="147" spans="1:16">
      <c r="A147" s="46" t="s">
        <v>128</v>
      </c>
      <c r="B147" t="s">
        <v>129</v>
      </c>
    </row>
    <row r="148" spans="1:16">
      <c r="A148" s="47"/>
      <c r="B148" t="s">
        <v>130</v>
      </c>
    </row>
    <row r="149" spans="1:16">
      <c r="A149" s="47"/>
      <c r="B149" t="s">
        <v>176</v>
      </c>
    </row>
    <row r="150" spans="1:16">
      <c r="A150" s="47"/>
      <c r="B150" s="97" t="s">
        <v>131</v>
      </c>
      <c r="C150" s="97"/>
      <c r="D150" s="97"/>
      <c r="E150" s="97"/>
      <c r="F150" s="97"/>
      <c r="G150" s="97"/>
      <c r="H150" s="97"/>
      <c r="K150" t="s">
        <v>15</v>
      </c>
    </row>
    <row r="151" spans="1:16">
      <c r="A151" s="47"/>
      <c r="B151" s="97" t="s">
        <v>132</v>
      </c>
      <c r="C151" s="97"/>
      <c r="D151" s="97"/>
      <c r="E151" s="97"/>
      <c r="F151" s="97"/>
      <c r="G151" s="97"/>
      <c r="H151" s="97"/>
    </row>
    <row r="152" spans="1:16">
      <c r="A152" s="47"/>
    </row>
    <row r="153" spans="1:16">
      <c r="A153" s="47"/>
    </row>
    <row r="154" spans="1:16">
      <c r="A154" s="47"/>
    </row>
    <row r="155" spans="1:16" ht="15.6">
      <c r="A155" s="47"/>
      <c r="B155" s="91" t="s">
        <v>188</v>
      </c>
      <c r="C155" s="91"/>
      <c r="D155" s="91"/>
      <c r="E155" s="91"/>
      <c r="F155" s="91"/>
      <c r="G155" s="91"/>
      <c r="L155" s="91"/>
      <c r="M155" s="91"/>
      <c r="N155" s="91"/>
      <c r="O155" s="91"/>
      <c r="P155" s="91"/>
    </row>
    <row r="156" spans="1:16" ht="15.6">
      <c r="A156" s="47"/>
      <c r="B156" s="91"/>
      <c r="C156" s="91"/>
      <c r="D156" s="91"/>
      <c r="E156" s="91"/>
      <c r="F156" s="91"/>
      <c r="G156" s="91"/>
      <c r="L156" s="91"/>
      <c r="M156" s="91"/>
      <c r="N156" s="91"/>
      <c r="O156" s="91"/>
      <c r="P156" s="91"/>
    </row>
    <row r="157" spans="1:16" ht="15.6">
      <c r="A157" s="47"/>
      <c r="B157" s="91" t="s">
        <v>133</v>
      </c>
      <c r="C157" s="91"/>
      <c r="D157" s="91"/>
      <c r="E157" s="92" t="s">
        <v>134</v>
      </c>
      <c r="F157" s="91" t="s">
        <v>187</v>
      </c>
      <c r="G157" s="91"/>
      <c r="J157" s="91"/>
      <c r="N157" s="92"/>
      <c r="O157" s="91"/>
      <c r="P157" s="91"/>
    </row>
    <row r="158" spans="1:16">
      <c r="A158" s="47"/>
      <c r="B158" s="20" t="s">
        <v>140</v>
      </c>
    </row>
    <row r="159" spans="1:16">
      <c r="A159" s="47"/>
    </row>
    <row r="160" spans="1:16">
      <c r="A160" s="46" t="s">
        <v>135</v>
      </c>
      <c r="B160" t="s">
        <v>178</v>
      </c>
    </row>
    <row r="161" spans="1:13">
      <c r="A161" s="47"/>
      <c r="B161" t="s">
        <v>179</v>
      </c>
    </row>
    <row r="162" spans="1:13">
      <c r="A162" s="47"/>
      <c r="L162" s="87">
        <v>8.9410000000000007</v>
      </c>
      <c r="M162" s="87">
        <f>L162</f>
        <v>8.9410000000000007</v>
      </c>
    </row>
    <row r="163" spans="1:13">
      <c r="A163" s="47"/>
      <c r="E163" s="99">
        <f>L166</f>
        <v>-3.9005816771691709E-2</v>
      </c>
      <c r="L163" s="87">
        <v>3.15E-2</v>
      </c>
      <c r="M163" s="87">
        <f>L163*100</f>
        <v>3.15</v>
      </c>
    </row>
    <row r="164" spans="1:13">
      <c r="A164" s="47"/>
      <c r="L164" s="87">
        <v>4.4999999999999997E-3</v>
      </c>
      <c r="M164" s="87">
        <f>L164*100</f>
        <v>0.44999999999999996</v>
      </c>
    </row>
    <row r="165" spans="1:13">
      <c r="A165" s="47"/>
      <c r="L165" s="87">
        <f>-L162*(L164/(1+L163))</f>
        <v>-3.9005816771691709E-2</v>
      </c>
      <c r="M165" s="87">
        <f>-M162*((M164/100)/((1+(M163)/100)))</f>
        <v>-3.9005816771691709E-2</v>
      </c>
    </row>
    <row r="166" spans="1:13">
      <c r="A166" s="8"/>
      <c r="L166" s="88">
        <f>L165</f>
        <v>-3.9005816771691709E-2</v>
      </c>
      <c r="M166" s="88">
        <f>M165</f>
        <v>-3.9005816771691709E-2</v>
      </c>
    </row>
    <row r="167" spans="1:13">
      <c r="A167" s="8"/>
    </row>
    <row r="168" spans="1:13">
      <c r="A168" s="8"/>
    </row>
    <row r="169" spans="1:13">
      <c r="A169" s="46" t="s">
        <v>136</v>
      </c>
      <c r="B169" t="s">
        <v>137</v>
      </c>
    </row>
    <row r="170" spans="1:13">
      <c r="A170" s="47"/>
      <c r="B170" t="s">
        <v>177</v>
      </c>
    </row>
    <row r="171" spans="1:13">
      <c r="A171" s="47"/>
    </row>
    <row r="172" spans="1:13">
      <c r="A172" s="47"/>
      <c r="D172" s="110">
        <f>M172</f>
        <v>908.13950315075135</v>
      </c>
      <c r="E172" s="8" t="s">
        <v>29</v>
      </c>
      <c r="F172" s="101">
        <f>M174</f>
        <v>908.14499999999998</v>
      </c>
      <c r="K172" s="84">
        <v>945</v>
      </c>
      <c r="L172" s="100">
        <f>1+L165</f>
        <v>0.96099418322830832</v>
      </c>
      <c r="M172" s="89">
        <f>K172*L172</f>
        <v>908.13950315075135</v>
      </c>
    </row>
    <row r="173" spans="1:13">
      <c r="A173" s="47"/>
      <c r="K173" s="8" t="s">
        <v>29</v>
      </c>
    </row>
    <row r="174" spans="1:13">
      <c r="A174" s="47"/>
      <c r="K174" s="84">
        <f>K172</f>
        <v>945</v>
      </c>
      <c r="L174" s="100">
        <f>ROUND(L172,4)</f>
        <v>0.96099999999999997</v>
      </c>
      <c r="M174" s="89">
        <f>K174*L174</f>
        <v>908.14499999999998</v>
      </c>
    </row>
    <row r="175" spans="1:13">
      <c r="A175" s="8"/>
    </row>
    <row r="176" spans="1:13">
      <c r="A176" s="8"/>
    </row>
    <row r="177" spans="1:14">
      <c r="A177" s="46" t="s">
        <v>180</v>
      </c>
      <c r="B177" t="s">
        <v>181</v>
      </c>
    </row>
    <row r="178" spans="1:14">
      <c r="A178" s="47"/>
      <c r="B178" t="s">
        <v>185</v>
      </c>
      <c r="K178" s="8" t="s">
        <v>2</v>
      </c>
      <c r="L178" s="8" t="s">
        <v>62</v>
      </c>
      <c r="M178" s="8" t="s">
        <v>182</v>
      </c>
      <c r="N178" s="8" t="s">
        <v>183</v>
      </c>
    </row>
    <row r="179" spans="1:14">
      <c r="A179" s="8"/>
      <c r="K179" s="84">
        <v>980</v>
      </c>
      <c r="L179" s="112"/>
      <c r="M179" s="112">
        <v>3.0000000000000001E-3</v>
      </c>
      <c r="N179" s="112">
        <v>4.5999999999999999E-2</v>
      </c>
    </row>
    <row r="180" spans="1:14">
      <c r="A180" s="8"/>
      <c r="K180" s="84">
        <v>915</v>
      </c>
      <c r="L180" s="112"/>
      <c r="M180" s="112"/>
      <c r="N180" s="112"/>
    </row>
    <row r="181" spans="1:14">
      <c r="A181" s="8"/>
      <c r="D181" s="113">
        <f>L183</f>
        <v>23.125850340136054</v>
      </c>
      <c r="E181" t="s">
        <v>184</v>
      </c>
      <c r="K181" s="84">
        <f>K180-K179</f>
        <v>-65</v>
      </c>
      <c r="L181" s="112"/>
      <c r="M181" s="112"/>
      <c r="N181" s="112"/>
    </row>
    <row r="182" spans="1:14">
      <c r="A182" s="8"/>
      <c r="K182" s="111">
        <f>K181/K179</f>
        <v>-6.6326530612244902E-2</v>
      </c>
      <c r="L182" s="112">
        <f>K182/M182</f>
        <v>-23.125850340136054</v>
      </c>
      <c r="M182" s="112">
        <f>M179/(1+N179)</f>
        <v>2.8680688336520078E-3</v>
      </c>
      <c r="N182" s="112"/>
    </row>
    <row r="183" spans="1:14">
      <c r="A183" s="8"/>
      <c r="L183" s="112">
        <f>-L182</f>
        <v>23.125850340136054</v>
      </c>
    </row>
    <row r="184" spans="1:14">
      <c r="A184" s="8"/>
    </row>
    <row r="185" spans="1:14">
      <c r="A185" s="8"/>
    </row>
    <row r="186" spans="1:14">
      <c r="A186" s="8"/>
    </row>
    <row r="187" spans="1:14">
      <c r="A187" s="8"/>
    </row>
    <row r="188" spans="1:14">
      <c r="A188" s="8"/>
    </row>
    <row r="189" spans="1:14">
      <c r="A189" s="8"/>
    </row>
    <row r="190" spans="1:14">
      <c r="A190" s="8"/>
    </row>
    <row r="191" spans="1:14">
      <c r="A191" s="8"/>
    </row>
    <row r="192" spans="1:14">
      <c r="A192" s="8"/>
    </row>
    <row r="193" spans="1:1">
      <c r="A193" s="8"/>
    </row>
    <row r="194" spans="1:1">
      <c r="A194" s="8"/>
    </row>
    <row r="195" spans="1:1">
      <c r="A195" s="8"/>
    </row>
    <row r="196" spans="1:1">
      <c r="A196" s="8"/>
    </row>
    <row r="197" spans="1:1">
      <c r="A197" s="8"/>
    </row>
    <row r="198" spans="1:1">
      <c r="A198" s="8"/>
    </row>
    <row r="199" spans="1:1">
      <c r="A199" s="8"/>
    </row>
    <row r="200" spans="1:1">
      <c r="A200" s="8"/>
    </row>
    <row r="201" spans="1:1">
      <c r="A201" s="8"/>
    </row>
    <row r="202" spans="1:1">
      <c r="A202" s="8"/>
    </row>
    <row r="203" spans="1:1">
      <c r="A203" s="8"/>
    </row>
    <row r="204" spans="1:1">
      <c r="A204" s="8"/>
    </row>
    <row r="205" spans="1:1">
      <c r="A205" s="8"/>
    </row>
    <row r="206" spans="1:1">
      <c r="A206" s="8"/>
    </row>
    <row r="207" spans="1:1">
      <c r="A207" s="8"/>
    </row>
    <row r="208" spans="1:1">
      <c r="A208" s="8"/>
    </row>
    <row r="209" spans="1:1">
      <c r="A209" s="8"/>
    </row>
    <row r="210" spans="1:1">
      <c r="A210" s="8"/>
    </row>
    <row r="211" spans="1:1">
      <c r="A211" s="8"/>
    </row>
    <row r="212" spans="1:1">
      <c r="A212" s="8"/>
    </row>
    <row r="213" spans="1:1">
      <c r="A213" s="8"/>
    </row>
    <row r="214" spans="1:1">
      <c r="A214" s="8"/>
    </row>
    <row r="215" spans="1:1">
      <c r="A215" s="8"/>
    </row>
    <row r="216" spans="1:1">
      <c r="A216" s="8"/>
    </row>
    <row r="217" spans="1:1">
      <c r="A217" s="8"/>
    </row>
    <row r="218" spans="1:1">
      <c r="A218" s="8"/>
    </row>
    <row r="219" spans="1:1">
      <c r="A219" s="8"/>
    </row>
    <row r="220" spans="1:1">
      <c r="A220" s="8"/>
    </row>
    <row r="221" spans="1:1">
      <c r="A221" s="8"/>
    </row>
    <row r="222" spans="1:1">
      <c r="A222" s="8"/>
    </row>
    <row r="223" spans="1:1">
      <c r="A223" s="8"/>
    </row>
    <row r="224" spans="1:1">
      <c r="A224" s="8"/>
    </row>
    <row r="225" spans="1:1">
      <c r="A225" s="8"/>
    </row>
    <row r="226" spans="1:1">
      <c r="A226" s="8"/>
    </row>
    <row r="227" spans="1:1">
      <c r="A227" s="8"/>
    </row>
    <row r="228" spans="1:1">
      <c r="A228" s="8"/>
    </row>
    <row r="229" spans="1:1">
      <c r="A229" s="8"/>
    </row>
    <row r="230" spans="1:1">
      <c r="A230" s="8"/>
    </row>
    <row r="231" spans="1:1">
      <c r="A231" s="8"/>
    </row>
    <row r="232" spans="1:1">
      <c r="A232" s="8"/>
    </row>
    <row r="233" spans="1:1">
      <c r="A233" s="8"/>
    </row>
    <row r="234" spans="1:1">
      <c r="A234" s="8"/>
    </row>
    <row r="235" spans="1:1">
      <c r="A235" s="8"/>
    </row>
    <row r="236" spans="1:1">
      <c r="A236" s="8"/>
    </row>
    <row r="237" spans="1:1">
      <c r="A237" s="8"/>
    </row>
    <row r="238" spans="1:1">
      <c r="A238" s="8"/>
    </row>
    <row r="239" spans="1:1">
      <c r="A239" s="8"/>
    </row>
    <row r="240" spans="1:1">
      <c r="A240" s="8"/>
    </row>
    <row r="241" spans="1:1">
      <c r="A241" s="8"/>
    </row>
    <row r="242" spans="1:1">
      <c r="A242" s="8"/>
    </row>
    <row r="243" spans="1:1">
      <c r="A243" s="8"/>
    </row>
    <row r="244" spans="1:1">
      <c r="A244" s="8"/>
    </row>
    <row r="245" spans="1:1">
      <c r="A245" s="8"/>
    </row>
    <row r="246" spans="1:1">
      <c r="A246" s="8"/>
    </row>
    <row r="247" spans="1:1">
      <c r="A247" s="8"/>
    </row>
    <row r="248" spans="1:1">
      <c r="A248" s="8"/>
    </row>
    <row r="249" spans="1:1">
      <c r="A249" s="8"/>
    </row>
    <row r="250" spans="1:1">
      <c r="A250" s="8"/>
    </row>
    <row r="251" spans="1:1">
      <c r="A251" s="8"/>
    </row>
    <row r="252" spans="1:1">
      <c r="A252" s="8"/>
    </row>
    <row r="253" spans="1:1">
      <c r="A253" s="8"/>
    </row>
    <row r="254" spans="1:1">
      <c r="A254" s="8"/>
    </row>
    <row r="255" spans="1:1">
      <c r="A255" s="8"/>
    </row>
    <row r="256" spans="1:1">
      <c r="A256" s="8"/>
    </row>
    <row r="257" spans="1:1">
      <c r="A257" s="8"/>
    </row>
    <row r="258" spans="1:1">
      <c r="A258" s="8"/>
    </row>
    <row r="259" spans="1:1">
      <c r="A259" s="8"/>
    </row>
    <row r="260" spans="1:1">
      <c r="A260" s="8"/>
    </row>
    <row r="261" spans="1:1">
      <c r="A261" s="8"/>
    </row>
    <row r="262" spans="1:1">
      <c r="A262" s="8"/>
    </row>
    <row r="263" spans="1:1">
      <c r="A263" s="8"/>
    </row>
    <row r="264" spans="1:1">
      <c r="A264" s="8"/>
    </row>
    <row r="265" spans="1:1">
      <c r="A265" s="8"/>
    </row>
    <row r="266" spans="1:1">
      <c r="A266" s="8"/>
    </row>
    <row r="267" spans="1:1">
      <c r="A267" s="8"/>
    </row>
    <row r="268" spans="1:1">
      <c r="A268" s="8"/>
    </row>
    <row r="269" spans="1:1">
      <c r="A269" s="8"/>
    </row>
    <row r="270" spans="1:1">
      <c r="A270" s="8"/>
    </row>
    <row r="271" spans="1:1">
      <c r="A271" s="8"/>
    </row>
    <row r="272" spans="1:1">
      <c r="A272" s="8"/>
    </row>
    <row r="273" spans="1:1">
      <c r="A273" s="8"/>
    </row>
    <row r="274" spans="1:1">
      <c r="A274" s="8"/>
    </row>
    <row r="275" spans="1:1">
      <c r="A275" s="8"/>
    </row>
    <row r="276" spans="1:1">
      <c r="A276" s="8"/>
    </row>
    <row r="277" spans="1:1">
      <c r="A277" s="8"/>
    </row>
    <row r="278" spans="1:1">
      <c r="A278" s="8"/>
    </row>
    <row r="279" spans="1:1">
      <c r="A279" s="8"/>
    </row>
    <row r="280" spans="1:1">
      <c r="A280" s="8"/>
    </row>
    <row r="281" spans="1:1">
      <c r="A281" s="8"/>
    </row>
    <row r="282" spans="1:1">
      <c r="A282" s="8"/>
    </row>
    <row r="283" spans="1:1">
      <c r="A283" s="8"/>
    </row>
    <row r="284" spans="1:1">
      <c r="A284" s="8"/>
    </row>
    <row r="285" spans="1:1">
      <c r="A285" s="8"/>
    </row>
    <row r="286" spans="1:1">
      <c r="A286" s="8"/>
    </row>
    <row r="287" spans="1:1">
      <c r="A287" s="8"/>
    </row>
    <row r="288" spans="1:1">
      <c r="A288" s="8"/>
    </row>
    <row r="289" spans="1:1">
      <c r="A289" s="8"/>
    </row>
    <row r="290" spans="1:1">
      <c r="A290" s="8"/>
    </row>
    <row r="291" spans="1:1">
      <c r="A291" s="8"/>
    </row>
    <row r="292" spans="1:1">
      <c r="A292" s="8"/>
    </row>
    <row r="293" spans="1:1">
      <c r="A293" s="8"/>
    </row>
    <row r="294" spans="1:1">
      <c r="A294" s="8"/>
    </row>
    <row r="295" spans="1:1">
      <c r="A295" s="8"/>
    </row>
    <row r="296" spans="1:1">
      <c r="A296" s="8"/>
    </row>
    <row r="297" spans="1:1">
      <c r="A297" s="8"/>
    </row>
    <row r="298" spans="1:1">
      <c r="A298" s="8"/>
    </row>
    <row r="299" spans="1:1">
      <c r="A299" s="8"/>
    </row>
    <row r="300" spans="1:1">
      <c r="A300" s="8"/>
    </row>
    <row r="301" spans="1:1">
      <c r="A301" s="8"/>
    </row>
    <row r="302" spans="1:1">
      <c r="A302" s="8"/>
    </row>
    <row r="303" spans="1:1">
      <c r="A303" s="8"/>
    </row>
    <row r="304" spans="1:1">
      <c r="A304" s="8"/>
    </row>
    <row r="305" spans="1:1">
      <c r="A305" s="8"/>
    </row>
    <row r="306" spans="1:1">
      <c r="A306" s="8"/>
    </row>
    <row r="307" spans="1:1">
      <c r="A307" s="8"/>
    </row>
    <row r="308" spans="1:1">
      <c r="A308" s="8"/>
    </row>
    <row r="309" spans="1:1">
      <c r="A309" s="8"/>
    </row>
    <row r="310" spans="1:1">
      <c r="A310" s="8"/>
    </row>
    <row r="311" spans="1:1">
      <c r="A311" s="8"/>
    </row>
    <row r="312" spans="1:1">
      <c r="A312" s="8"/>
    </row>
    <row r="313" spans="1:1">
      <c r="A313" s="8"/>
    </row>
    <row r="314" spans="1:1">
      <c r="A314" s="8"/>
    </row>
    <row r="315" spans="1:1">
      <c r="A315" s="8"/>
    </row>
    <row r="316" spans="1:1">
      <c r="A316" s="8"/>
    </row>
    <row r="317" spans="1:1">
      <c r="A317" s="8"/>
    </row>
    <row r="318" spans="1:1">
      <c r="A318" s="8"/>
    </row>
    <row r="319" spans="1:1">
      <c r="A319" s="8"/>
    </row>
    <row r="320" spans="1:1">
      <c r="A320" s="8"/>
    </row>
    <row r="321" spans="1:1">
      <c r="A321" s="8"/>
    </row>
    <row r="322" spans="1:1">
      <c r="A322" s="8"/>
    </row>
    <row r="323" spans="1:1">
      <c r="A323" s="8"/>
    </row>
    <row r="324" spans="1:1">
      <c r="A324" s="8"/>
    </row>
    <row r="325" spans="1:1">
      <c r="A325" s="8"/>
    </row>
    <row r="326" spans="1:1">
      <c r="A326" s="8"/>
    </row>
    <row r="327" spans="1:1">
      <c r="A327" s="8"/>
    </row>
    <row r="328" spans="1:1">
      <c r="A328" s="8"/>
    </row>
    <row r="329" spans="1:1">
      <c r="A329" s="8"/>
    </row>
    <row r="330" spans="1:1">
      <c r="A330" s="8"/>
    </row>
    <row r="331" spans="1:1">
      <c r="A331" s="8"/>
    </row>
    <row r="332" spans="1:1">
      <c r="A332" s="8"/>
    </row>
    <row r="333" spans="1:1">
      <c r="A333" s="8"/>
    </row>
    <row r="334" spans="1:1">
      <c r="A334" s="8"/>
    </row>
    <row r="335" spans="1:1">
      <c r="A335" s="8"/>
    </row>
    <row r="336" spans="1:1">
      <c r="A336" s="8"/>
    </row>
    <row r="337" spans="1:1">
      <c r="A337" s="8"/>
    </row>
    <row r="338" spans="1:1">
      <c r="A338" s="8"/>
    </row>
    <row r="339" spans="1:1">
      <c r="A339" s="8"/>
    </row>
    <row r="340" spans="1:1">
      <c r="A340" s="8"/>
    </row>
    <row r="341" spans="1:1">
      <c r="A341" s="8"/>
    </row>
    <row r="342" spans="1:1">
      <c r="A342" s="8"/>
    </row>
    <row r="343" spans="1:1">
      <c r="A343" s="8"/>
    </row>
    <row r="344" spans="1:1">
      <c r="A344" s="8"/>
    </row>
    <row r="345" spans="1:1">
      <c r="A345" s="8"/>
    </row>
    <row r="346" spans="1:1">
      <c r="A346" s="8"/>
    </row>
    <row r="347" spans="1:1">
      <c r="A347" s="8"/>
    </row>
    <row r="348" spans="1:1">
      <c r="A348" s="8"/>
    </row>
    <row r="349" spans="1:1">
      <c r="A349" s="8"/>
    </row>
    <row r="350" spans="1:1">
      <c r="A350" s="8"/>
    </row>
    <row r="351" spans="1:1">
      <c r="A351" s="8"/>
    </row>
    <row r="352" spans="1:1">
      <c r="A352" s="8"/>
    </row>
    <row r="353" spans="1:1">
      <c r="A353" s="8"/>
    </row>
    <row r="354" spans="1:1">
      <c r="A354" s="8"/>
    </row>
    <row r="355" spans="1:1">
      <c r="A355" s="8"/>
    </row>
    <row r="356" spans="1:1">
      <c r="A356" s="8"/>
    </row>
    <row r="357" spans="1:1">
      <c r="A357" s="8"/>
    </row>
    <row r="358" spans="1:1">
      <c r="A358" s="8"/>
    </row>
    <row r="359" spans="1:1">
      <c r="A359" s="8"/>
    </row>
    <row r="360" spans="1:1">
      <c r="A360" s="8"/>
    </row>
    <row r="361" spans="1:1">
      <c r="A361" s="8"/>
    </row>
    <row r="362" spans="1:1">
      <c r="A362" s="8"/>
    </row>
    <row r="363" spans="1:1">
      <c r="A363" s="8"/>
    </row>
    <row r="364" spans="1:1">
      <c r="A364" s="8"/>
    </row>
    <row r="365" spans="1:1">
      <c r="A365" s="8"/>
    </row>
    <row r="366" spans="1:1">
      <c r="A366" s="8"/>
    </row>
    <row r="367" spans="1:1">
      <c r="A367" s="8"/>
    </row>
    <row r="368" spans="1:1">
      <c r="A368" s="8"/>
    </row>
    <row r="369" spans="1:1">
      <c r="A369" s="8"/>
    </row>
    <row r="370" spans="1:1">
      <c r="A370" s="8"/>
    </row>
    <row r="371" spans="1:1">
      <c r="A371" s="8"/>
    </row>
    <row r="372" spans="1:1">
      <c r="A372" s="8"/>
    </row>
    <row r="373" spans="1:1">
      <c r="A373" s="8"/>
    </row>
    <row r="374" spans="1:1">
      <c r="A374" s="8"/>
    </row>
    <row r="375" spans="1:1">
      <c r="A375" s="8"/>
    </row>
    <row r="376" spans="1:1">
      <c r="A376" s="8"/>
    </row>
    <row r="377" spans="1:1">
      <c r="A377" s="8"/>
    </row>
    <row r="378" spans="1:1">
      <c r="A378" s="8"/>
    </row>
    <row r="379" spans="1:1">
      <c r="A379" s="8"/>
    </row>
    <row r="380" spans="1:1">
      <c r="A380" s="8"/>
    </row>
    <row r="381" spans="1:1">
      <c r="A381" s="8"/>
    </row>
    <row r="382" spans="1:1">
      <c r="A382" s="8"/>
    </row>
    <row r="383" spans="1:1">
      <c r="A383" s="8"/>
    </row>
    <row r="384" spans="1:1">
      <c r="A384" s="8"/>
    </row>
    <row r="385" spans="1:1">
      <c r="A385" s="8"/>
    </row>
    <row r="386" spans="1:1">
      <c r="A386" s="8"/>
    </row>
    <row r="387" spans="1:1">
      <c r="A387" s="8"/>
    </row>
    <row r="388" spans="1:1">
      <c r="A388" s="8"/>
    </row>
    <row r="389" spans="1:1">
      <c r="A389" s="8"/>
    </row>
    <row r="390" spans="1:1">
      <c r="A390" s="8"/>
    </row>
    <row r="391" spans="1:1">
      <c r="A391" s="8"/>
    </row>
    <row r="392" spans="1:1">
      <c r="A392" s="8"/>
    </row>
    <row r="393" spans="1:1">
      <c r="A393" s="8"/>
    </row>
    <row r="394" spans="1:1">
      <c r="A394" s="8"/>
    </row>
    <row r="395" spans="1:1">
      <c r="A395" s="8"/>
    </row>
    <row r="396" spans="1:1">
      <c r="A396" s="8"/>
    </row>
    <row r="397" spans="1:1">
      <c r="A397" s="8"/>
    </row>
    <row r="398" spans="1:1">
      <c r="A398" s="8"/>
    </row>
    <row r="399" spans="1:1">
      <c r="A399" s="8"/>
    </row>
    <row r="400" spans="1:1">
      <c r="A400" s="8"/>
    </row>
    <row r="401" spans="1:1">
      <c r="A401" s="8"/>
    </row>
    <row r="402" spans="1:1">
      <c r="A402" s="8"/>
    </row>
    <row r="403" spans="1:1">
      <c r="A403" s="8"/>
    </row>
    <row r="404" spans="1:1">
      <c r="A404" s="8"/>
    </row>
    <row r="405" spans="1:1">
      <c r="A405" s="8"/>
    </row>
    <row r="406" spans="1:1">
      <c r="A406" s="8"/>
    </row>
    <row r="407" spans="1:1">
      <c r="A407" s="8"/>
    </row>
    <row r="408" spans="1:1">
      <c r="A408" s="8"/>
    </row>
    <row r="409" spans="1:1">
      <c r="A409" s="8"/>
    </row>
    <row r="410" spans="1:1">
      <c r="A410" s="8"/>
    </row>
    <row r="411" spans="1:1">
      <c r="A411" s="8"/>
    </row>
    <row r="412" spans="1:1">
      <c r="A412" s="8"/>
    </row>
    <row r="413" spans="1:1">
      <c r="A413" s="8"/>
    </row>
    <row r="414" spans="1:1">
      <c r="A414" s="8"/>
    </row>
    <row r="415" spans="1:1">
      <c r="A415" s="8"/>
    </row>
    <row r="416" spans="1:1">
      <c r="A416" s="8"/>
    </row>
    <row r="417" spans="1:1">
      <c r="A417" s="8"/>
    </row>
    <row r="418" spans="1:1">
      <c r="A418" s="8"/>
    </row>
    <row r="419" spans="1:1">
      <c r="A419" s="8"/>
    </row>
    <row r="420" spans="1:1">
      <c r="A420" s="8"/>
    </row>
    <row r="421" spans="1:1">
      <c r="A421" s="8"/>
    </row>
    <row r="422" spans="1:1">
      <c r="A422" s="8"/>
    </row>
    <row r="423" spans="1:1">
      <c r="A423" s="8"/>
    </row>
    <row r="424" spans="1:1">
      <c r="A424" s="8"/>
    </row>
    <row r="425" spans="1:1">
      <c r="A425" s="8"/>
    </row>
    <row r="426" spans="1:1">
      <c r="A426" s="8"/>
    </row>
    <row r="427" spans="1:1">
      <c r="A427" s="8"/>
    </row>
    <row r="428" spans="1:1">
      <c r="A428" s="8"/>
    </row>
    <row r="429" spans="1:1">
      <c r="A429" s="8"/>
    </row>
    <row r="430" spans="1:1">
      <c r="A430" s="8"/>
    </row>
    <row r="431" spans="1:1">
      <c r="A431" s="8"/>
    </row>
    <row r="432" spans="1:1">
      <c r="A432" s="8"/>
    </row>
    <row r="433" spans="1:1">
      <c r="A433" s="8"/>
    </row>
    <row r="434" spans="1:1">
      <c r="A434" s="8"/>
    </row>
    <row r="435" spans="1:1">
      <c r="A435" s="8"/>
    </row>
    <row r="436" spans="1:1">
      <c r="A436" s="8"/>
    </row>
    <row r="437" spans="1:1">
      <c r="A437" s="8"/>
    </row>
    <row r="438" spans="1:1">
      <c r="A438" s="8"/>
    </row>
    <row r="439" spans="1:1">
      <c r="A439" s="8"/>
    </row>
    <row r="440" spans="1:1">
      <c r="A440" s="8"/>
    </row>
    <row r="441" spans="1:1">
      <c r="A441" s="8"/>
    </row>
    <row r="442" spans="1:1">
      <c r="A442" s="8"/>
    </row>
    <row r="443" spans="1:1">
      <c r="A443" s="8"/>
    </row>
    <row r="444" spans="1:1">
      <c r="A444" s="8"/>
    </row>
    <row r="445" spans="1:1">
      <c r="A445" s="8"/>
    </row>
    <row r="446" spans="1:1">
      <c r="A446" s="8"/>
    </row>
    <row r="447" spans="1:1">
      <c r="A447" s="8"/>
    </row>
    <row r="448" spans="1:1">
      <c r="A448" s="8"/>
    </row>
    <row r="449" spans="1:1">
      <c r="A449" s="8"/>
    </row>
    <row r="450" spans="1:1">
      <c r="A450" s="8"/>
    </row>
    <row r="451" spans="1:1">
      <c r="A451" s="8"/>
    </row>
    <row r="452" spans="1:1">
      <c r="A452" s="8"/>
    </row>
    <row r="453" spans="1:1">
      <c r="A453" s="8"/>
    </row>
    <row r="454" spans="1:1">
      <c r="A454" s="8"/>
    </row>
    <row r="455" spans="1:1">
      <c r="A455" s="8"/>
    </row>
    <row r="456" spans="1:1">
      <c r="A456" s="8"/>
    </row>
    <row r="457" spans="1:1">
      <c r="A457" s="8"/>
    </row>
    <row r="458" spans="1:1">
      <c r="A458" s="8"/>
    </row>
  </sheetData>
  <pageMargins left="0.5" right="0.4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Take Home Exam Fall2015</vt:lpstr>
      <vt:lpstr>Take Home Solution Fall2015</vt:lpstr>
      <vt:lpstr>Class Room Exam Fall2015</vt:lpstr>
      <vt:lpstr>Class Room Solution Fall2015</vt:lpstr>
      <vt:lpstr>'Class Room Exam Fall2015'!Print_Area</vt:lpstr>
      <vt:lpstr>'Class Room Solution Fall2015'!Print_Area</vt:lpstr>
      <vt:lpstr>'Take Home Exam Fall2015'!Print_Area</vt:lpstr>
      <vt:lpstr>'Take Home Solution Fall2015'!Print_Area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McCrady Gwinn</cp:lastModifiedBy>
  <cp:lastPrinted>2015-11-10T15:45:36Z</cp:lastPrinted>
  <dcterms:created xsi:type="dcterms:W3CDTF">2012-06-28T16:58:18Z</dcterms:created>
  <dcterms:modified xsi:type="dcterms:W3CDTF">2015-11-17T16:21:54Z</dcterms:modified>
</cp:coreProperties>
</file>