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chasel/Downloads/"/>
    </mc:Choice>
  </mc:AlternateContent>
  <xr:revisionPtr revIDLastSave="0" documentId="13_ncr:1_{721FF52D-83A3-C841-AA5D-6D8D5587BB72}" xr6:coauthVersionLast="43" xr6:coauthVersionMax="45" xr10:uidLastSave="{00000000-0000-0000-0000-000000000000}"/>
  <bookViews>
    <workbookView xWindow="6940" yWindow="2480" windowWidth="28800" windowHeight="17540" tabRatio="705" activeTab="6" xr2:uid="{00000000-000D-0000-FFFF-FFFF00000000}"/>
  </bookViews>
  <sheets>
    <sheet name="总览" sheetId="1" r:id="rId1"/>
    <sheet name="摘要" sheetId="2" r:id="rId2"/>
    <sheet name="Android安全需求" sheetId="3" r:id="rId3"/>
    <sheet name="Android防逆向需求" sheetId="4" r:id="rId4"/>
    <sheet name="iOS安全需求" sheetId="5" r:id="rId5"/>
    <sheet name="iOS防逆向需求" sheetId="6" r:id="rId6"/>
    <sheet name="版本历史记录" sheetId="7" r:id="rId7"/>
    <sheet name="版本历史记录(中文)" sheetId="8" r:id="rId8"/>
  </sheets>
  <definedNames>
    <definedName name="_xlnm._FilterDatabase" localSheetId="2">Android安全需求!$B$3:$K$81</definedName>
    <definedName name="BASE_URL">总览!$D$14</definedName>
    <definedName name="MASVS_VERSION">总览!$D$11</definedName>
    <definedName name="MSTG_VERSION">总览!$D$13</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 i="3" l="1"/>
  <c r="G17" i="6" l="1"/>
  <c r="G15" i="6"/>
  <c r="G15" i="4"/>
  <c r="G13" i="6"/>
  <c r="G13" i="4"/>
  <c r="G9" i="6"/>
  <c r="G9" i="4"/>
  <c r="G8" i="6"/>
  <c r="G8" i="4"/>
  <c r="G7" i="6"/>
  <c r="G7" i="4"/>
  <c r="G17" i="4"/>
  <c r="G10" i="4"/>
  <c r="G6" i="4"/>
  <c r="G5" i="4"/>
  <c r="G6" i="6"/>
  <c r="G5" i="6"/>
  <c r="H81" i="5"/>
  <c r="H81" i="3"/>
  <c r="H80" i="5"/>
  <c r="H80" i="3"/>
  <c r="H79" i="5"/>
  <c r="H78" i="5"/>
  <c r="H78" i="3"/>
  <c r="H77" i="5"/>
  <c r="H77" i="3"/>
  <c r="H76" i="3"/>
  <c r="H76" i="5"/>
  <c r="H75" i="5"/>
  <c r="H75" i="3"/>
  <c r="H74" i="5"/>
  <c r="H74" i="3"/>
  <c r="H73" i="5"/>
  <c r="H73" i="3"/>
  <c r="H12" i="3"/>
  <c r="H12" i="5"/>
  <c r="H68" i="5"/>
  <c r="H68" i="3"/>
  <c r="H67" i="5"/>
  <c r="H67" i="3"/>
  <c r="H66" i="3"/>
  <c r="H66" i="5"/>
  <c r="H65" i="5"/>
  <c r="H65" i="3"/>
  <c r="H64" i="3"/>
  <c r="H64" i="5"/>
  <c r="H63" i="5"/>
  <c r="H63" i="3"/>
  <c r="H62" i="5"/>
  <c r="H62" i="3"/>
  <c r="H61" i="5"/>
  <c r="H61" i="3"/>
  <c r="H59" i="5"/>
  <c r="H58" i="5"/>
  <c r="H58" i="3"/>
  <c r="H57" i="5"/>
  <c r="H56" i="5"/>
  <c r="H57" i="3"/>
  <c r="I55" i="5"/>
  <c r="H55" i="5"/>
  <c r="H55" i="3"/>
  <c r="H54" i="5"/>
  <c r="H54" i="3"/>
  <c r="H51" i="5"/>
  <c r="H51" i="3"/>
  <c r="H50" i="5"/>
  <c r="H49" i="5"/>
  <c r="H49" i="3"/>
  <c r="H48" i="5"/>
  <c r="H48" i="3"/>
  <c r="H47" i="5"/>
  <c r="H47" i="3"/>
  <c r="I46" i="5"/>
  <c r="I46" i="3"/>
  <c r="H46" i="5"/>
  <c r="H46" i="3"/>
  <c r="H45" i="5"/>
  <c r="H45" i="3"/>
  <c r="H44" i="5"/>
  <c r="H44" i="3"/>
  <c r="H43" i="5"/>
  <c r="H43" i="3"/>
  <c r="H42" i="5"/>
  <c r="H42" i="3"/>
  <c r="I43" i="5"/>
  <c r="I41" i="5"/>
  <c r="J41" i="3"/>
  <c r="H41" i="5"/>
  <c r="H41" i="3"/>
  <c r="I6" i="3"/>
  <c r="I37" i="3"/>
  <c r="I36" i="3"/>
  <c r="I35" i="3"/>
  <c r="I34" i="3"/>
  <c r="H36" i="3"/>
  <c r="H39" i="3"/>
  <c r="H39" i="5"/>
  <c r="H38" i="5"/>
  <c r="H38" i="3"/>
  <c r="H37" i="5"/>
  <c r="H37" i="3"/>
  <c r="H36" i="5"/>
  <c r="H35" i="3"/>
  <c r="H35" i="5"/>
  <c r="H34" i="5"/>
  <c r="H34" i="3"/>
  <c r="H29" i="5"/>
  <c r="H29" i="3"/>
  <c r="H28" i="5"/>
  <c r="H28" i="3"/>
  <c r="H27" i="5"/>
  <c r="H27" i="3"/>
  <c r="H26" i="5"/>
  <c r="H26" i="3"/>
  <c r="H25" i="5"/>
  <c r="H25" i="3"/>
  <c r="H24" i="5"/>
  <c r="H24" i="3"/>
  <c r="H23" i="5"/>
  <c r="H23" i="3"/>
  <c r="H22" i="5"/>
  <c r="H22" i="3"/>
  <c r="H21" i="5"/>
  <c r="H21" i="3"/>
  <c r="H20" i="5"/>
  <c r="H20" i="3"/>
  <c r="H19" i="5"/>
  <c r="H19" i="3"/>
  <c r="H18" i="5"/>
  <c r="H18" i="3"/>
  <c r="H14" i="5"/>
  <c r="H14" i="3"/>
  <c r="H13" i="5"/>
  <c r="H13" i="3"/>
  <c r="I11" i="5"/>
  <c r="H11" i="5"/>
  <c r="H10" i="5"/>
  <c r="H10" i="3"/>
  <c r="H9" i="5"/>
  <c r="H9" i="3"/>
  <c r="H8" i="5"/>
  <c r="H8" i="3"/>
  <c r="I6" i="5"/>
  <c r="H7" i="5"/>
  <c r="H7" i="3"/>
  <c r="H6" i="3"/>
  <c r="H6" i="5"/>
  <c r="H5" i="5"/>
  <c r="H79" i="3" l="1"/>
  <c r="I62" i="3"/>
  <c r="H59" i="3"/>
  <c r="I57" i="3"/>
  <c r="H56" i="3"/>
  <c r="H50" i="3" l="1"/>
  <c r="I43" i="3"/>
  <c r="I41" i="3"/>
  <c r="I28" i="3"/>
  <c r="I18" i="3"/>
  <c r="I5" i="3"/>
  <c r="J11" i="3"/>
  <c r="I11" i="3"/>
  <c r="H11" i="3"/>
  <c r="J50" i="2" l="1"/>
  <c r="I50" i="2"/>
  <c r="H50" i="2"/>
  <c r="F50" i="2"/>
  <c r="E50" i="2"/>
  <c r="D50" i="2"/>
  <c r="J48" i="2"/>
  <c r="I48" i="2"/>
  <c r="H48" i="2"/>
  <c r="F48" i="2"/>
  <c r="E48" i="2"/>
  <c r="D48" i="2"/>
  <c r="J46" i="2"/>
  <c r="I46" i="2"/>
  <c r="H46" i="2"/>
  <c r="F46" i="2"/>
  <c r="E46" i="2"/>
  <c r="D46" i="2"/>
  <c r="J44" i="2"/>
  <c r="I44" i="2"/>
  <c r="H44" i="2"/>
  <c r="F44" i="2"/>
  <c r="E44" i="2"/>
  <c r="D44" i="2"/>
  <c r="J43" i="2"/>
  <c r="I43" i="2"/>
  <c r="H43" i="2"/>
  <c r="F43" i="2"/>
  <c r="E43" i="2"/>
  <c r="D43" i="2"/>
  <c r="J49" i="2" l="1"/>
  <c r="I49" i="2"/>
  <c r="H49" i="2"/>
  <c r="F49" i="2"/>
  <c r="E49" i="2"/>
  <c r="D49" i="2"/>
  <c r="J47" i="2"/>
  <c r="I47" i="2"/>
  <c r="H47" i="2"/>
  <c r="F47" i="2"/>
  <c r="E47" i="2"/>
  <c r="D47" i="2"/>
  <c r="J45" i="2"/>
  <c r="I45" i="2"/>
  <c r="H45" i="2"/>
  <c r="F45" i="2"/>
  <c r="E45" i="2"/>
  <c r="D45" i="2"/>
  <c r="D14" i="1"/>
  <c r="D12" i="1"/>
  <c r="K47" i="2" l="1"/>
  <c r="G50" i="2"/>
  <c r="K46" i="2"/>
  <c r="K50" i="2"/>
  <c r="G43" i="2"/>
  <c r="G47" i="2"/>
  <c r="K44" i="2"/>
  <c r="G44" i="2"/>
  <c r="K48" i="2"/>
  <c r="G46" i="2"/>
  <c r="K43" i="2"/>
  <c r="G45" i="2"/>
  <c r="G49" i="2"/>
  <c r="G48" i="2"/>
  <c r="K45" i="2"/>
  <c r="K49" i="2"/>
  <c r="G8" i="2" l="1"/>
  <c r="V8" i="2"/>
</calcChain>
</file>

<file path=xl/sharedStrings.xml><?xml version="1.0" encoding="utf-8"?>
<sst xmlns="http://schemas.openxmlformats.org/spreadsheetml/2006/main" count="1106" uniqueCount="408">
  <si>
    <t>1.1.4</t>
  </si>
  <si>
    <t>Version</t>
  </si>
  <si>
    <t>`</t>
  </si>
  <si>
    <t>Android</t>
  </si>
  <si>
    <t>iOS</t>
  </si>
  <si>
    <t>P</t>
  </si>
  <si>
    <t>F</t>
  </si>
  <si>
    <t>NA</t>
  </si>
  <si>
    <t>%</t>
  </si>
  <si>
    <t>ID</t>
  </si>
  <si>
    <t>MSTG-ID</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</si>
  <si>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</si>
  <si>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</si>
  <si>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</si>
  <si>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</si>
  <si>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</si>
  <si>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</si>
  <si>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</si>
  <si>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</si>
  <si>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</si>
  <si>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</si>
  <si>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</si>
  <si>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</si>
  <si>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</si>
  <si>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</si>
  <si>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</si>
  <si>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</si>
  <si>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</si>
  <si>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</si>
  <si>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</si>
  <si>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</si>
  <si>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</si>
  <si>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</si>
  <si>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</si>
  <si>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</si>
  <si>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</si>
  <si>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</si>
  <si>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</si>
  <si>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</si>
  <si>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</si>
  <si>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</si>
  <si>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</si>
  <si>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</si>
  <si>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</si>
  <si>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</si>
  <si>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</si>
  <si>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</si>
  <si>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</si>
  <si>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</si>
  <si>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</si>
  <si>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</si>
  <si>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</si>
  <si>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</si>
  <si>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</si>
  <si>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</si>
  <si>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</si>
  <si>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</si>
  <si>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</si>
  <si>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</si>
  <si>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</si>
  <si>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</si>
  <si>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</si>
  <si>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</si>
  <si>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</si>
  <si>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</si>
  <si>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</si>
  <si>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</si>
  <si>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</si>
  <si>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</si>
  <si>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</si>
  <si>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</si>
  <si>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</si>
  <si>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</si>
  <si>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</si>
  <si>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</si>
  <si>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</si>
  <si>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</si>
  <si>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</si>
  <si>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</si>
  <si>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</si>
  <si>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</si>
  <si>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</si>
  <si>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</si>
  <si>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</si>
  <si>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</si>
  <si>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</si>
  <si>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</si>
  <si>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</si>
  <si>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</si>
  <si>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</si>
  <si>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</si>
  <si>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</si>
  <si>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</si>
  <si>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</si>
  <si>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</si>
  <si>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</si>
  <si>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</si>
  <si>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</si>
  <si>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</si>
  <si>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</si>
  <si>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</si>
  <si>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</si>
  <si>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</si>
  <si>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</si>
  <si>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</si>
  <si>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</si>
  <si>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</si>
  <si>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</si>
  <si>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</si>
  <si>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</si>
  <si>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</si>
  <si>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</si>
  <si>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</si>
  <si>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</si>
  <si>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</si>
  <si>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</si>
  <si>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</si>
  <si>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</si>
  <si>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</si>
  <si>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</si>
  <si>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</si>
  <si>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</si>
  <si>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</si>
  <si>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</si>
  <si>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</si>
  <si>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</si>
  <si>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</si>
  <si>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</si>
  <si>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</si>
  <si>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</si>
  <si>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</si>
  <si>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</si>
  <si>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</si>
  <si>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</si>
  <si>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</si>
  <si>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</si>
  <si>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</si>
  <si>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</si>
  <si>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</si>
  <si>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</si>
  <si>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</si>
  <si>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</si>
  <si>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</si>
  <si>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</si>
  <si>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</si>
  <si>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</si>
  <si>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</si>
  <si>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</si>
  <si>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</si>
  <si>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</si>
  <si>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</si>
  <si>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</si>
  <si>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</si>
  <si>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</si>
  <si>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</si>
  <si>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</si>
  <si>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</si>
  <si>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</si>
  <si>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</si>
  <si>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</si>
  <si>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</si>
  <si>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</si>
  <si>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</si>
  <si>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</si>
  <si>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</si>
  <si>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</si>
  <si>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</si>
  <si>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</si>
  <si>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</si>
  <si>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</si>
  <si>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</si>
  <si>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</si>
  <si>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</si>
  <si>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</si>
  <si>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</si>
  <si>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</si>
  <si>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</si>
  <si>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</si>
  <si>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</si>
  <si>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</si>
  <si>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</si>
  <si>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</si>
  <si>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</si>
  <si>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</si>
  <si>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</si>
  <si>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</si>
  <si>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</si>
  <si>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</si>
  <si>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</si>
  <si>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</si>
  <si>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</si>
  <si>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</si>
  <si>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</si>
  <si>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</si>
  <si>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</si>
  <si>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</si>
  <si>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</si>
  <si>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</si>
  <si>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</si>
  <si>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</si>
  <si>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</si>
  <si>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</si>
  <si>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</si>
  <si>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</si>
  <si>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</si>
  <si>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</si>
  <si>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</si>
  <si>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</si>
  <si>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</si>
  <si>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</si>
  <si>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</si>
  <si>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</si>
  <si>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</si>
  <si>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</si>
  <si>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</si>
  <si>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</si>
  <si>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</si>
  <si>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</si>
  <si>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</si>
  <si>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</si>
  <si>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</si>
  <si>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</si>
  <si>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</si>
  <si>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</si>
  <si>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1.11</t>
  </si>
  <si>
    <t>1.12</t>
  </si>
  <si>
    <t>MSTG-ARCH-11</t>
  </si>
  <si>
    <t>MSTG-ARCH-12</t>
  </si>
  <si>
    <t>2.13</t>
  </si>
  <si>
    <t>2.14</t>
  </si>
  <si>
    <t>2.15</t>
  </si>
  <si>
    <t>MSTG-STORAGE‑13</t>
  </si>
  <si>
    <t>MSTG-STORAGE‑14</t>
  </si>
  <si>
    <t>MSTG-STORAGE‑15</t>
  </si>
  <si>
    <t>4.12</t>
  </si>
  <si>
    <t>MSTG-AUTH-12</t>
  </si>
  <si>
    <t>6.9</t>
  </si>
  <si>
    <t>6.10</t>
  </si>
  <si>
    <t>6.11</t>
  </si>
  <si>
    <t>MSTG-PLATFORM-9</t>
  </si>
  <si>
    <t>MSTG-PLATFORM-10</t>
  </si>
  <si>
    <t>MSTG-PLATFORM-11</t>
  </si>
  <si>
    <t>8.13</t>
  </si>
  <si>
    <t>MSTG-RESILIENCE-13</t>
  </si>
  <si>
    <t>Koki Takeyama</t>
    <phoneticPr fontId="27"/>
  </si>
  <si>
    <t>1.1.3.1</t>
    <phoneticPr fontId="27"/>
  </si>
  <si>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27"/>
  </si>
  <si>
    <t>1.1.3-excel</t>
  </si>
  <si>
    <t>V2: 数据存储和隐私</t>
  </si>
  <si>
    <t>V6: 系统交互</t>
  </si>
  <si>
    <t>V7: 代码质量和构建配置</t>
  </si>
  <si>
    <t>V1: 架构, 设计和安全模型</t>
  </si>
  <si>
    <r>
      <t xml:space="preserve">OWASP 手机应用安全检测清单
</t>
    </r>
    <r>
      <rPr>
        <sz val="14"/>
        <rFont val="Trebuchet MS"/>
        <family val="2"/>
        <charset val="1"/>
      </rPr>
      <t xml:space="preserve">
基于OWASP 手机应用安全检验标准</t>
    </r>
  </si>
  <si>
    <t>iOS 测试信息</t>
  </si>
  <si>
    <t>Android 测试信息</t>
  </si>
  <si>
    <t>通用测试信息</t>
  </si>
  <si>
    <t>MASVS 版本</t>
  </si>
  <si>
    <t>MASVS 在线版本:</t>
  </si>
  <si>
    <t>MSTG 版本:</t>
  </si>
  <si>
    <t>MSTG 在线版本:</t>
  </si>
  <si>
    <t>上两行用于构建所有Android和iOS的检测清单的基础链接。当您需要更新特定用例时可以更新特定版本的 MSTG 的所有超链接</t>
  </si>
  <si>
    <t>客户端名称:</t>
  </si>
  <si>
    <t>测试位置:</t>
  </si>
  <si>
    <t>开始日期:</t>
  </si>
  <si>
    <t>结束日期:</t>
  </si>
  <si>
    <t>测试人名称r:</t>
  </si>
  <si>
    <t>测试范围</t>
  </si>
  <si>
    <t>应用中的所有可用函数</t>
  </si>
  <si>
    <t>检验级别</t>
  </si>
  <si>
    <t>MASVS 合规范围 ( / 5)</t>
  </si>
  <si>
    <t>摘要</t>
  </si>
  <si>
    <t>Android 应用安全需求</t>
  </si>
  <si>
    <t>V3: 加密检验</t>
  </si>
  <si>
    <t>架构, 设计和安全模型</t>
  </si>
  <si>
    <t>数据存储和隐私</t>
  </si>
  <si>
    <t>V4: 身份验证和会话管理</t>
  </si>
  <si>
    <t>身份验证和会话管理</t>
  </si>
  <si>
    <t>网络通信</t>
  </si>
  <si>
    <t>系统交互</t>
  </si>
  <si>
    <t>代码质量和构建配置</t>
  </si>
  <si>
    <t>V5: 网络通信</t>
  </si>
  <si>
    <t>级别 1</t>
  </si>
  <si>
    <t>级别 2</t>
  </si>
  <si>
    <t>状态</t>
  </si>
  <si>
    <t>测试流程</t>
  </si>
  <si>
    <t>备注</t>
  </si>
  <si>
    <t>V8: 防逆向工程</t>
  </si>
  <si>
    <t>防逆向需求</t>
  </si>
  <si>
    <t>防动态分析和篡改</t>
  </si>
  <si>
    <t>与&lt;客户&gt;协商后决定只用级别1的需求要求&lt;应用名&gt;。</t>
  </si>
  <si>
    <t>应用名:</t>
  </si>
  <si>
    <t>应用商店链接</t>
  </si>
  <si>
    <t>文件名</t>
  </si>
  <si>
    <t>版本</t>
  </si>
  <si>
    <t>客户代表和联系人信息</t>
  </si>
  <si>
    <t>姓名:</t>
  </si>
  <si>
    <t>组织:</t>
  </si>
  <si>
    <t>职位:</t>
  </si>
  <si>
    <t>手机:</t>
  </si>
  <si>
    <t>邮箱:</t>
  </si>
  <si>
    <t>混淆代码用于防御，反过来通过动态分析阻止去除混淆。</t>
  </si>
  <si>
    <t>设备绑定</t>
  </si>
  <si>
    <t>防泄漏</t>
  </si>
  <si>
    <t>防窃听</t>
  </si>
  <si>
    <t>应用内的所有可执行文件和库必须实现文件级别加密 和/或 重要的代码和数据必须被加密或打包。普通的静态分析不应获取重要的代码或数据。</t>
  </si>
  <si>
    <t>定义</t>
  </si>
  <si>
    <t>说明</t>
  </si>
  <si>
    <t>通过</t>
  </si>
  <si>
    <t>失败</t>
  </si>
  <si>
    <t>XLS Version History (Japanese Translation)</t>
    <phoneticPr fontId="11"/>
  </si>
  <si>
    <t>Chasel Li</t>
  </si>
  <si>
    <t>translate ver. 1.2. into Chinese</t>
  </si>
  <si>
    <t>作为深度防御, 除了加强底层通讯部分安全外，应用层也需要有足够的加密机制去防窃听。</t>
  </si>
  <si>
    <t>不同类型的检测机制会有不同的响应， 包含延迟和隐性形式。</t>
  </si>
  <si>
    <t>如果应用使用代码混淆来保护敏感的数据运算，则代码混淆须使用最新的方法及研究成果，以防御自动与手动反混淆。 如有可能，相对于软件，尽可能使用硬件级别的代码隔离。</t>
  </si>
  <si>
    <t>所有应用组件都要标识和确定是必须的。</t>
  </si>
  <si>
    <t>应用必须遵守相关隐私法律法规。</t>
  </si>
  <si>
    <t>一个有效并可执行的责任披露政策。</t>
  </si>
  <si>
    <t>在软件开发生命周期内都应该考虑安全性问题。</t>
  </si>
  <si>
    <t>应用必须有强制更新机制。</t>
  </si>
  <si>
    <t>所有应用组件都是根据它们提供的业务功能 和/或 安全功能来进行定义的。</t>
  </si>
  <si>
    <t>所有的安全控制有一个集中化的实现。</t>
  </si>
  <si>
    <t>如何管理加密密钥（如果有）必须有明确方针，而且强制实施密钥生命周期管理。理想情況下，遵循 NIST SP 800-57 等密钥管理标准。</t>
  </si>
  <si>
    <t>IPA的 SHA256哈希值
(可包含使用了 shasum，openssl或 sha256的值)</t>
  </si>
  <si>
    <t>APK的 SHA256哈希值
(可包含使用了 shasum，openssl或 sha256的值)</t>
  </si>
  <si>
    <t>敏感数据不应写入日志。</t>
  </si>
  <si>
    <t>除非架构上有必要，否则不与第三方共享敏感数据。</t>
  </si>
  <si>
    <t>敏感数据输入时键盘缓存必须禁用。</t>
  </si>
  <si>
    <t>敏感数据不应该通过IPC机制泄漏。</t>
  </si>
  <si>
    <t>敏感数据(比如密码或PIN码)禁止通过用户界面泄漏 。</t>
  </si>
  <si>
    <t>系统生成的备份数据中禁止包含敏感数据。</t>
  </si>
  <si>
    <t>应用后台运行时当前界面的敏感数据必须删除。</t>
  </si>
  <si>
    <t>内存中存储的敏感数据使用后必须马上清除。</t>
  </si>
  <si>
    <t>强制要求设置设备最低安全访问策略，比如要求用户设置设备密码。</t>
  </si>
  <si>
    <t>主动告知用户会如何处理用户的个人身份信息，并主动告知用户使用该应用时应遵循的最佳安全做法。</t>
  </si>
  <si>
    <t>禁止将任何敏感数据存储在本地设备上。应用需要时可从远端获取但仅将其保存在内存中临时使用。</t>
  </si>
  <si>
    <t>如果需要在本地存储敏感数据，则应该使用需要身份验证的硬件级别加密的存储密钥对其进行加密。</t>
  </si>
  <si>
    <t>多次认证失败后存储在本地的敏感数据必须被自动清除。</t>
  </si>
  <si>
    <t>必须使用已验证过的加密算法。</t>
  </si>
  <si>
    <t>所有随机数必须被一个安全的随机生成器产生。</t>
  </si>
  <si>
    <t>如果应用向用户提供远程访问服务，须提供像用户名/密码等远程验证形式的身份验证机制。</t>
  </si>
  <si>
    <t>如果使用有状态的会话，则服务端须使用随机标识来验证应用的请求而不是重新发送确权凭证。</t>
  </si>
  <si>
    <t>如果使用基于 Token 机制的无状态验证方法，则服务端必须提供基于安全算法签名的 Token。</t>
  </si>
  <si>
    <t>当用户登出时服务端须终止该次会话。</t>
  </si>
  <si>
    <t>不应该使用被业界废弃的加密协议或算法。</t>
  </si>
  <si>
    <t>不同的加密目的/场景不应该重用一份密钥。</t>
  </si>
  <si>
    <t>当设置了密码时必须在服务端强制使用该机制。</t>
  </si>
  <si>
    <t>服务端根据预设置的会话失效时间让会话失效并设置token过期。</t>
  </si>
  <si>
    <t>服务端须提供防多次提交认证的机制。</t>
  </si>
  <si>
    <t>如果有生物特征认证，他不是基于简单逻辑约束(比如调用简单API返回“true”或“false”)而是基于密钥/密钥库加解密。</t>
  </si>
  <si>
    <t>如果服务端设置了两步验证机制则必须强制执行。</t>
  </si>
  <si>
    <t>敏感交易必须多步验证。</t>
  </si>
  <si>
    <t>需要告知用户账户下的所有敏感行为。用户能查看有哪些设备使用了该账户，查看环境信息(如地址位置，IP等)和屏蔽特定设备。</t>
  </si>
  <si>
    <t>验证方式需在服务端定义并执行。</t>
  </si>
  <si>
    <t>TLS设置必须使用当前业界最佳实践，如果操作系统不支持该实践则设置尽量接近标准。</t>
  </si>
  <si>
    <t>与服务端建立传输时须做X.509证书校验，并只接受由可信任的CA机构颁发的。</t>
  </si>
  <si>
    <t>如果应用使用了自签名证书，那就不能再使用别的证书或密钥连接服务器，即使是由信任机构颁发的也不行。</t>
  </si>
  <si>
    <t>应用的关键操作(比如注册和账号恢复)不可只依赖单一的不安全验证方式(如电子邮箱或短信)。</t>
  </si>
  <si>
    <t>定时关注(更新)连接的安全性。</t>
  </si>
  <si>
    <t>只请求必要的权限。</t>
  </si>
  <si>
    <t>除非业务要求，否则Webview中禁用JavaScript。</t>
  </si>
  <si>
    <t>Webview按需配置协议(比如仅支持HTTPS)。像file, tel, app-id等容易出现危险操作的协议应该被禁止。</t>
  </si>
  <si>
    <t>如果支持在Webview中调用本地方法，必须校验Webview中是否仅提供了应用内支持的方法。</t>
  </si>
  <si>
    <t>仅使用安全序列化API实现的对象的反序列化。</t>
  </si>
  <si>
    <t>具有屏幕覆盖攻击保护机制(仅Android)。</t>
  </si>
  <si>
    <t>在销毁WebView之前，应清除WebView 的缓存、存储以及加载的资源（比如JavaScript等）。</t>
  </si>
  <si>
    <t xml:space="preserve">在用户输入敏感数据时应禁用第三方键盘。 </t>
  </si>
  <si>
    <t>使用有效的证书对应用签名并有保护私钥的机制。</t>
  </si>
  <si>
    <t>以发布模式构建的应用必须使用恰当的发布配置(比如调试模式关闭)。</t>
  </si>
  <si>
    <t>SO库中的调试信息必须移除</t>
  </si>
  <si>
    <t>调试代码以及开发人员协助代码（例如测试代码，后门、隐藏设置）已被删除。禁止打印日志或调试消息。</t>
  </si>
  <si>
    <t>确认所有使用的第三方组件，比如库和框架，并检查其已知漏洞。</t>
  </si>
  <si>
    <t>需捕获并处理程序异常。</t>
  </si>
  <si>
    <t>应用崩溃时须保证敏感信息不会泄漏。</t>
  </si>
  <si>
    <t>对于没有自动内存管理机制的程序代码，已分配的内存需要被安全释放和使用。</t>
  </si>
  <si>
    <t>确定工具链提供的免费安全功能(例如字节码优化，堆栈保护，PIE支持和自动引用计数)已开启。</t>
  </si>
  <si>
    <t>iOS 应用安全需求</t>
  </si>
  <si>
    <t>安全需求清单</t>
  </si>
  <si>
    <t>密码学</t>
  </si>
  <si>
    <t>级别1</t>
  </si>
  <si>
    <t>级别2</t>
  </si>
  <si>
    <t>检测流程</t>
  </si>
  <si>
    <t>iOS防逆向</t>
  </si>
  <si>
    <t>Android 防逆向</t>
  </si>
  <si>
    <t>安全控制在客户端和服务端都必须强制执行。</t>
  </si>
  <si>
    <t>应用的架构和所有连接了远程服务的都必须是被定义和安全的。</t>
  </si>
  <si>
    <t>应用环境下敏感的数据应该被清楚的标识出来。</t>
  </si>
  <si>
    <t>应用和远程服务都已经制定了安全模型以识别潜在的威胁及制定应对措施。</t>
  </si>
  <si>
    <t>如需存储敏感信息（例如PII，用户登录数据，加密密钥等）需使用操作系统所提供的安全存储机制。</t>
  </si>
  <si>
    <t>敏感数据不应存储在应用容器内或系统加密存储区以外的地方。</t>
  </si>
  <si>
    <t>不可使用带有硬编码密钥的对称加密方式为唯一的加密方法。</t>
  </si>
  <si>
    <t>使用适用于该业务场景的加密算法，并根据业界最佳实践设置参数。</t>
  </si>
  <si>
    <t>网络传输数据必须使用TLS加密。</t>
  </si>
  <si>
    <t>所有外部以及用户输入都需要经过验证，并在必要时进行安全检查和过滤。所有通过用户界面，IPC 机制导入的数据，比如Intent、自定义的URL和来自网络的数据都在此范畴内。</t>
  </si>
  <si>
    <t>除非有保护机制，否则不应通过IPC机制曝漏敏感功能。</t>
  </si>
  <si>
    <t>除非有保护机制，否则不应通过URL schemes 曝漏敏感功能。</t>
  </si>
  <si>
    <t>通过提醒或退出应用来检测并响应超级用户或越狱设备的存在。</t>
  </si>
  <si>
    <t>检测并响应设备上广泛使用的逆向工程工具和架构的存在。</t>
  </si>
  <si>
    <t>检测并响应在模拟器中运行的应用。</t>
  </si>
  <si>
    <t>各个防御级别(8.1到8.6)根据业务场景综合使用。请注意随着级别数量的增加，检查的机制也相应的增加。</t>
  </si>
  <si>
    <t>阻止并响应调试开启 和/或  调试器已挂载的应用且必须覆盖所有调试协议。</t>
  </si>
  <si>
    <t>检测并响应应用内可执行文件和重要数据遭篡改的行为。</t>
  </si>
  <si>
    <t>检测并响应内存中被篡改的代码和数据行为。</t>
  </si>
  <si>
    <t>检测并响应内存中代码和数据被篡改的行为。</t>
  </si>
  <si>
    <t>使用设备生物特性之一的指纹实现"设备绑定" 功能。</t>
  </si>
  <si>
    <t>该要求适用于手机应用并根据最佳实践实现。</t>
  </si>
  <si>
    <t>该要求适用于手机应用但未满足。</t>
  </si>
  <si>
    <t>该要求不适用于手机应用。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</si>
</sst>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31">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6"/>
      <name val="ＭＳ Ｐゴシック"/>
      <family val="3"/>
      <charset val="128"/>
    </font>
    <font>
      <b/>
      <sz val="12"/>
      <color rgb="FF000000"/>
      <name val="Calibri"/>
      <family val="3"/>
      <charset val="128"/>
      <scheme val="minor"/>
    </font>
    <font>
      <sz val="12"/>
      <color theme="1"/>
      <name val="Calibri"/>
      <family val="3"/>
      <charset val="128"/>
      <scheme val="minor"/>
    </font>
    <font>
      <b/>
      <sz val="12"/>
      <color theme="1"/>
      <name val="Calibri"/>
      <family val="3"/>
      <charset val="128"/>
      <scheme val="minor"/>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right style="thin">
        <color theme="0" tint="-0.24994659260841701"/>
      </right>
      <top/>
      <bottom/>
      <diagonal/>
    </border>
    <border>
      <left style="thin">
        <color theme="0" tint="-0.24994659260841701"/>
      </left>
      <right style="thin">
        <color auto="1"/>
      </right>
      <top/>
      <bottom/>
      <diagonal/>
    </border>
  </borders>
  <cellStyleXfs count="3">
    <xf numFmtId="0" fontId="0" fillId="0" borderId="0"/>
    <xf numFmtId="0" fontId="5" fillId="0" borderId="0" applyBorder="0" applyProtection="0"/>
    <xf numFmtId="0" fontId="26" fillId="0" borderId="0"/>
  </cellStyleXfs>
  <cellXfs count="145">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13" fillId="6" borderId="14" xfId="1" applyFont="1" applyFill="1" applyBorder="1" applyAlignment="1" applyProtection="1">
      <alignment vertic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ont="1"/>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0" fontId="16" fillId="8" borderId="0" xfId="0" applyFont="1" applyFill="1" applyBorder="1" applyAlignment="1">
      <alignment horizontal="left" vertical="top" wrapText="1"/>
    </xf>
    <xf numFmtId="0" fontId="17" fillId="0" borderId="0" xfId="2" applyFont="1" applyBorder="1" applyAlignment="1">
      <alignment horizontal="left" vertical="top" wrapText="1"/>
    </xf>
    <xf numFmtId="0" fontId="18" fillId="8" borderId="0" xfId="0" applyFont="1" applyFill="1" applyBorder="1" applyAlignment="1">
      <alignment horizontal="left" vertical="top" wrapText="1"/>
    </xf>
    <xf numFmtId="0" fontId="20" fillId="0" borderId="0" xfId="0" applyFont="1" applyAlignment="1">
      <alignment horizontal="left" vertical="top" wrapText="1"/>
    </xf>
    <xf numFmtId="0" fontId="18" fillId="8" borderId="19" xfId="0" applyFont="1" applyFill="1" applyBorder="1" applyAlignment="1">
      <alignment horizontal="left" vertical="top" wrapText="1"/>
    </xf>
    <xf numFmtId="0" fontId="17" fillId="0" borderId="0" xfId="0" applyFont="1" applyBorder="1" applyAlignment="1">
      <alignment horizontal="left" vertical="top" wrapText="1"/>
    </xf>
    <xf numFmtId="0" fontId="15" fillId="7" borderId="21" xfId="0" applyFont="1" applyFill="1" applyBorder="1" applyAlignment="1">
      <alignment horizontal="left" vertical="top" wrapText="1"/>
    </xf>
    <xf numFmtId="0" fontId="15" fillId="7" borderId="22" xfId="0" applyFont="1" applyFill="1" applyBorder="1" applyAlignment="1">
      <alignment horizontal="left" vertical="top" wrapText="1"/>
    </xf>
    <xf numFmtId="0" fontId="20" fillId="0" borderId="0" xfId="0" applyFont="1" applyBorder="1" applyAlignment="1">
      <alignment horizontal="left" vertical="top" wrapText="1"/>
    </xf>
    <xf numFmtId="0" fontId="15" fillId="7" borderId="23"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15" fillId="7" borderId="16" xfId="0" applyFont="1" applyFill="1" applyBorder="1" applyAlignment="1">
      <alignment horizontal="center" vertical="top" wrapText="1"/>
    </xf>
    <xf numFmtId="0" fontId="4" fillId="0" borderId="7" xfId="0" applyFont="1" applyBorder="1" applyAlignment="1" applyProtection="1">
      <alignment horizontal="left" vertical="center"/>
    </xf>
    <xf numFmtId="0" fontId="0" fillId="0" borderId="0" xfId="0" applyBorder="1" applyAlignment="1">
      <alignment vertical="top"/>
    </xf>
    <xf numFmtId="0" fontId="0" fillId="0" borderId="0" xfId="0" applyAlignment="1">
      <alignment vertical="top"/>
    </xf>
    <xf numFmtId="49" fontId="0" fillId="0" borderId="0" xfId="0" applyNumberFormat="1" applyFont="1" applyBorder="1" applyAlignment="1">
      <alignment vertical="top"/>
    </xf>
    <xf numFmtId="0" fontId="0" fillId="0" borderId="0" xfId="0" applyFont="1" applyBorder="1" applyAlignment="1">
      <alignment vertical="top"/>
    </xf>
    <xf numFmtId="0" fontId="0" fillId="0" borderId="0" xfId="0" applyFont="1"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49" fontId="16" fillId="8" borderId="18" xfId="0" applyNumberFormat="1" applyFont="1" applyFill="1" applyBorder="1" applyAlignment="1">
      <alignment horizontal="center" vertical="top" wrapText="1"/>
    </xf>
    <xf numFmtId="49" fontId="16" fillId="8" borderId="0" xfId="0" applyNumberFormat="1" applyFont="1" applyFill="1" applyBorder="1" applyAlignment="1">
      <alignment horizontal="center" vertical="top" wrapText="1"/>
    </xf>
    <xf numFmtId="0" fontId="16"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1" borderId="0" xfId="0" applyFont="1" applyFill="1" applyBorder="1" applyAlignment="1">
      <alignment horizontal="center" vertical="top" wrapText="1"/>
    </xf>
    <xf numFmtId="0" fontId="5" fillId="0" borderId="0" xfId="1" applyBorder="1" applyAlignment="1" applyProtection="1">
      <alignment horizontal="left" vertical="top"/>
    </xf>
    <xf numFmtId="0" fontId="17" fillId="0" borderId="0" xfId="0" applyFont="1" applyBorder="1" applyAlignment="1">
      <alignment vertical="top" wrapText="1"/>
    </xf>
    <xf numFmtId="49" fontId="18" fillId="8" borderId="18" xfId="0" applyNumberFormat="1" applyFont="1" applyFill="1" applyBorder="1" applyAlignment="1">
      <alignment horizontal="center" vertical="top" wrapText="1"/>
    </xf>
    <xf numFmtId="49" fontId="18" fillId="8" borderId="0" xfId="0" applyNumberFormat="1" applyFont="1" applyFill="1" applyBorder="1" applyAlignment="1">
      <alignment horizontal="center" vertical="top" wrapText="1"/>
    </xf>
    <xf numFmtId="0" fontId="18" fillId="8" borderId="0" xfId="0" applyFont="1" applyFill="1" applyBorder="1" applyAlignment="1">
      <alignment vertical="top" wrapText="1"/>
    </xf>
    <xf numFmtId="0" fontId="18" fillId="8" borderId="0" xfId="0" applyFont="1" applyFill="1" applyBorder="1" applyAlignment="1">
      <alignment horizontal="center" vertical="top" wrapText="1"/>
    </xf>
    <xf numFmtId="0" fontId="5" fillId="0" borderId="0" xfId="1" applyBorder="1" applyAlignment="1" applyProtection="1">
      <alignment vertical="top" wrapText="1"/>
    </xf>
    <xf numFmtId="0" fontId="5" fillId="0" borderId="0" xfId="1" applyBorder="1" applyAlignment="1" applyProtection="1">
      <alignment vertical="top"/>
    </xf>
    <xf numFmtId="0" fontId="21" fillId="0" borderId="0" xfId="1" applyFont="1" applyBorder="1" applyAlignment="1" applyProtection="1">
      <alignment horizontal="left" vertical="top" wrapText="1"/>
    </xf>
    <xf numFmtId="0" fontId="5" fillId="0" borderId="0" xfId="1" applyBorder="1" applyAlignment="1" applyProtection="1">
      <alignment horizontal="left" vertical="top" wrapText="1"/>
    </xf>
    <xf numFmtId="0" fontId="22" fillId="0" borderId="0" xfId="0" applyFont="1" applyBorder="1" applyAlignment="1">
      <alignment vertical="top"/>
    </xf>
    <xf numFmtId="49" fontId="15" fillId="7" borderId="20" xfId="0" applyNumberFormat="1" applyFont="1" applyFill="1" applyBorder="1" applyAlignment="1">
      <alignment horizontal="center" vertical="top" wrapText="1"/>
    </xf>
    <xf numFmtId="49" fontId="15" fillId="7" borderId="21" xfId="0" applyNumberFormat="1" applyFont="1" applyFill="1" applyBorder="1" applyAlignment="1">
      <alignment horizontal="center" vertical="top" wrapText="1"/>
    </xf>
    <xf numFmtId="0" fontId="15" fillId="7" borderId="21" xfId="0" applyFont="1" applyFill="1" applyBorder="1" applyAlignment="1">
      <alignment horizontal="center" vertical="top" wrapText="1"/>
    </xf>
    <xf numFmtId="49" fontId="20" fillId="0" borderId="0" xfId="0" applyNumberFormat="1" applyFont="1" applyBorder="1" applyAlignment="1">
      <alignment vertical="top"/>
    </xf>
    <xf numFmtId="0" fontId="20" fillId="0" borderId="0" xfId="0" applyFont="1" applyBorder="1" applyAlignment="1">
      <alignment vertical="top"/>
    </xf>
    <xf numFmtId="0" fontId="20" fillId="0" borderId="0" xfId="0" applyFont="1" applyAlignment="1">
      <alignment vertical="top"/>
    </xf>
    <xf numFmtId="49" fontId="16" fillId="0" borderId="0" xfId="0" applyNumberFormat="1" applyFont="1" applyBorder="1" applyAlignment="1">
      <alignment horizontal="left" vertical="top"/>
    </xf>
    <xf numFmtId="49" fontId="15" fillId="7" borderId="23" xfId="0" applyNumberFormat="1" applyFont="1" applyFill="1" applyBorder="1" applyAlignment="1">
      <alignment vertical="top" wrapText="1"/>
    </xf>
    <xf numFmtId="49" fontId="0" fillId="0" borderId="0" xfId="0" applyNumberFormat="1" applyBorder="1" applyAlignment="1">
      <alignment vertical="top"/>
    </xf>
    <xf numFmtId="0" fontId="16" fillId="8" borderId="19" xfId="0" applyFont="1" applyFill="1" applyBorder="1" applyAlignment="1">
      <alignment horizontal="left" vertical="top" wrapText="1"/>
    </xf>
    <xf numFmtId="0" fontId="17" fillId="0" borderId="0" xfId="0" applyFont="1" applyFill="1" applyBorder="1" applyAlignment="1">
      <alignment horizontal="center" vertical="top" wrapText="1"/>
    </xf>
    <xf numFmtId="49" fontId="14" fillId="0" borderId="0" xfId="0" applyNumberFormat="1" applyFont="1" applyBorder="1" applyAlignment="1">
      <alignment vertical="top"/>
    </xf>
    <xf numFmtId="0" fontId="17" fillId="12" borderId="0" xfId="0" applyFont="1" applyFill="1" applyBorder="1" applyAlignment="1">
      <alignment horizontal="center" vertical="top" wrapText="1"/>
    </xf>
    <xf numFmtId="0" fontId="23" fillId="0" borderId="0" xfId="1" applyFont="1" applyBorder="1" applyAlignment="1" applyProtection="1">
      <alignment horizontal="center" vertical="top" wrapText="1"/>
    </xf>
    <xf numFmtId="0" fontId="23" fillId="5" borderId="0" xfId="1" applyFont="1" applyFill="1" applyBorder="1" applyAlignment="1" applyProtection="1">
      <alignment horizontal="center" vertical="top" wrapText="1"/>
    </xf>
    <xf numFmtId="49" fontId="14" fillId="0" borderId="0" xfId="0" applyNumberFormat="1" applyFont="1" applyAlignment="1">
      <alignment vertical="top"/>
    </xf>
    <xf numFmtId="49" fontId="0" fillId="0" borderId="0" xfId="0" applyNumberFormat="1" applyFont="1" applyAlignment="1">
      <alignment vertical="top"/>
    </xf>
    <xf numFmtId="0" fontId="0" fillId="0" borderId="0" xfId="0" applyAlignment="1">
      <alignment vertical="top" wrapText="1"/>
    </xf>
    <xf numFmtId="49" fontId="20" fillId="0" borderId="0" xfId="0" applyNumberFormat="1" applyFont="1" applyAlignment="1">
      <alignment vertical="top"/>
    </xf>
    <xf numFmtId="49" fontId="16" fillId="0" borderId="0" xfId="0" applyNumberFormat="1" applyFont="1" applyAlignment="1">
      <alignment horizontal="left" vertical="top"/>
    </xf>
    <xf numFmtId="49" fontId="0" fillId="0" borderId="0" xfId="0" applyNumberFormat="1" applyAlignment="1">
      <alignment vertical="top"/>
    </xf>
    <xf numFmtId="0" fontId="17" fillId="0" borderId="24" xfId="0" applyFont="1" applyBorder="1" applyAlignment="1">
      <alignment horizontal="center" vertical="top" wrapText="1"/>
    </xf>
    <xf numFmtId="0" fontId="17" fillId="0" borderId="25" xfId="0" applyFont="1" applyBorder="1" applyAlignment="1">
      <alignment horizontal="left" vertical="top" wrapText="1"/>
    </xf>
    <xf numFmtId="0" fontId="19" fillId="0" borderId="25" xfId="0" applyFont="1" applyBorder="1" applyAlignment="1">
      <alignment horizontal="left" vertical="top" wrapText="1"/>
    </xf>
    <xf numFmtId="0" fontId="21" fillId="0" borderId="25" xfId="1" applyFont="1" applyBorder="1" applyAlignment="1" applyProtection="1">
      <alignment horizontal="left" vertical="top" wrapText="1"/>
    </xf>
    <xf numFmtId="0" fontId="5" fillId="0" borderId="25" xfId="1" applyBorder="1" applyAlignment="1" applyProtection="1">
      <alignment horizontal="left" vertical="top" wrapText="1"/>
    </xf>
    <xf numFmtId="0" fontId="22" fillId="0" borderId="25" xfId="0" applyFont="1" applyBorder="1" applyAlignment="1">
      <alignment horizontal="left" vertical="top" wrapText="1"/>
    </xf>
    <xf numFmtId="0" fontId="0" fillId="0" borderId="6" xfId="0" applyFont="1" applyFill="1" applyBorder="1" applyAlignment="1">
      <alignment wrapText="1"/>
    </xf>
    <xf numFmtId="0" fontId="0" fillId="0" borderId="6" xfId="0" applyBorder="1" applyAlignment="1">
      <alignment wrapText="1"/>
    </xf>
    <xf numFmtId="0" fontId="5" fillId="0" borderId="0" xfId="1" applyBorder="1" applyProtection="1"/>
    <xf numFmtId="0" fontId="28" fillId="0" borderId="0" xfId="0" applyFont="1" applyAlignment="1">
      <alignment horizontal="left"/>
    </xf>
    <xf numFmtId="0" fontId="29" fillId="0" borderId="0" xfId="0" applyFont="1"/>
    <xf numFmtId="0" fontId="30" fillId="0" borderId="6" xfId="0" applyFont="1" applyBorder="1"/>
    <xf numFmtId="0" fontId="29" fillId="0" borderId="6" xfId="0" applyFont="1" applyBorder="1"/>
    <xf numFmtId="0" fontId="29" fillId="0" borderId="6" xfId="0" quotePrefix="1" applyFont="1" applyBorder="1" applyAlignment="1">
      <alignment horizontal="center"/>
    </xf>
    <xf numFmtId="14" fontId="29" fillId="0" borderId="6" xfId="0" applyNumberFormat="1" applyFont="1" applyBorder="1"/>
    <xf numFmtId="0" fontId="1" fillId="2" borderId="1" xfId="0" applyFont="1" applyFill="1" applyBorder="1" applyAlignment="1" applyProtection="1">
      <alignment horizontal="left" vertical="top" wrapText="1"/>
    </xf>
    <xf numFmtId="0" fontId="3" fillId="0" borderId="2" xfId="0" applyFont="1" applyBorder="1" applyAlignment="1" applyProtection="1">
      <alignment horizontal="center"/>
    </xf>
    <xf numFmtId="0" fontId="4" fillId="0" borderId="6" xfId="0" applyFont="1" applyBorder="1" applyAlignment="1" applyProtection="1">
      <alignment horizontal="left" vertical="center"/>
    </xf>
    <xf numFmtId="0" fontId="4" fillId="0" borderId="8" xfId="0" applyFont="1" applyBorder="1" applyAlignment="1" applyProtection="1">
      <alignment horizontal="left" vertical="center"/>
    </xf>
    <xf numFmtId="0" fontId="4" fillId="0" borderId="9" xfId="0" applyFont="1" applyBorder="1" applyAlignment="1" applyProtection="1">
      <alignment vertical="center"/>
    </xf>
    <xf numFmtId="0" fontId="4" fillId="0" borderId="1" xfId="0" applyFont="1" applyBorder="1" applyAlignment="1" applyProtection="1">
      <alignment horizontal="left" vertical="center" wrapText="1"/>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4" borderId="1" xfId="0" applyFont="1" applyFill="1" applyBorder="1" applyAlignment="1" applyProtection="1">
      <alignment horizontal="center" vertical="center"/>
    </xf>
    <xf numFmtId="0" fontId="4" fillId="0" borderId="1" xfId="0" applyFont="1" applyBorder="1" applyAlignment="1" applyProtection="1">
      <alignment horizontal="lef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24" fillId="0" borderId="21" xfId="0" applyFont="1" applyBorder="1" applyAlignment="1">
      <alignment horizontal="left"/>
    </xf>
    <xf numFmtId="0" fontId="28" fillId="0" borderId="21" xfId="0" applyFont="1" applyBorder="1" applyAlignment="1">
      <alignment horizontal="left"/>
    </xf>
  </cellXfs>
  <cellStyles count="3">
    <cellStyle name="Hyperlink" xfId="1" builtinId="8"/>
    <cellStyle name="Normal" xfId="0" builtinId="0"/>
    <cellStyle name="Normal 3" xfId="2" xr:uid="{00000000-0005-0000-0000-000006000000}"/>
  </cellStyles>
  <dxfs count="10">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合规模型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摘要!$C$43:$C$50</c:f>
              <c:strCache>
                <c:ptCount val="8"/>
                <c:pt idx="0">
                  <c:v>V1: 架构, 设计和安全模型</c:v>
                </c:pt>
                <c:pt idx="1">
                  <c:v>V2: 数据存储和隐私</c:v>
                </c:pt>
                <c:pt idx="2">
                  <c:v>V3: 加密检验</c:v>
                </c:pt>
                <c:pt idx="3">
                  <c:v>V4: 身份验证和会话管理</c:v>
                </c:pt>
                <c:pt idx="4">
                  <c:v>V5: 网络通信</c:v>
                </c:pt>
                <c:pt idx="5">
                  <c:v>V6: 系统交互</c:v>
                </c:pt>
                <c:pt idx="6">
                  <c:v>V7: 代码质量和构建配置</c:v>
                </c:pt>
                <c:pt idx="7">
                  <c:v>V8: 防逆向工程</c:v>
                </c:pt>
              </c:strCache>
            </c:strRef>
          </c:cat>
          <c:val>
            <c:numRef>
              <c:f>摘要!$G$43:$G$50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088-46C9-852E-594D4206E590}"/>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lang="ja-JP"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合规模型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摘要!$C$43:$C$50</c:f>
              <c:strCache>
                <c:ptCount val="8"/>
                <c:pt idx="0">
                  <c:v>V1: 架构, 设计和安全模型</c:v>
                </c:pt>
                <c:pt idx="1">
                  <c:v>V2: 数据存储和隐私</c:v>
                </c:pt>
                <c:pt idx="2">
                  <c:v>V3: 加密检验</c:v>
                </c:pt>
                <c:pt idx="3">
                  <c:v>V4: 身份验证和会话管理</c:v>
                </c:pt>
                <c:pt idx="4">
                  <c:v>V5: 网络通信</c:v>
                </c:pt>
                <c:pt idx="5">
                  <c:v>V6: 系统交互</c:v>
                </c:pt>
                <c:pt idx="6">
                  <c:v>V7: 代码质量和构建配置</c:v>
                </c:pt>
                <c:pt idx="7">
                  <c:v>V8: 防逆向工程</c:v>
                </c:pt>
              </c:strCache>
            </c:strRef>
          </c:cat>
          <c:val>
            <c:numRef>
              <c:f>摘要!$K$43:$K$50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A33-44EB-BC8E-D7A54FD1C588}"/>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lang="ja-JP"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opLeftCell="A29" zoomScaleNormal="100" workbookViewId="0">
      <selection activeCell="D29" sqref="D29"/>
    </sheetView>
  </sheetViews>
  <sheetFormatPr baseColWidth="10" defaultColWidth="8.83203125" defaultRowHeight="16"/>
  <cols>
    <col min="1" max="1" width="2.33203125" customWidth="1"/>
    <col min="2" max="2" width="8.83203125" customWidth="1"/>
    <col min="3" max="3" width="17.1640625" customWidth="1"/>
    <col min="4" max="4" width="92.5" customWidth="1"/>
    <col min="5" max="1025" width="8.83203125" customWidth="1"/>
  </cols>
  <sheetData>
    <row r="1" spans="2:4" ht="8" customHeight="1"/>
    <row r="2" spans="2:4" ht="15.75" customHeight="1">
      <c r="B2" s="126" t="s">
        <v>252</v>
      </c>
      <c r="C2" s="126"/>
      <c r="D2" s="126"/>
    </row>
    <row r="3" spans="2:4">
      <c r="B3" s="126"/>
      <c r="C3" s="126"/>
      <c r="D3" s="126"/>
    </row>
    <row r="4" spans="2:4">
      <c r="B4" s="126"/>
      <c r="C4" s="126"/>
      <c r="D4" s="126"/>
    </row>
    <row r="5" spans="2:4">
      <c r="B5" s="126"/>
      <c r="C5" s="126"/>
      <c r="D5" s="126"/>
    </row>
    <row r="6" spans="2:4">
      <c r="B6" s="126"/>
      <c r="C6" s="126"/>
      <c r="D6" s="126"/>
    </row>
    <row r="7" spans="2:4">
      <c r="B7" s="126"/>
      <c r="C7" s="126"/>
      <c r="D7" s="126"/>
    </row>
    <row r="8" spans="2:4" hidden="1">
      <c r="B8" s="126"/>
      <c r="C8" s="126"/>
      <c r="D8" s="126"/>
    </row>
    <row r="9" spans="2:4">
      <c r="B9" s="127"/>
      <c r="C9" s="127"/>
      <c r="D9" s="127"/>
    </row>
    <row r="10" spans="2:4">
      <c r="B10" s="1" t="s">
        <v>255</v>
      </c>
      <c r="C10" s="2"/>
      <c r="D10" s="3"/>
    </row>
    <row r="11" spans="2:4">
      <c r="B11" s="128" t="s">
        <v>256</v>
      </c>
      <c r="C11" s="128"/>
      <c r="D11" s="64">
        <v>1.2</v>
      </c>
    </row>
    <row r="12" spans="2:4">
      <c r="B12" s="129" t="s">
        <v>257</v>
      </c>
      <c r="C12" s="129"/>
      <c r="D12" s="4" t="str">
        <f>HYPERLINK(CONCATENATE( "https://github.com/OWASP/owasp-masvs/blob/", MASVS_VERSION, "/Document/"))</f>
        <v>https://github.com/OWASP/owasp-masvs/blob/1.2/Document/</v>
      </c>
    </row>
    <row r="13" spans="2:4">
      <c r="B13" s="130" t="s">
        <v>258</v>
      </c>
      <c r="C13" s="130"/>
      <c r="D13" s="5" t="s">
        <v>247</v>
      </c>
    </row>
    <row r="14" spans="2:4" ht="17">
      <c r="B14" s="129" t="s">
        <v>259</v>
      </c>
      <c r="C14" s="129"/>
      <c r="D14" s="6" t="str">
        <f>HYPERLINK(CONCATENATE( "https://github.com/OWASP/owasp-mstg/blob/", MSTG_VERSION, "/Document/"))</f>
        <v>https://github.com/OWASP/owasp-mstg/blob/1.1.3-excel/Document/</v>
      </c>
    </row>
    <row r="15" spans="2:4" ht="32" customHeight="1">
      <c r="B15" s="131" t="s">
        <v>260</v>
      </c>
      <c r="C15" s="131"/>
      <c r="D15" s="131"/>
    </row>
    <row r="16" spans="2:4">
      <c r="B16" s="132" t="s">
        <v>261</v>
      </c>
      <c r="C16" s="132"/>
      <c r="D16" s="5"/>
    </row>
    <row r="17" spans="2:4">
      <c r="B17" s="129" t="s">
        <v>262</v>
      </c>
      <c r="C17" s="129"/>
      <c r="D17" s="5"/>
    </row>
    <row r="18" spans="2:4">
      <c r="B18" s="132" t="s">
        <v>263</v>
      </c>
      <c r="C18" s="132"/>
      <c r="D18" s="5"/>
    </row>
    <row r="19" spans="2:4">
      <c r="B19" s="132" t="s">
        <v>264</v>
      </c>
      <c r="C19" s="132"/>
      <c r="D19" s="5"/>
    </row>
    <row r="20" spans="2:4">
      <c r="B20" s="132" t="s">
        <v>265</v>
      </c>
      <c r="C20" s="132"/>
      <c r="D20" s="5"/>
    </row>
    <row r="21" spans="2:4">
      <c r="B21" s="132" t="s">
        <v>266</v>
      </c>
      <c r="C21" s="132"/>
      <c r="D21" s="5" t="s">
        <v>267</v>
      </c>
    </row>
    <row r="22" spans="2:4" ht="70.5" customHeight="1">
      <c r="B22" s="132" t="s">
        <v>268</v>
      </c>
      <c r="C22" s="132"/>
      <c r="D22" s="5" t="s">
        <v>289</v>
      </c>
    </row>
    <row r="23" spans="2:4">
      <c r="B23" s="127"/>
      <c r="C23" s="127"/>
      <c r="D23" s="127"/>
    </row>
    <row r="24" spans="2:4">
      <c r="B24" s="7" t="s">
        <v>254</v>
      </c>
      <c r="C24" s="8"/>
      <c r="D24" s="9"/>
    </row>
    <row r="25" spans="2:4">
      <c r="B25" s="10" t="s">
        <v>290</v>
      </c>
      <c r="C25" s="11"/>
      <c r="D25" s="5"/>
    </row>
    <row r="26" spans="2:4">
      <c r="B26" s="132" t="s">
        <v>291</v>
      </c>
      <c r="C26" s="132"/>
      <c r="D26" s="5"/>
    </row>
    <row r="27" spans="2:4">
      <c r="B27" s="132" t="s">
        <v>292</v>
      </c>
      <c r="C27" s="132"/>
      <c r="D27" s="5"/>
    </row>
    <row r="28" spans="2:4">
      <c r="B28" s="132" t="s">
        <v>293</v>
      </c>
      <c r="C28" s="132"/>
      <c r="D28" s="5"/>
    </row>
    <row r="29" spans="2:4" ht="66" customHeight="1">
      <c r="B29" s="133" t="s">
        <v>324</v>
      </c>
      <c r="C29" s="133"/>
      <c r="D29" s="5"/>
    </row>
    <row r="30" spans="2:4">
      <c r="B30" s="127"/>
      <c r="C30" s="127"/>
      <c r="D30" s="127"/>
    </row>
    <row r="31" spans="2:4">
      <c r="B31" s="7" t="s">
        <v>253</v>
      </c>
      <c r="C31" s="8"/>
      <c r="D31" s="9"/>
    </row>
    <row r="32" spans="2:4">
      <c r="B32" s="10" t="s">
        <v>290</v>
      </c>
      <c r="C32" s="11"/>
      <c r="D32" s="5"/>
    </row>
    <row r="33" spans="2:4">
      <c r="B33" s="132" t="s">
        <v>291</v>
      </c>
      <c r="C33" s="132"/>
      <c r="D33" s="5"/>
    </row>
    <row r="34" spans="2:4">
      <c r="B34" s="132" t="s">
        <v>292</v>
      </c>
      <c r="C34" s="132"/>
      <c r="D34" s="5"/>
    </row>
    <row r="35" spans="2:4">
      <c r="B35" s="132" t="s">
        <v>293</v>
      </c>
      <c r="C35" s="132"/>
      <c r="D35" s="5"/>
    </row>
    <row r="36" spans="2:4" ht="63" customHeight="1">
      <c r="B36" s="133" t="s">
        <v>323</v>
      </c>
      <c r="C36" s="133"/>
      <c r="D36" s="5"/>
    </row>
    <row r="37" spans="2:4">
      <c r="B37" s="127"/>
      <c r="C37" s="127"/>
      <c r="D37" s="127"/>
    </row>
    <row r="38" spans="2:4">
      <c r="B38" s="7" t="s">
        <v>294</v>
      </c>
      <c r="C38" s="8"/>
      <c r="D38" s="9"/>
    </row>
    <row r="39" spans="2:4">
      <c r="B39" s="134"/>
      <c r="C39" s="134"/>
      <c r="D39" s="134"/>
    </row>
    <row r="40" spans="2:4">
      <c r="B40" s="135" t="s">
        <v>295</v>
      </c>
      <c r="C40" s="135"/>
      <c r="D40" s="12"/>
    </row>
    <row r="41" spans="2:4">
      <c r="B41" s="135" t="s">
        <v>296</v>
      </c>
      <c r="C41" s="135"/>
      <c r="D41" s="12"/>
    </row>
    <row r="42" spans="2:4">
      <c r="B42" s="135" t="s">
        <v>297</v>
      </c>
      <c r="C42" s="135"/>
      <c r="D42" s="12"/>
    </row>
    <row r="43" spans="2:4">
      <c r="B43" s="135" t="s">
        <v>298</v>
      </c>
      <c r="C43" s="135"/>
      <c r="D43" s="13"/>
    </row>
    <row r="44" spans="2:4">
      <c r="B44" s="135" t="s">
        <v>299</v>
      </c>
      <c r="C44" s="135"/>
      <c r="D44" s="12"/>
    </row>
    <row r="45" spans="2:4">
      <c r="B45" s="134"/>
      <c r="C45" s="134"/>
      <c r="D45" s="134"/>
    </row>
    <row r="46" spans="2:4">
      <c r="B46" s="135" t="s">
        <v>295</v>
      </c>
      <c r="C46" s="135"/>
      <c r="D46" s="12"/>
    </row>
    <row r="47" spans="2:4">
      <c r="B47" s="135" t="s">
        <v>296</v>
      </c>
      <c r="C47" s="135"/>
      <c r="D47" s="12"/>
    </row>
    <row r="48" spans="2:4">
      <c r="B48" s="135" t="s">
        <v>297</v>
      </c>
      <c r="C48" s="135"/>
      <c r="D48" s="12"/>
    </row>
    <row r="49" spans="2:4">
      <c r="B49" s="135" t="s">
        <v>298</v>
      </c>
      <c r="C49" s="135"/>
      <c r="D49" s="13"/>
    </row>
    <row r="50" spans="2:4">
      <c r="B50" s="135" t="s">
        <v>299</v>
      </c>
      <c r="C50" s="135"/>
      <c r="D50" s="12"/>
    </row>
  </sheetData>
  <mergeCells count="37">
    <mergeCell ref="B49:C49"/>
    <mergeCell ref="B50:C50"/>
    <mergeCell ref="B44:C44"/>
    <mergeCell ref="B45:D45"/>
    <mergeCell ref="B46:C46"/>
    <mergeCell ref="B47:C47"/>
    <mergeCell ref="B48:C48"/>
    <mergeCell ref="B39:D39"/>
    <mergeCell ref="B40:C40"/>
    <mergeCell ref="B41:C41"/>
    <mergeCell ref="B42:C42"/>
    <mergeCell ref="B43:C43"/>
    <mergeCell ref="B33:C33"/>
    <mergeCell ref="B34:C34"/>
    <mergeCell ref="B35:C35"/>
    <mergeCell ref="B36:C36"/>
    <mergeCell ref="B37:D37"/>
    <mergeCell ref="B26:C26"/>
    <mergeCell ref="B27:C27"/>
    <mergeCell ref="B28:C28"/>
    <mergeCell ref="B29:C29"/>
    <mergeCell ref="B30:D30"/>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honeticPr fontId="27"/>
  <pageMargins left="0.7" right="0.7" top="0.75" bottom="0.75" header="0.51180555555555496" footer="0.51180555555555496"/>
  <pageSetup paperSize="9"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zoomScaleNormal="100" workbookViewId="0">
      <selection activeCell="C43" sqref="C43"/>
    </sheetView>
  </sheetViews>
  <sheetFormatPr baseColWidth="10" defaultColWidth="8.83203125" defaultRowHeight="16"/>
  <cols>
    <col min="1" max="1" width="1.83203125" style="14" customWidth="1"/>
    <col min="2" max="2" width="9.5" style="14" customWidth="1"/>
    <col min="3" max="3" width="54.83203125" style="14" customWidth="1"/>
    <col min="4" max="4" width="6" style="14" customWidth="1"/>
    <col min="5" max="5" width="4.6640625" style="14" customWidth="1"/>
    <col min="6" max="6" width="5.6640625" style="14" customWidth="1"/>
    <col min="7" max="7" width="10.1640625" style="14" customWidth="1"/>
    <col min="8" max="1025" width="8.83203125" style="14" customWidth="1"/>
  </cols>
  <sheetData>
    <row r="2" spans="2:24">
      <c r="B2" s="15"/>
      <c r="C2" s="16" t="s">
        <v>270</v>
      </c>
      <c r="D2" s="17"/>
      <c r="E2" s="17"/>
      <c r="F2" s="17"/>
    </row>
    <row r="3" spans="2:24">
      <c r="B3" s="17"/>
      <c r="C3" s="17"/>
      <c r="D3" s="17"/>
      <c r="E3" s="17"/>
      <c r="F3" s="17"/>
    </row>
    <row r="4" spans="2:24">
      <c r="B4" s="137"/>
      <c r="C4" s="137"/>
      <c r="D4" s="137"/>
      <c r="E4" s="137"/>
      <c r="F4" s="137"/>
    </row>
    <row r="5" spans="2:24" ht="16" customHeight="1">
      <c r="B5" s="18"/>
      <c r="C5" s="18"/>
      <c r="D5" s="18"/>
      <c r="E5" s="18"/>
      <c r="F5" s="18"/>
    </row>
    <row r="6" spans="2:24" ht="19" customHeight="1">
      <c r="B6" s="19"/>
      <c r="C6" s="19"/>
      <c r="D6" s="19"/>
      <c r="E6" s="19"/>
      <c r="F6" s="19"/>
      <c r="G6" s="138" t="s">
        <v>269</v>
      </c>
      <c r="H6" s="138"/>
      <c r="I6" s="138"/>
      <c r="V6" s="138" t="s">
        <v>269</v>
      </c>
      <c r="W6" s="138"/>
      <c r="X6" s="138"/>
    </row>
    <row r="7" spans="2:24">
      <c r="B7" s="20"/>
      <c r="C7" s="20"/>
      <c r="D7" s="20"/>
      <c r="E7" s="20"/>
      <c r="F7" s="20"/>
    </row>
    <row r="8" spans="2:24" ht="16" customHeight="1">
      <c r="B8" s="18"/>
      <c r="C8" s="18"/>
      <c r="D8" s="18"/>
      <c r="E8" s="18"/>
      <c r="F8" s="18"/>
      <c r="G8" s="139">
        <f>AVERAGE(G43:G50)*5</f>
        <v>0</v>
      </c>
      <c r="H8" s="139"/>
      <c r="I8" s="139"/>
      <c r="V8" s="139">
        <f>AVERAGE(K43:K50)*5</f>
        <v>0</v>
      </c>
      <c r="W8" s="139"/>
      <c r="X8" s="139"/>
    </row>
    <row r="9" spans="2:24" ht="91" customHeight="1">
      <c r="B9" s="19"/>
      <c r="C9" s="19"/>
      <c r="D9" s="19"/>
      <c r="E9" s="19"/>
      <c r="F9" s="19"/>
      <c r="G9" s="139"/>
      <c r="H9" s="139"/>
      <c r="I9" s="139"/>
      <c r="V9" s="139"/>
      <c r="W9" s="139"/>
      <c r="X9" s="139"/>
    </row>
    <row r="10" spans="2:24" ht="16.5" customHeight="1">
      <c r="B10" s="20"/>
      <c r="C10" s="20"/>
      <c r="D10" s="20"/>
      <c r="E10" s="20"/>
      <c r="F10" s="20"/>
      <c r="G10" s="139"/>
      <c r="H10" s="139"/>
      <c r="I10" s="139"/>
      <c r="V10" s="139"/>
      <c r="W10" s="139"/>
      <c r="X10" s="139"/>
    </row>
    <row r="11" spans="2:24" ht="17.25" customHeight="1">
      <c r="B11" s="20"/>
      <c r="C11" s="20"/>
      <c r="D11" s="20"/>
      <c r="E11" s="20"/>
      <c r="F11" s="20"/>
      <c r="G11" s="139"/>
      <c r="H11" s="139"/>
      <c r="I11" s="139"/>
      <c r="V11" s="139"/>
      <c r="W11" s="139"/>
      <c r="X11" s="139"/>
    </row>
    <row r="12" spans="2:24" ht="16" customHeight="1">
      <c r="B12" s="140"/>
      <c r="C12" s="140"/>
      <c r="D12" s="140"/>
      <c r="E12" s="140"/>
      <c r="F12" s="140"/>
    </row>
    <row r="13" spans="2:24">
      <c r="B13" s="21"/>
      <c r="C13" s="21"/>
      <c r="D13" s="21"/>
      <c r="E13" s="21"/>
      <c r="F13" s="21"/>
    </row>
    <row r="14" spans="2:24">
      <c r="B14" s="22"/>
      <c r="C14" s="22"/>
      <c r="D14" s="22"/>
      <c r="E14" s="22"/>
      <c r="F14" s="23"/>
    </row>
    <row r="15" spans="2:24">
      <c r="B15" s="20"/>
      <c r="C15" s="20"/>
      <c r="D15" s="20"/>
      <c r="E15" s="20"/>
      <c r="F15" s="20"/>
    </row>
    <row r="16" spans="2:24" ht="16" customHeight="1">
      <c r="B16" s="140"/>
      <c r="C16" s="140"/>
      <c r="D16" s="140"/>
      <c r="E16" s="140"/>
      <c r="F16" s="140"/>
    </row>
    <row r="17" spans="2:6">
      <c r="B17" s="21"/>
      <c r="C17" s="21"/>
      <c r="D17" s="21"/>
      <c r="E17" s="21"/>
      <c r="F17" s="21"/>
    </row>
    <row r="18" spans="2:6">
      <c r="B18" s="22"/>
      <c r="C18" s="22"/>
      <c r="D18" s="22"/>
      <c r="E18" s="22"/>
      <c r="F18" s="23"/>
    </row>
    <row r="20" spans="2:6">
      <c r="B20" s="14" t="s">
        <v>2</v>
      </c>
    </row>
    <row r="23" spans="2:6">
      <c r="C23" s="24"/>
    </row>
    <row r="24" spans="2:6">
      <c r="C24" s="24"/>
    </row>
    <row r="25" spans="2:6">
      <c r="C25" s="24"/>
    </row>
    <row r="26" spans="2:6">
      <c r="C26" s="24"/>
    </row>
    <row r="27" spans="2:6">
      <c r="C27" s="24"/>
    </row>
    <row r="28" spans="2:6">
      <c r="C28" s="24"/>
    </row>
    <row r="29" spans="2:6">
      <c r="C29" s="24"/>
    </row>
    <row r="30" spans="2:6">
      <c r="C30" s="24"/>
    </row>
    <row r="31" spans="2:6">
      <c r="C31" s="24"/>
    </row>
    <row r="32" spans="2:6">
      <c r="C32" s="24"/>
    </row>
    <row r="35" spans="3:11" ht="15.75" customHeight="1"/>
    <row r="41" spans="3:11">
      <c r="D41" s="136" t="s">
        <v>3</v>
      </c>
      <c r="E41" s="136"/>
      <c r="F41" s="136"/>
      <c r="G41" s="136"/>
      <c r="H41" s="136" t="s">
        <v>4</v>
      </c>
      <c r="I41" s="136"/>
      <c r="J41" s="136"/>
      <c r="K41" s="136"/>
    </row>
    <row r="42" spans="3:11">
      <c r="D42" s="25" t="s">
        <v>5</v>
      </c>
      <c r="E42" s="25" t="s">
        <v>6</v>
      </c>
      <c r="F42" s="25" t="s">
        <v>7</v>
      </c>
      <c r="G42" s="25" t="s">
        <v>8</v>
      </c>
      <c r="H42" s="25" t="s">
        <v>5</v>
      </c>
      <c r="I42" s="25" t="s">
        <v>6</v>
      </c>
      <c r="J42" s="25" t="s">
        <v>7</v>
      </c>
      <c r="K42" s="25" t="s">
        <v>8</v>
      </c>
    </row>
    <row r="43" spans="3:11">
      <c r="C43" s="26" t="s">
        <v>251</v>
      </c>
      <c r="D43" s="27">
        <f>COUNTIFS(Android安全需求!G5:G16,Android安全需求!B88)</f>
        <v>0</v>
      </c>
      <c r="E43" s="27">
        <f>COUNTIFS(Android安全需求!G5:G16,Android安全需求!B89)</f>
        <v>0</v>
      </c>
      <c r="F43" s="28">
        <f>COUNTIFS(Android安全需求!G5:G16,Android安全需求!B90)</f>
        <v>7</v>
      </c>
      <c r="G43" s="29">
        <f t="shared" ref="G43:G50" si="0">IF(D43+E43=0, 0, D43/(E43+D43))</f>
        <v>0</v>
      </c>
      <c r="H43" s="27">
        <f>COUNTIFS(iOS安全需求!G5:G16,Android安全需求!B88)</f>
        <v>0</v>
      </c>
      <c r="I43" s="27">
        <f>COUNTIFS(iOS安全需求!G5:G16,Android安全需求!B89)</f>
        <v>0</v>
      </c>
      <c r="J43" s="28">
        <f>COUNTIFS(iOS安全需求!G5:G16,Android安全需求!B90)</f>
        <v>7</v>
      </c>
      <c r="K43" s="29">
        <f t="shared" ref="K43:K50" si="1">IF(H43+I43=0, 0, H43/(H43+I43))</f>
        <v>0</v>
      </c>
    </row>
    <row r="44" spans="3:11">
      <c r="C44" s="26" t="s">
        <v>248</v>
      </c>
      <c r="D44" s="27">
        <f>COUNTIFS(Android安全需求!G18:G32,Android安全需求!B88)</f>
        <v>0</v>
      </c>
      <c r="E44" s="27">
        <f>COUNTIFS(Android安全需求!G18:G32,Android安全需求!B89)</f>
        <v>0</v>
      </c>
      <c r="F44" s="27">
        <f>COUNTIFS(Android安全需求!G18:G32,Android安全需求!B90)</f>
        <v>8</v>
      </c>
      <c r="G44" s="29">
        <f t="shared" si="0"/>
        <v>0</v>
      </c>
      <c r="H44" s="27">
        <f>COUNTIFS(iOS安全需求!G18:G32,Android安全需求!B88)</f>
        <v>0</v>
      </c>
      <c r="I44" s="27">
        <f>COUNTIFS(iOS安全需求!G18:G32,Android安全需求!B89)</f>
        <v>0</v>
      </c>
      <c r="J44" s="27">
        <f>COUNTIFS(iOS安全需求!G18:G32,Android安全需求!B90)</f>
        <v>8</v>
      </c>
      <c r="K44" s="29">
        <f t="shared" si="1"/>
        <v>0</v>
      </c>
    </row>
    <row r="45" spans="3:11">
      <c r="C45" s="26" t="s">
        <v>272</v>
      </c>
      <c r="D45" s="27">
        <f>COUNTIFS(Android安全需求!G34:G39,Android安全需求!B88)</f>
        <v>0</v>
      </c>
      <c r="E45" s="27">
        <f>COUNTIFS(Android安全需求!G34:G39,Android安全需求!B89)</f>
        <v>0</v>
      </c>
      <c r="F45" s="27">
        <f>COUNTIFS(Android安全需求!G34:G39,Android安全需求!B90)</f>
        <v>0</v>
      </c>
      <c r="G45" s="29">
        <f t="shared" si="0"/>
        <v>0</v>
      </c>
      <c r="H45" s="27">
        <f>COUNTIFS(iOS安全需求!G34:G39,Android安全需求!B88)</f>
        <v>0</v>
      </c>
      <c r="I45" s="27">
        <f>COUNTIFS(iOS安全需求!G34:G39,Android安全需求!B89)</f>
        <v>0</v>
      </c>
      <c r="J45" s="27">
        <f>COUNTIFS(iOS安全需求!G34:G39,Android安全需求!B90)</f>
        <v>0</v>
      </c>
      <c r="K45" s="29">
        <f t="shared" si="1"/>
        <v>0</v>
      </c>
    </row>
    <row r="46" spans="3:11">
      <c r="C46" s="26" t="s">
        <v>275</v>
      </c>
      <c r="D46" s="27">
        <f>COUNTIFS(Android安全需求!G41:G52,Android安全需求!B88)</f>
        <v>0</v>
      </c>
      <c r="E46" s="27">
        <f>COUNTIFS(Android安全需求!G41:G52,Android安全需求!B89)</f>
        <v>0</v>
      </c>
      <c r="F46" s="27">
        <f>COUNTIFS(Android安全需求!G41:G52,Android安全需求!B90)</f>
        <v>4</v>
      </c>
      <c r="G46" s="29">
        <f t="shared" si="0"/>
        <v>0</v>
      </c>
      <c r="H46" s="27">
        <f>COUNTIFS(iOS安全需求!G41:G52,Android安全需求!B88)</f>
        <v>0</v>
      </c>
      <c r="I46" s="27">
        <f>COUNTIFS(iOS安全需求!G41:G52,Android安全需求!B89)</f>
        <v>0</v>
      </c>
      <c r="J46" s="27">
        <f>COUNTIFS(iOS安全需求!G41:G52,Android安全需求!B90)</f>
        <v>4</v>
      </c>
      <c r="K46" s="29">
        <f t="shared" si="1"/>
        <v>0</v>
      </c>
    </row>
    <row r="47" spans="3:11">
      <c r="C47" s="26" t="s">
        <v>280</v>
      </c>
      <c r="D47" s="27">
        <f>COUNTIFS(Android安全需求!G54:G59,Android安全需求!B88)</f>
        <v>0</v>
      </c>
      <c r="E47" s="27">
        <f>COUNTIFS(Android安全需求!G54:G59,Android安全需求!B89)</f>
        <v>0</v>
      </c>
      <c r="F47" s="27">
        <f>COUNTIFS(Android安全需求!G54:G59,Android安全需求!B90)</f>
        <v>3</v>
      </c>
      <c r="G47" s="29">
        <f t="shared" si="0"/>
        <v>0</v>
      </c>
      <c r="H47" s="27">
        <f>COUNTIFS(iOS安全需求!G54:G59,Android安全需求!B88)</f>
        <v>0</v>
      </c>
      <c r="I47" s="27">
        <f>COUNTIFS(iOS安全需求!G54:G59,Android安全需求!B89)</f>
        <v>0</v>
      </c>
      <c r="J47" s="27">
        <f>COUNTIFS(iOS安全需求!G54:G59,Android安全需求!B90)</f>
        <v>3</v>
      </c>
      <c r="K47" s="29">
        <f t="shared" si="1"/>
        <v>0</v>
      </c>
    </row>
    <row r="48" spans="3:11">
      <c r="C48" s="26" t="s">
        <v>249</v>
      </c>
      <c r="D48" s="27">
        <f>COUNTIFS(Android安全需求!G61:G71,Android安全需求!B88)</f>
        <v>0</v>
      </c>
      <c r="E48" s="27">
        <f>COUNTIFS(Android安全需求!G61:G71,Android安全需求!B89)</f>
        <v>0</v>
      </c>
      <c r="F48" s="27">
        <f>COUNTIFS(Android安全需求!G61:G71,Android安全需求!B90)</f>
        <v>3</v>
      </c>
      <c r="G48" s="29">
        <f t="shared" si="0"/>
        <v>0</v>
      </c>
      <c r="H48" s="27">
        <f>COUNTIFS(iOS安全需求!G61:G71,Android安全需求!B88)</f>
        <v>0</v>
      </c>
      <c r="I48" s="27">
        <f>COUNTIFS(iOS安全需求!G61:G71,Android安全需求!B89)</f>
        <v>0</v>
      </c>
      <c r="J48" s="27">
        <f>COUNTIFS(iOS安全需求!G61:G71,Android安全需求!B90)</f>
        <v>3</v>
      </c>
      <c r="K48" s="29">
        <f t="shared" si="1"/>
        <v>0</v>
      </c>
    </row>
    <row r="49" spans="3:11">
      <c r="C49" s="26" t="s">
        <v>250</v>
      </c>
      <c r="D49" s="27">
        <f>COUNTIFS(Android安全需求!G73:G81,Android安全需求!B88)</f>
        <v>0</v>
      </c>
      <c r="E49" s="27">
        <f>COUNTIFS(Android安全需求!G73:G81,Android安全需求!B89)</f>
        <v>0</v>
      </c>
      <c r="F49" s="27">
        <f>COUNTIFS(Android安全需求!G73:G81,Android安全需求!B90)</f>
        <v>0</v>
      </c>
      <c r="G49" s="29">
        <f t="shared" si="0"/>
        <v>0</v>
      </c>
      <c r="H49" s="27">
        <f>COUNTIFS(iOS安全需求!G73:G81,Android安全需求!B88)</f>
        <v>0</v>
      </c>
      <c r="I49" s="27">
        <f>COUNTIFS(iOS安全需求!G73:G81,Android安全需求!B89)</f>
        <v>0</v>
      </c>
      <c r="J49" s="27">
        <f>COUNTIFS(iOS安全需求!G73:G81,Android安全需求!B90)</f>
        <v>0</v>
      </c>
      <c r="K49" s="29">
        <f t="shared" si="1"/>
        <v>0</v>
      </c>
    </row>
    <row r="50" spans="3:11">
      <c r="C50" s="26" t="s">
        <v>286</v>
      </c>
      <c r="D50" s="27">
        <f>COUNTIFS(Android防逆向需求!F5:F20,Android安全需求!B88)</f>
        <v>0</v>
      </c>
      <c r="E50" s="27">
        <f>COUNTIFS(Android防逆向需求!F5:F20,Android安全需求!B89)</f>
        <v>0</v>
      </c>
      <c r="F50" s="27">
        <f>COUNTIFS(Android防逆向需求!F5:F20,Android安全需求!B90)</f>
        <v>13</v>
      </c>
      <c r="G50" s="29">
        <f t="shared" si="0"/>
        <v>0</v>
      </c>
      <c r="H50" s="27">
        <f>COUNTIFS(iOS防逆向需求!F5:F20,Android安全需求!B88)</f>
        <v>0</v>
      </c>
      <c r="I50" s="27">
        <f>COUNTIFS(iOS防逆向需求!F5:F20,Android安全需求!B89)</f>
        <v>0</v>
      </c>
      <c r="J50" s="27">
        <f>COUNTIFS(iOS防逆向需求!F5:F20,Android安全需求!B90)</f>
        <v>13</v>
      </c>
      <c r="K50" s="29">
        <f t="shared" si="1"/>
        <v>0</v>
      </c>
    </row>
  </sheetData>
  <mergeCells count="9">
    <mergeCell ref="D41:G41"/>
    <mergeCell ref="H41:K41"/>
    <mergeCell ref="B4:F4"/>
    <mergeCell ref="G6:I6"/>
    <mergeCell ref="V6:X6"/>
    <mergeCell ref="G8:I11"/>
    <mergeCell ref="V8:X11"/>
    <mergeCell ref="B12:F12"/>
    <mergeCell ref="B16:F16"/>
  </mergeCells>
  <phoneticPr fontId="27"/>
  <conditionalFormatting sqref="F14">
    <cfRule type="iconSet" priority="2">
      <iconSet>
        <cfvo type="percent" val="0"/>
        <cfvo type="num" val="0.4"/>
        <cfvo type="num" val="0.8"/>
      </iconSet>
    </cfRule>
  </conditionalFormatting>
  <conditionalFormatting sqref="F14">
    <cfRule type="expression" dxfId="9"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8"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topLeftCell="C68" zoomScaleNormal="100" workbookViewId="0">
      <selection activeCell="D94" sqref="D94"/>
    </sheetView>
  </sheetViews>
  <sheetFormatPr baseColWidth="10" defaultColWidth="8.6640625" defaultRowHeight="16"/>
  <cols>
    <col min="1" max="1" width="1.83203125" style="65" customWidth="1"/>
    <col min="2" max="2" width="8" style="98" customWidth="1"/>
    <col min="3" max="3" width="17.83203125" style="98" customWidth="1"/>
    <col min="4" max="4" width="97.33203125" style="30" customWidth="1"/>
    <col min="5" max="6" width="6.6640625" style="65" customWidth="1"/>
    <col min="7" max="7" width="5.6640625" style="65" customWidth="1"/>
    <col min="8" max="8" width="101.5" style="66" customWidth="1"/>
    <col min="9" max="9" width="83.5" style="66" customWidth="1"/>
    <col min="10" max="10" width="73.33203125" style="66" customWidth="1"/>
    <col min="11" max="11" width="30.83203125" style="30" customWidth="1"/>
    <col min="12" max="12" width="11" style="65" customWidth="1"/>
    <col min="13" max="14" width="10.83203125" style="65" customWidth="1"/>
    <col min="15" max="1025" width="11" style="65" customWidth="1"/>
    <col min="1026" max="16384" width="8.6640625" style="66"/>
  </cols>
  <sheetData>
    <row r="1" spans="2:11" ht="19">
      <c r="B1" s="141" t="s">
        <v>271</v>
      </c>
      <c r="C1" s="141"/>
      <c r="D1" s="141"/>
      <c r="E1" s="141"/>
      <c r="F1" s="141"/>
      <c r="G1" s="141"/>
      <c r="H1" s="141"/>
      <c r="I1" s="141"/>
      <c r="J1" s="141"/>
      <c r="K1" s="141"/>
    </row>
    <row r="2" spans="2:11">
      <c r="B2" s="67"/>
      <c r="C2" s="67"/>
      <c r="D2" s="31"/>
      <c r="E2" s="68"/>
      <c r="F2" s="68"/>
      <c r="G2" s="68"/>
      <c r="H2" s="69"/>
      <c r="I2" s="69"/>
      <c r="J2" s="69"/>
      <c r="K2" s="31"/>
    </row>
    <row r="3" spans="2:11" ht="15.75" customHeight="1">
      <c r="B3" s="70" t="s">
        <v>9</v>
      </c>
      <c r="C3" s="71" t="s">
        <v>10</v>
      </c>
      <c r="D3" s="33" t="s">
        <v>377</v>
      </c>
      <c r="E3" s="34" t="s">
        <v>281</v>
      </c>
      <c r="F3" s="34" t="s">
        <v>282</v>
      </c>
      <c r="G3" s="63" t="s">
        <v>283</v>
      </c>
      <c r="H3" s="142" t="s">
        <v>381</v>
      </c>
      <c r="I3" s="142"/>
      <c r="J3" s="34"/>
      <c r="K3" s="35" t="s">
        <v>285</v>
      </c>
    </row>
    <row r="4" spans="2:11">
      <c r="B4" s="72" t="s">
        <v>12</v>
      </c>
      <c r="C4" s="73"/>
      <c r="D4" s="36" t="s">
        <v>273</v>
      </c>
      <c r="E4" s="74"/>
      <c r="F4" s="74"/>
      <c r="G4" s="74"/>
      <c r="H4" s="36"/>
      <c r="I4" s="36"/>
      <c r="J4" s="36"/>
      <c r="K4" s="99"/>
    </row>
    <row r="5" spans="2:11">
      <c r="B5" s="75" t="s">
        <v>13</v>
      </c>
      <c r="C5" s="76" t="s">
        <v>14</v>
      </c>
      <c r="D5" s="37" t="s">
        <v>315</v>
      </c>
      <c r="E5" s="77" t="s">
        <v>15</v>
      </c>
      <c r="F5" s="78" t="s">
        <v>15</v>
      </c>
      <c r="G5" s="111"/>
      <c r="H5" s="119" t="str">
        <f>HYPERLINK(CONCATENATE( BASE_URL, "0x04b-Mobile-App-Security-Testing.md#architectural-information"), "架构信息")</f>
        <v>架构信息</v>
      </c>
      <c r="I5" s="119" t="str">
        <f>HYPERLINK(CONCATENATE( BASE_URL, "0x05h-Testing-Platform-Interaction.md#testing-for-insecure-configuration-of-instant-apps-mstg-arch-1-mstg-arch-7"), "应用不安全配置测试 (MSTG-ARCH-1, MSTG-ARCH-7)")</f>
        <v>应用不安全配置测试 (MSTG-ARCH-1, MSTG-ARCH-7)</v>
      </c>
      <c r="J5" s="80"/>
      <c r="K5" s="112"/>
    </row>
    <row r="6" spans="2:11">
      <c r="B6" s="75" t="s">
        <v>16</v>
      </c>
      <c r="C6" s="76" t="s">
        <v>17</v>
      </c>
      <c r="D6" s="37" t="s">
        <v>384</v>
      </c>
      <c r="E6" s="77" t="s">
        <v>15</v>
      </c>
      <c r="F6" s="78" t="s">
        <v>15</v>
      </c>
      <c r="G6" s="111"/>
      <c r="H6" s="119" t="str">
        <f>HYPERLINK(CONCATENATE( BASE_URL, "0x04h-Testing-Code-Quality.md#injection-flaws-mstg-arch-2-and-mstg-platform-2"), "注入风险 (MSTG-ARCH-2 and MSTG-PLATFORM-2)")</f>
        <v>注入风险 (MSTG-ARCH-2 and MSTG-PLATFORM-2)</v>
      </c>
      <c r="I6" s="119" t="str">
        <f>HYPERLINK(CONCATENATE(BASE_URL,"0x04e-Testing-Authentication-and-Session-Management.md#verifying-that-appropriate-authentication-is-in-place-mstg-arch-2-and-mstg-auth-1"),"检测确权机制 (MSTG-ARCH-2 and MSTG-AUTH-1)")</f>
        <v>检测确权机制 (MSTG-ARCH-2 and MSTG-AUTH-1)</v>
      </c>
      <c r="J6" s="85"/>
      <c r="K6" s="112"/>
    </row>
    <row r="7" spans="2:11">
      <c r="B7" s="75" t="s">
        <v>18</v>
      </c>
      <c r="C7" s="76" t="s">
        <v>19</v>
      </c>
      <c r="D7" s="37" t="s">
        <v>385</v>
      </c>
      <c r="E7" s="77" t="s">
        <v>15</v>
      </c>
      <c r="F7" s="78" t="s">
        <v>15</v>
      </c>
      <c r="G7" s="111"/>
      <c r="H7" s="119" t="str">
        <f>HYPERLINK(CONCATENATE( BASE_URL, "0x04b-Mobile-App-Security-Testing.md#architectural-information"), "架构信息")</f>
        <v>架构信息</v>
      </c>
      <c r="I7" s="80"/>
      <c r="J7" s="80"/>
      <c r="K7" s="112"/>
    </row>
    <row r="8" spans="2:11">
      <c r="B8" s="75" t="s">
        <v>20</v>
      </c>
      <c r="C8" s="76" t="s">
        <v>21</v>
      </c>
      <c r="D8" s="37" t="s">
        <v>386</v>
      </c>
      <c r="E8" s="77" t="s">
        <v>15</v>
      </c>
      <c r="F8" s="78" t="s">
        <v>15</v>
      </c>
      <c r="G8" s="111"/>
      <c r="H8" s="119" t="str">
        <f>HYPERLINK(CONCATENATE( BASE_URL, "0x04b-Mobile-App-Security-Testing.md#identifying-sensitive-data"), "敏感数据标识")</f>
        <v>敏感数据标识</v>
      </c>
      <c r="I8" s="80"/>
      <c r="J8" s="80"/>
      <c r="K8" s="112"/>
    </row>
    <row r="9" spans="2:11">
      <c r="B9" s="75" t="s">
        <v>22</v>
      </c>
      <c r="C9" s="76" t="s">
        <v>23</v>
      </c>
      <c r="D9" s="37" t="s">
        <v>320</v>
      </c>
      <c r="E9" s="80"/>
      <c r="F9" s="78" t="s">
        <v>15</v>
      </c>
      <c r="G9" s="111" t="s">
        <v>24</v>
      </c>
      <c r="H9" s="119" t="str">
        <f>HYPERLINK(CONCATENATE( BASE_URL, "0x04b-Mobile-App-Security-Testing.md#environmental-information"), "背景信息")</f>
        <v>背景信息</v>
      </c>
      <c r="I9" s="80"/>
      <c r="J9" s="80"/>
      <c r="K9" s="112"/>
    </row>
    <row r="10" spans="2:11">
      <c r="B10" s="75" t="s">
        <v>25</v>
      </c>
      <c r="C10" s="76" t="s">
        <v>26</v>
      </c>
      <c r="D10" s="37" t="s">
        <v>387</v>
      </c>
      <c r="E10" s="80"/>
      <c r="F10" s="78" t="s">
        <v>15</v>
      </c>
      <c r="G10" s="111" t="s">
        <v>24</v>
      </c>
      <c r="H10" s="119" t="str">
        <f>HYPERLINK(CONCATENATE( BASE_URL, "0x04b-Mobile-App-Security-Testing.md#mapping-the-application"), "应用功能盘点")</f>
        <v>应用功能盘点</v>
      </c>
      <c r="I10" s="80"/>
      <c r="J10" s="80"/>
      <c r="K10" s="112"/>
    </row>
    <row r="11" spans="2:11">
      <c r="B11" s="75" t="s">
        <v>27</v>
      </c>
      <c r="C11" s="76" t="s">
        <v>28</v>
      </c>
      <c r="D11" s="37" t="s">
        <v>321</v>
      </c>
      <c r="E11" s="80"/>
      <c r="F11" s="78" t="s">
        <v>15</v>
      </c>
      <c r="G11" s="111" t="s">
        <v>24</v>
      </c>
      <c r="H11" s="119" t="str">
        <f>HYPERLINK(CONCATENATE(BASE_URL,"0x05h-Testing-Platform-Interaction.md#testing-for-insecure-configuration-of-instant-apps-mstg-arch-1-mstg-arch-7"),"应用不安全配置测试 (MSTG-ARCH-1, MSTG-ARCH-7)")</f>
        <v>应用不安全配置测试 (MSTG-ARCH-1, MSTG-ARCH-7)</v>
      </c>
      <c r="I11" s="119" t="str">
        <f>HYPERLINK(CONCATENATE( BASE_URL, "0x04b-Mobile-App-Security-Testing.md#principles-of-testing"), "测试原则")</f>
        <v>测试原则</v>
      </c>
      <c r="J11" s="119" t="str">
        <f>HYPERLINK(CONCATENATE( BASE_URL, "0x04b-Mobile-App-Security-Testing.md#penetration-testing-aka-pentesting"), "渗透测试 (a.k.a. Pentesting)")</f>
        <v>渗透测试 (a.k.a. Pentesting)</v>
      </c>
      <c r="K11" s="112"/>
    </row>
    <row r="12" spans="2:11" ht="32">
      <c r="B12" s="75" t="s">
        <v>29</v>
      </c>
      <c r="C12" s="76" t="s">
        <v>30</v>
      </c>
      <c r="D12" s="37" t="s">
        <v>322</v>
      </c>
      <c r="E12" s="80"/>
      <c r="F12" s="78" t="s">
        <v>15</v>
      </c>
      <c r="G12" s="111" t="s">
        <v>24</v>
      </c>
      <c r="H12" s="119" t="str">
        <f>HYPERLINK(CONCATENATE( BASE_URL, "0x04g-Testing-Cryptography.md#cryptographic-policy"), "密钥政策")</f>
        <v>密钥政策</v>
      </c>
      <c r="I12" s="80"/>
      <c r="J12" s="80"/>
      <c r="K12" s="112"/>
    </row>
    <row r="13" spans="2:11">
      <c r="B13" s="75" t="s">
        <v>31</v>
      </c>
      <c r="C13" s="76" t="s">
        <v>32</v>
      </c>
      <c r="D13" s="37" t="s">
        <v>319</v>
      </c>
      <c r="E13" s="80"/>
      <c r="F13" s="78" t="s">
        <v>15</v>
      </c>
      <c r="G13" s="111" t="s">
        <v>24</v>
      </c>
      <c r="H13" s="119" t="str">
        <f>HYPERLINK(CONCATENATE( BASE_URL, "0x05h-Testing-Platform-Interaction.md#testing-enforced-updating-mstg-arch-9"), "检测强制更新(MSTG-ARCH-9)")</f>
        <v>检测强制更新(MSTG-ARCH-9)</v>
      </c>
      <c r="I13" s="80"/>
      <c r="J13" s="80"/>
      <c r="K13" s="112"/>
    </row>
    <row r="14" spans="2:11">
      <c r="B14" s="75" t="s">
        <v>33</v>
      </c>
      <c r="C14" s="76" t="s">
        <v>34</v>
      </c>
      <c r="D14" s="37" t="s">
        <v>318</v>
      </c>
      <c r="E14" s="80"/>
      <c r="F14" s="78" t="s">
        <v>15</v>
      </c>
      <c r="G14" s="111" t="s">
        <v>24</v>
      </c>
      <c r="H14" s="119" t="str">
        <f>HYPERLINK(CONCATENATE( BASE_URL, "0x04b-Mobile-App-Security-Testing.md#security-testing-and-the-sdlc"), "软件生命周期安全检测")</f>
        <v>软件生命周期安全检测</v>
      </c>
      <c r="I14" s="80"/>
      <c r="J14" s="80"/>
      <c r="K14" s="112"/>
    </row>
    <row r="15" spans="2:11">
      <c r="B15" s="75" t="s">
        <v>224</v>
      </c>
      <c r="C15" s="76" t="s">
        <v>226</v>
      </c>
      <c r="D15" s="37" t="s">
        <v>317</v>
      </c>
      <c r="E15" s="80"/>
      <c r="F15" s="78" t="s">
        <v>15</v>
      </c>
      <c r="G15" s="111" t="s">
        <v>24</v>
      </c>
      <c r="H15" s="79"/>
      <c r="I15" s="80"/>
      <c r="J15" s="80"/>
      <c r="K15" s="112"/>
    </row>
    <row r="16" spans="2:11">
      <c r="B16" s="75" t="s">
        <v>225</v>
      </c>
      <c r="C16" s="76" t="s">
        <v>227</v>
      </c>
      <c r="D16" s="37" t="s">
        <v>316</v>
      </c>
      <c r="E16" s="77" t="s">
        <v>15</v>
      </c>
      <c r="F16" s="78" t="s">
        <v>15</v>
      </c>
      <c r="G16" s="111"/>
      <c r="H16" s="79"/>
      <c r="I16" s="80"/>
      <c r="J16" s="80"/>
      <c r="K16" s="112"/>
    </row>
    <row r="17" spans="2:11">
      <c r="B17" s="81" t="s">
        <v>35</v>
      </c>
      <c r="C17" s="82"/>
      <c r="D17" s="38" t="s">
        <v>274</v>
      </c>
      <c r="E17" s="83"/>
      <c r="F17" s="84"/>
      <c r="G17" s="83"/>
      <c r="H17" s="83"/>
      <c r="I17" s="83"/>
      <c r="J17" s="83"/>
      <c r="K17" s="40"/>
    </row>
    <row r="18" spans="2:11">
      <c r="B18" s="75" t="s">
        <v>36</v>
      </c>
      <c r="C18" s="76" t="s">
        <v>37</v>
      </c>
      <c r="D18" s="37" t="s">
        <v>388</v>
      </c>
      <c r="E18" s="77" t="s">
        <v>15</v>
      </c>
      <c r="F18" s="78" t="s">
        <v>15</v>
      </c>
      <c r="G18" s="111"/>
      <c r="H18" s="119" t="str">
        <f>HYPERLINK(CONCATENATE(BASE_URL,"0x05d-Testing-Data-Storage.md#testing-local-storage-for-sensitive-data-mstg-storage-1-and-mstg-storage-2"),"检测敏感数据存储 (MSTG-STORAGE-1 and MSTG-STORAGE-2)")</f>
        <v>检测敏感数据存储 (MSTG-STORAGE-1 and MSTG-STORAGE-2)</v>
      </c>
      <c r="I18" s="119" t="str">
        <f>HYPERLINK(CONCATENATE(BASE_URL,"0x05e-Testing-Cryptography.md#testing-key-management-mstg-storage-1-mstg-crypto-1-and-mstg-crypto-5"),"检测密钥管理(MSTG-STORAGE-1, MSTG-CRYPTO-1 and MSTG-CRYPTO-5)")</f>
        <v>检测密钥管理(MSTG-STORAGE-1, MSTG-CRYPTO-1 and MSTG-CRYPTO-5)</v>
      </c>
      <c r="J18" s="80"/>
      <c r="K18" s="112"/>
    </row>
    <row r="19" spans="2:11">
      <c r="B19" s="75" t="s">
        <v>38</v>
      </c>
      <c r="C19" s="76" t="s">
        <v>39</v>
      </c>
      <c r="D19" s="37" t="s">
        <v>389</v>
      </c>
      <c r="E19" s="77"/>
      <c r="F19" s="78"/>
      <c r="G19" s="111"/>
      <c r="H19" s="119" t="str">
        <f>HYPERLINK(CONCATENATE(BASE_URL,"0x05d-Testing-Data-Storage.md#testing-local-storage-for-sensitive-data-mstg-storage-1-and-mstg-storage-2"),"检测敏感数据存储 (MSTG-STORAGE-1 and MSTG-STORAGE-2)")</f>
        <v>检测敏感数据存储 (MSTG-STORAGE-1 and MSTG-STORAGE-2)</v>
      </c>
      <c r="I19" s="80"/>
      <c r="J19" s="80"/>
      <c r="K19" s="113"/>
    </row>
    <row r="20" spans="2:11">
      <c r="B20" s="75" t="s">
        <v>40</v>
      </c>
      <c r="C20" s="76" t="s">
        <v>41</v>
      </c>
      <c r="D20" s="37" t="s">
        <v>325</v>
      </c>
      <c r="E20" s="77" t="s">
        <v>15</v>
      </c>
      <c r="F20" s="78" t="s">
        <v>15</v>
      </c>
      <c r="G20" s="111"/>
      <c r="H20" s="119" t="str">
        <f>HYPERLINK(CONCATENATE(BASE_URL,"0x05d-Testing-Data-Storage.md#testing-logs-for-sensitive-data-mstg-storage-3"),"检测日志中的敏感数据 (MSTG-STORAGE-3)")</f>
        <v>检测日志中的敏感数据 (MSTG-STORAGE-3)</v>
      </c>
      <c r="I20" s="80"/>
      <c r="J20" s="80"/>
      <c r="K20" s="112"/>
    </row>
    <row r="21" spans="2:11">
      <c r="B21" s="75" t="s">
        <v>42</v>
      </c>
      <c r="C21" s="76" t="s">
        <v>43</v>
      </c>
      <c r="D21" s="37" t="s">
        <v>326</v>
      </c>
      <c r="E21" s="77" t="s">
        <v>15</v>
      </c>
      <c r="F21" s="78" t="s">
        <v>15</v>
      </c>
      <c r="G21" s="111"/>
      <c r="H21" s="119" t="str">
        <f>HYPERLINK(CONCATENATE(BASE_URL,"0x05d-Testing-Data-Storage.md#determining-whether-sensitive-data-is-sent-to-third-parties-mstg-storage-4"),"检测是否发送敏感数据给第三方 (MSTG-STORAGE-4)")</f>
        <v>检测是否发送敏感数据给第三方 (MSTG-STORAGE-4)</v>
      </c>
      <c r="I21" s="80"/>
      <c r="J21" s="80"/>
      <c r="K21" s="112"/>
    </row>
    <row r="22" spans="2:11">
      <c r="B22" s="75" t="s">
        <v>44</v>
      </c>
      <c r="C22" s="76" t="s">
        <v>45</v>
      </c>
      <c r="D22" s="44" t="s">
        <v>327</v>
      </c>
      <c r="E22" s="77" t="s">
        <v>15</v>
      </c>
      <c r="F22" s="78" t="s">
        <v>15</v>
      </c>
      <c r="G22" s="111"/>
      <c r="H22" s="119" t="str">
        <f>HYPERLINK(CONCATENATE(BASE_URL,"0x05d-Testing-Data-Storage.md#determining-whether-the-keyboard-cache-is-disabled-for-text-input-fields-mstg-storage-5"),"检测数据输入时键盘缓存是否禁用 (MSTG-STORAGE-5)")</f>
        <v>检测数据输入时键盘缓存是否禁用 (MSTG-STORAGE-5)</v>
      </c>
      <c r="I22" s="80"/>
      <c r="J22" s="80"/>
      <c r="K22" s="112"/>
    </row>
    <row r="23" spans="2:11">
      <c r="B23" s="75" t="s">
        <v>46</v>
      </c>
      <c r="C23" s="76" t="s">
        <v>47</v>
      </c>
      <c r="D23" s="44" t="s">
        <v>328</v>
      </c>
      <c r="E23" s="77" t="s">
        <v>15</v>
      </c>
      <c r="F23" s="78" t="s">
        <v>15</v>
      </c>
      <c r="G23" s="111"/>
      <c r="H23" s="119" t="str">
        <f>HYPERLINK(CONCATENATE(BASE_URL,"0x05d-Testing-Data-Storage.md#determining-whether-sensitive-stored-data-has-been-exposed-via-ipc-mechanisms-mstg-storage-6"),"检测敏感数据是否通过IPC机制泄漏 (MSTG-STORAGE-6)")</f>
        <v>检测敏感数据是否通过IPC机制泄漏 (MSTG-STORAGE-6)</v>
      </c>
      <c r="I23" s="80"/>
      <c r="J23" s="80"/>
      <c r="K23" s="112"/>
    </row>
    <row r="24" spans="2:11">
      <c r="B24" s="75" t="s">
        <v>48</v>
      </c>
      <c r="C24" s="76" t="s">
        <v>49</v>
      </c>
      <c r="D24" s="44" t="s">
        <v>329</v>
      </c>
      <c r="E24" s="77" t="s">
        <v>15</v>
      </c>
      <c r="F24" s="78" t="s">
        <v>15</v>
      </c>
      <c r="G24" s="111"/>
      <c r="H24" s="119" t="str">
        <f>HYPERLINK(CONCATENATE(BASE_URL,"0x05d-Testing-Data-Storage.md#checking-for-sensitive-data-disclosure-through-the-user-interface-mstg-storage-7"),"检查敏感数据是否通过用户界面泄漏 (MSTG-STORAGE-7)")</f>
        <v>检查敏感数据是否通过用户界面泄漏 (MSTG-STORAGE-7)</v>
      </c>
      <c r="I24" s="80"/>
      <c r="J24" s="80"/>
      <c r="K24" s="112"/>
    </row>
    <row r="25" spans="2:11">
      <c r="B25" s="75" t="s">
        <v>50</v>
      </c>
      <c r="C25" s="76" t="s">
        <v>51</v>
      </c>
      <c r="D25" s="44" t="s">
        <v>330</v>
      </c>
      <c r="E25" s="80"/>
      <c r="F25" s="78" t="s">
        <v>15</v>
      </c>
      <c r="G25" s="111" t="s">
        <v>24</v>
      </c>
      <c r="H25" s="119" t="str">
        <f>HYPERLINK(CONCATENATE(BASE_URL,"0x05d-Testing-Data-Storage.md#testing-backups-for-sensitive-data-mstg-storage-8"),"检测备份数据中的敏感数据 (MSTG-STORAGE-8)")</f>
        <v>检测备份数据中的敏感数据 (MSTG-STORAGE-8)</v>
      </c>
      <c r="I25" s="80"/>
      <c r="J25" s="80"/>
      <c r="K25" s="112"/>
    </row>
    <row r="26" spans="2:11">
      <c r="B26" s="75" t="s">
        <v>52</v>
      </c>
      <c r="C26" s="76" t="s">
        <v>53</v>
      </c>
      <c r="D26" s="44" t="s">
        <v>331</v>
      </c>
      <c r="E26" s="80"/>
      <c r="F26" s="78" t="s">
        <v>15</v>
      </c>
      <c r="G26" s="111" t="s">
        <v>24</v>
      </c>
      <c r="H26" s="119" t="str">
        <f>HYPERLINK(CONCATENATE(BASE_URL,"0x05d-Testing-Data-Storage.md#finding-sensitive-information-in-auto-generated-screenshots-mstg-storage-9"),"检测自动生成的屏幕截图中是否包含敏感数据 (MSTG-STORAGE-9)")</f>
        <v>检测自动生成的屏幕截图中是否包含敏感数据 (MSTG-STORAGE-9)</v>
      </c>
      <c r="I26" s="80"/>
      <c r="J26" s="80"/>
      <c r="K26" s="112"/>
    </row>
    <row r="27" spans="2:11">
      <c r="B27" s="75" t="s">
        <v>54</v>
      </c>
      <c r="C27" s="76" t="s">
        <v>55</v>
      </c>
      <c r="D27" s="44" t="s">
        <v>332</v>
      </c>
      <c r="E27" s="80"/>
      <c r="F27" s="78" t="s">
        <v>15</v>
      </c>
      <c r="G27" s="111" t="s">
        <v>24</v>
      </c>
      <c r="H27" s="119" t="str">
        <f>HYPERLINK(CONCATENATE(BASE_URL,"0x05d-Testing-Data-Storage.md#checking-memory-for-sensitive-data-mstg-storage-10"),"检测内存中的敏感数据 (MSTG-STORAGE-10)")</f>
        <v>检测内存中的敏感数据 (MSTG-STORAGE-10)</v>
      </c>
      <c r="I27" s="80"/>
      <c r="J27" s="80"/>
      <c r="K27" s="112"/>
    </row>
    <row r="28" spans="2:11">
      <c r="B28" s="75" t="s">
        <v>56</v>
      </c>
      <c r="C28" s="76" t="s">
        <v>57</v>
      </c>
      <c r="D28" s="44" t="s">
        <v>333</v>
      </c>
      <c r="E28" s="80"/>
      <c r="F28" s="78" t="s">
        <v>15</v>
      </c>
      <c r="G28" s="111" t="s">
        <v>24</v>
      </c>
      <c r="H28" s="119" t="str">
        <f>HYPERLINK(CONCATENATE(BASE_URL,"0x05d-Testing-Data-Storage.md#testing-the-device-access-security-policy-mstg-storage-11"),"检测设备安全访问策略 (MSTG-STORAGE-11)")</f>
        <v>检测设备安全访问策略 (MSTG-STORAGE-11)</v>
      </c>
      <c r="I28" s="119" t="str">
        <f>HYPERLINK(CONCATENATE(BASE_URL,"0x05f-Testing-Local-Authentication.md#testing-confirm-credentials-mstg-auth-1-and-mstg-storage-11"),"检测确权机制 (MSTG-AUTH-1 and MSTG-STORAGE-11)")</f>
        <v>检测确权机制 (MSTG-AUTH-1 and MSTG-STORAGE-11)</v>
      </c>
      <c r="J28" s="80"/>
      <c r="K28" s="112"/>
    </row>
    <row r="29" spans="2:11">
      <c r="B29" s="75" t="s">
        <v>58</v>
      </c>
      <c r="C29" s="76" t="s">
        <v>59</v>
      </c>
      <c r="D29" s="37" t="s">
        <v>334</v>
      </c>
      <c r="E29" s="80"/>
      <c r="F29" s="78" t="s">
        <v>15</v>
      </c>
      <c r="G29" s="111" t="s">
        <v>24</v>
      </c>
      <c r="H29" s="119" t="str">
        <f>HYPERLINK(CONCATENATE(BASE_URL,"0x04i-Testing-user-interaction.md#testing-user-education-mstg-storage-12"),"检查安全信息告知 (MSTG-STORAGE-12)")</f>
        <v>检查安全信息告知 (MSTG-STORAGE-12)</v>
      </c>
      <c r="I29" s="80"/>
      <c r="J29" s="80"/>
      <c r="K29" s="112"/>
    </row>
    <row r="30" spans="2:11">
      <c r="B30" s="75" t="s">
        <v>228</v>
      </c>
      <c r="C30" s="76" t="s">
        <v>231</v>
      </c>
      <c r="D30" s="37" t="s">
        <v>335</v>
      </c>
      <c r="E30" s="80"/>
      <c r="F30" s="78" t="s">
        <v>15</v>
      </c>
      <c r="G30" s="111" t="s">
        <v>24</v>
      </c>
      <c r="H30" s="86"/>
      <c r="I30" s="80"/>
      <c r="J30" s="80"/>
      <c r="K30" s="112"/>
    </row>
    <row r="31" spans="2:11">
      <c r="B31" s="75" t="s">
        <v>229</v>
      </c>
      <c r="C31" s="76" t="s">
        <v>232</v>
      </c>
      <c r="D31" s="37" t="s">
        <v>336</v>
      </c>
      <c r="E31" s="80"/>
      <c r="F31" s="78" t="s">
        <v>15</v>
      </c>
      <c r="G31" s="111" t="s">
        <v>24</v>
      </c>
      <c r="H31" s="86"/>
      <c r="I31" s="80"/>
      <c r="J31" s="80"/>
      <c r="K31" s="112"/>
    </row>
    <row r="32" spans="2:11">
      <c r="B32" s="75" t="s">
        <v>230</v>
      </c>
      <c r="C32" s="76" t="s">
        <v>233</v>
      </c>
      <c r="D32" s="37" t="s">
        <v>337</v>
      </c>
      <c r="E32" s="80"/>
      <c r="F32" s="78" t="s">
        <v>15</v>
      </c>
      <c r="G32" s="111" t="s">
        <v>24</v>
      </c>
      <c r="H32" s="86"/>
      <c r="I32" s="80"/>
      <c r="J32" s="80"/>
      <c r="K32" s="112"/>
    </row>
    <row r="33" spans="2:13">
      <c r="B33" s="81" t="s">
        <v>60</v>
      </c>
      <c r="C33" s="82"/>
      <c r="D33" s="38" t="s">
        <v>378</v>
      </c>
      <c r="E33" s="83"/>
      <c r="F33" s="84"/>
      <c r="G33" s="83"/>
      <c r="H33" s="83"/>
      <c r="I33" s="83"/>
      <c r="J33" s="83"/>
      <c r="K33" s="40"/>
    </row>
    <row r="34" spans="2:13">
      <c r="B34" s="75" t="s">
        <v>61</v>
      </c>
      <c r="C34" s="76" t="s">
        <v>62</v>
      </c>
      <c r="D34" s="44" t="s">
        <v>390</v>
      </c>
      <c r="E34" s="77" t="s">
        <v>15</v>
      </c>
      <c r="F34" s="78" t="s">
        <v>15</v>
      </c>
      <c r="G34" s="111"/>
      <c r="H34" s="119" t="str">
        <f>HYPERLINK(CONCATENATE(BASE_URL,"0x05e-Testing-Cryptography.md#testing-key-management-mstg-storage-1-mstg-crypto-1-and-mstg-crypto-5"),"检测密钥管理 (MSTG-STORAGE-1, MSTG-CRYPTO-1 and MSTG-CRYPTO-5)")</f>
        <v>检测密钥管理 (MSTG-STORAGE-1, MSTG-CRYPTO-1 and MSTG-CRYPTO-5)</v>
      </c>
      <c r="I34" s="119" t="str">
        <f>HYPERLINK(CONCATENATE(BASE_URL,"0x04g-Testing-Cryptography.md#common-configuration-issues-mstg-crypto-1-mstg-crypto-2-and-mstg-crypto-3"),"检测标准加密算法配置 (MSTG-CRYPTO-1, MSTG-CRYPTO-2 and MSTG-CRYPTO-3)")</f>
        <v>检测标准加密算法配置 (MSTG-CRYPTO-1, MSTG-CRYPTO-2 and MSTG-CRYPTO-3)</v>
      </c>
      <c r="J34" s="80"/>
      <c r="K34" s="112"/>
    </row>
    <row r="35" spans="2:13">
      <c r="B35" s="75" t="s">
        <v>63</v>
      </c>
      <c r="C35" s="76" t="s">
        <v>64</v>
      </c>
      <c r="D35" s="44" t="s">
        <v>338</v>
      </c>
      <c r="E35" s="77" t="s">
        <v>15</v>
      </c>
      <c r="F35" s="78" t="s">
        <v>15</v>
      </c>
      <c r="G35" s="111"/>
      <c r="H35" s="119" t="str">
        <f>HYPERLINK(CONCATENATE(BASE_URL,"0x04g-Testing-Cryptography.md#common-configuration-issues-mstg-crypto-1-mstg-crypto-2-and-mstg-crypto-3"),"检测标准加密算法配置(MSTG-CRYPTO-1, MSTG-CRYPTO-2 and MSTG-CRYPTO-3)")</f>
        <v>检测标准加密算法配置(MSTG-CRYPTO-1, MSTG-CRYPTO-2 and MSTG-CRYPTO-3)</v>
      </c>
      <c r="I35" s="119" t="str">
        <f>HYPERLINK(CONCATENATE(BASE_URL,"0x05e-Testing-Cryptography.md#testing-the-configuration-of-cryptographic-standard-algorithms-mstg-crypto-2-mstg-crypto-3-and-mstg-crypto-4"),"检测标准加密算法配置 (MSTG-CRYPTO-2, MSTG-CRYPTO-3 and MSTG-CRYPTO-4)")</f>
        <v>检测标准加密算法配置 (MSTG-CRYPTO-2, MSTG-CRYPTO-3 and MSTG-CRYPTO-4)</v>
      </c>
      <c r="J35" s="80"/>
      <c r="K35" s="112"/>
    </row>
    <row r="36" spans="2:13">
      <c r="B36" s="75" t="s">
        <v>65</v>
      </c>
      <c r="C36" s="76" t="s">
        <v>66</v>
      </c>
      <c r="D36" s="37" t="s">
        <v>391</v>
      </c>
      <c r="E36" s="77" t="s">
        <v>15</v>
      </c>
      <c r="F36" s="78" t="s">
        <v>15</v>
      </c>
      <c r="G36" s="111"/>
      <c r="H36" s="119" t="str">
        <f>HYPERLINK(CONCATENATE(BASE_URL,"0x05e-Testing-Cryptography.md#testing-the-configuration-of-cryptographic-standard-algorithms-mstg-crypto-2-mstg-crypto-3-and-mstg-crypto-4"),"检测标准加密算法配置 (MSTG-CRYPTO-2, MSTG-CRYPTO-3 and MSTG-CRYPTO-4)")</f>
        <v>检测标准加密算法配置 (MSTG-CRYPTO-2, MSTG-CRYPTO-3 and MSTG-CRYPTO-4)</v>
      </c>
      <c r="I36" s="119" t="str">
        <f>HYPERLINK(CONCATENATE(BASE_URL,"0x04g-Testing-Cryptography.md#common-configuration-issues-mstg-crypto-1-mstg-crypto-2-and-mstg-crypto-3"),"检测标准加密算法配置 (MSTG-CRYPTO-1, MSTG-CRYPTO-2 and MSTG-CRYPTO-3)")</f>
        <v>检测标准加密算法配置 (MSTG-CRYPTO-1, MSTG-CRYPTO-2 and MSTG-CRYPTO-3)</v>
      </c>
      <c r="J36" s="80"/>
      <c r="K36" s="112"/>
    </row>
    <row r="37" spans="2:13">
      <c r="B37" s="75" t="s">
        <v>67</v>
      </c>
      <c r="C37" s="76" t="s">
        <v>68</v>
      </c>
      <c r="D37" s="44" t="s">
        <v>344</v>
      </c>
      <c r="E37" s="77" t="s">
        <v>15</v>
      </c>
      <c r="F37" s="78" t="s">
        <v>15</v>
      </c>
      <c r="G37" s="111"/>
      <c r="H37" s="119" t="str">
        <f>HYPERLINK(CONCATENATE(BASE_URL,"0x04g-Testing-Cryptography.md#identifying-insecure-andor-deprecated-cryptographic-algorithms-mstg-crypto-4"),"不安全的标识 和/或 废弃的加密算法 (MSTG-CRYPTO-4)")</f>
        <v>不安全的标识 和/或 废弃的加密算法 (MSTG-CRYPTO-4)</v>
      </c>
      <c r="I37" s="119" t="str">
        <f>HYPERLINK(CONCATENATE(BASE_URL,"0x05e-Testing-Cryptography.md#testing-the-configuration-of-cryptographic-standard-algorithms-mstg-crypto-2-mstg-crypto-3-and-mstg-crypto-4"),"检测标准加密算法配置(MSTG-CRYPTO-2, MSTG-CRYPTO-3 and MSTG-CRYPTO-4)")</f>
        <v>检测标准加密算法配置(MSTG-CRYPTO-2, MSTG-CRYPTO-3 and MSTG-CRYPTO-4)</v>
      </c>
      <c r="J37" s="80"/>
      <c r="K37" s="112"/>
    </row>
    <row r="38" spans="2:13">
      <c r="B38" s="75" t="s">
        <v>69</v>
      </c>
      <c r="C38" s="76" t="s">
        <v>70</v>
      </c>
      <c r="D38" s="44" t="s">
        <v>345</v>
      </c>
      <c r="E38" s="77" t="s">
        <v>15</v>
      </c>
      <c r="F38" s="78" t="s">
        <v>15</v>
      </c>
      <c r="G38" s="111"/>
      <c r="H38" s="119" t="str">
        <f>HYPERLINK(CONCATENATE(BASE_URL,"0x05e-Testing-Cryptography.md#testing-key-management-mstg-storage-1-mstg-crypto-1-and-mstg-crypto-5"),"检测密钥管理 (MSTG-STORAGE-1, MSTG-CRYPTO-1 and MSTG-CRYPTO-5)")</f>
        <v>检测密钥管理 (MSTG-STORAGE-1, MSTG-CRYPTO-1 and MSTG-CRYPTO-5)</v>
      </c>
      <c r="I38" s="80"/>
      <c r="J38" s="80"/>
      <c r="K38" s="112"/>
    </row>
    <row r="39" spans="2:13">
      <c r="B39" s="75" t="s">
        <v>71</v>
      </c>
      <c r="C39" s="76" t="s">
        <v>72</v>
      </c>
      <c r="D39" s="44" t="s">
        <v>339</v>
      </c>
      <c r="E39" s="77" t="s">
        <v>15</v>
      </c>
      <c r="F39" s="78" t="s">
        <v>15</v>
      </c>
      <c r="G39" s="111"/>
      <c r="H39" s="119" t="str">
        <f>HYPERLINK(CONCATENATE(BASE_URL,"0x05e-Testing-Cryptography.md#testing-random-number-generation-mstg-crypto-6"),"检测随机数生成器  (MSTG-CRYPTO-6)")</f>
        <v>检测随机数生成器  (MSTG-CRYPTO-6)</v>
      </c>
      <c r="I39" s="80"/>
      <c r="J39" s="80"/>
      <c r="K39" s="112"/>
    </row>
    <row r="40" spans="2:13">
      <c r="B40" s="81" t="s">
        <v>73</v>
      </c>
      <c r="C40" s="82"/>
      <c r="D40" s="38" t="s">
        <v>276</v>
      </c>
      <c r="E40" s="83"/>
      <c r="F40" s="84"/>
      <c r="G40" s="83"/>
      <c r="H40" s="83"/>
      <c r="I40" s="83"/>
      <c r="J40" s="83"/>
      <c r="K40" s="40"/>
    </row>
    <row r="41" spans="2:13">
      <c r="B41" s="75" t="s">
        <v>74</v>
      </c>
      <c r="C41" s="76" t="s">
        <v>75</v>
      </c>
      <c r="D41" s="41" t="s">
        <v>340</v>
      </c>
      <c r="E41" s="77" t="s">
        <v>15</v>
      </c>
      <c r="F41" s="78" t="s">
        <v>15</v>
      </c>
      <c r="G41" s="111"/>
      <c r="H41" s="119" t="str">
        <f>HYPERLINK(CONCATENATE(BASE_URL,"0x05f-Testing-Local-Authentication.md#testing-confirm-credentials-mstg-auth-1-and-mstg-storage-11"),"检测确权机制(MSTG-AUTH-1 and MSTG-STORAGE-11)")</f>
        <v>检测确权机制(MSTG-AUTH-1 and MSTG-STORAGE-11)</v>
      </c>
      <c r="I41" s="119" t="str">
        <f>HYPERLINK(CONCATENATE(BASE_URL,"0x04e-Testing-Authentication-and-Session-Management.md#verifying-that-appropriate-authentication-is-in-place-mstg-arch-2-and-mstg-auth-1"),"校验确权应答机制 (MSTG-ARCH-2 and MSTG-AUTH-1)")</f>
        <v>校验确权应答机制 (MSTG-ARCH-2 and MSTG-AUTH-1)</v>
      </c>
      <c r="J41" s="119" t="str">
        <f>HYPERLINK(CONCATENATE(BASE_URL,"0x04e-Testing-Authentication-and-Session-Management.md#testing-oauth-20-flows-mstg-auth-1-and-mstg-auth-3"),"检测OAuth 2.0 流程(MSTG-AUTH-1 and MSTG-AUTH-3)")</f>
        <v>检测OAuth 2.0 流程(MSTG-AUTH-1 and MSTG-AUTH-3)</v>
      </c>
      <c r="K41" s="112"/>
    </row>
    <row r="42" spans="2:13">
      <c r="B42" s="75" t="s">
        <v>76</v>
      </c>
      <c r="C42" s="76" t="s">
        <v>77</v>
      </c>
      <c r="D42" s="41" t="s">
        <v>341</v>
      </c>
      <c r="E42" s="77" t="s">
        <v>15</v>
      </c>
      <c r="F42" s="78" t="s">
        <v>15</v>
      </c>
      <c r="G42" s="111"/>
      <c r="H42" s="119" t="str">
        <f>HYPERLINK(CONCATENATE(BASE_URL,"0x04e-Testing-Authentication-and-Session-Management.md#testing-stateful-session-management-mstg-auth-2"),"检测会话状态管理 (MSTG-AUTH-2)")</f>
        <v>检测会话状态管理 (MSTG-AUTH-2)</v>
      </c>
      <c r="I42" s="80"/>
      <c r="J42" s="80"/>
      <c r="K42" s="112"/>
    </row>
    <row r="43" spans="2:13">
      <c r="B43" s="75" t="s">
        <v>78</v>
      </c>
      <c r="C43" s="76" t="s">
        <v>79</v>
      </c>
      <c r="D43" s="41" t="s">
        <v>342</v>
      </c>
      <c r="E43" s="77" t="s">
        <v>15</v>
      </c>
      <c r="F43" s="78" t="s">
        <v>15</v>
      </c>
      <c r="G43" s="111"/>
      <c r="H43" s="119" t="str">
        <f>HYPERLINK(CONCATENATE(BASE_URL,"0x04e-Testing-Authentication-and-Session-Management.md#testing-stateless-token-based-authentication-mstg-auth-3"),"检测基于Token的确权机制(MSTG-AUTH-3)")</f>
        <v>检测基于Token的确权机制(MSTG-AUTH-3)</v>
      </c>
      <c r="I43" s="119" t="str">
        <f>HYPERLINK(CONCATENATE(BASE_URL,"0x04e-Testing-Authentication-and-Session-Management.md#testing-oauth-20-flows-mstg-auth-1-and-mstg-auth-3"),"检测 OAuth 2.0 流程 (MSTG-AUTH-1 and MSTG-AUTH-3)")</f>
        <v>检测 OAuth 2.0 流程 (MSTG-AUTH-1 and MSTG-AUTH-3)</v>
      </c>
      <c r="J43" s="80"/>
      <c r="K43" s="112"/>
      <c r="M43" s="87"/>
    </row>
    <row r="44" spans="2:13">
      <c r="B44" s="75" t="s">
        <v>80</v>
      </c>
      <c r="C44" s="76" t="s">
        <v>81</v>
      </c>
      <c r="D44" s="41" t="s">
        <v>343</v>
      </c>
      <c r="E44" s="77"/>
      <c r="F44" s="78"/>
      <c r="G44" s="111"/>
      <c r="H44" s="119" t="str">
        <f>HYPERLINK(CONCATENATE(BASE_URL,"0x04e-Testing-Authentication-and-Session-Management.md#testing-user-logout-mstg-auth-4"),"检测用户登出 (MSTG-AUTH-4)")</f>
        <v>检测用户登出 (MSTG-AUTH-4)</v>
      </c>
      <c r="I44" s="80"/>
      <c r="J44" s="80"/>
      <c r="K44" s="112"/>
      <c r="M44" s="87"/>
    </row>
    <row r="45" spans="2:13">
      <c r="B45" s="75" t="s">
        <v>82</v>
      </c>
      <c r="C45" s="76" t="s">
        <v>83</v>
      </c>
      <c r="D45" s="41" t="s">
        <v>346</v>
      </c>
      <c r="E45" s="77" t="s">
        <v>15</v>
      </c>
      <c r="F45" s="78" t="s">
        <v>15</v>
      </c>
      <c r="G45" s="111"/>
      <c r="H45" s="119" t="str">
        <f>HYPERLINK(CONCATENATE(BASE_URL,"0x04e-Testing-Authentication-and-Session-Management.md#testing-best-practices-for-passwords-mstg-auth-5-and-mstg-auth-6"),"检测密码最佳实践 (MSTG-AUTH-5 and MSTG-AUTH-6)")</f>
        <v>检测密码最佳实践 (MSTG-AUTH-5 and MSTG-AUTH-6)</v>
      </c>
      <c r="I45" s="80"/>
      <c r="J45" s="80"/>
      <c r="K45" s="112"/>
    </row>
    <row r="46" spans="2:13">
      <c r="B46" s="75" t="s">
        <v>84</v>
      </c>
      <c r="C46" s="76" t="s">
        <v>85</v>
      </c>
      <c r="D46" s="41" t="s">
        <v>348</v>
      </c>
      <c r="E46" s="77" t="s">
        <v>15</v>
      </c>
      <c r="F46" s="78" t="s">
        <v>15</v>
      </c>
      <c r="G46" s="111"/>
      <c r="H46" s="119" t="str">
        <f>HYPERLINK(CONCATENATE(BASE_URL,"0x04e-Testing-Authentication-and-Session-Management.md#testing-best-practices-for-passwords-mstg-auth-5-and-mstg-auth-6"),"检测密码最佳实践 (MSTG-AUTH-5 and MSTG-AUTH-6)")</f>
        <v>检测密码最佳实践 (MSTG-AUTH-5 and MSTG-AUTH-6)</v>
      </c>
      <c r="I46" s="119" t="str">
        <f>HYPERLINK(CONCATENATE(BASE_URL,"0x04e-Testing-Authentication-and-Session-Management.md#dynamic-testing-mstg-auth-6"),"动态检测 (MSTG-AUTH-6)")</f>
        <v>动态检测 (MSTG-AUTH-6)</v>
      </c>
      <c r="J46" s="80"/>
      <c r="K46" s="112"/>
    </row>
    <row r="47" spans="2:13">
      <c r="B47" s="75" t="s">
        <v>86</v>
      </c>
      <c r="C47" s="76" t="s">
        <v>87</v>
      </c>
      <c r="D47" s="41" t="s">
        <v>347</v>
      </c>
      <c r="E47" s="77" t="s">
        <v>15</v>
      </c>
      <c r="F47" s="78" t="s">
        <v>15</v>
      </c>
      <c r="G47" s="111"/>
      <c r="H47" s="119" t="str">
        <f>HYPERLINK(CONCATENATE(BASE_URL,"0x04e-Testing-Authentication-and-Session-Management.md#testing-session-timeout-mstg-auth-7"),"检测会话超时 (MSTG-AUTH-7)")</f>
        <v>检测会话超时 (MSTG-AUTH-7)</v>
      </c>
      <c r="I47" s="87"/>
      <c r="J47" s="87"/>
      <c r="K47" s="114"/>
    </row>
    <row r="48" spans="2:13">
      <c r="B48" s="75" t="s">
        <v>88</v>
      </c>
      <c r="C48" s="76" t="s">
        <v>89</v>
      </c>
      <c r="D48" s="41" t="s">
        <v>349</v>
      </c>
      <c r="E48" s="80"/>
      <c r="F48" s="78" t="s">
        <v>15</v>
      </c>
      <c r="G48" s="111" t="s">
        <v>24</v>
      </c>
      <c r="H48" s="119" t="str">
        <f>HYPERLINK(CONCATENATE(BASE_URL,"0x05f-Testing-Local-Authentication.md#testing-biometric-authentication-mstg-auth-8"),"检测生物特征认证 (MSTG-AUTH-8)")</f>
        <v>检测生物特征认证 (MSTG-AUTH-8)</v>
      </c>
      <c r="I48" s="80"/>
      <c r="J48" s="80"/>
      <c r="K48" s="112"/>
    </row>
    <row r="49" spans="2:11">
      <c r="B49" s="75" t="s">
        <v>90</v>
      </c>
      <c r="C49" s="76" t="s">
        <v>91</v>
      </c>
      <c r="D49" s="41" t="s">
        <v>350</v>
      </c>
      <c r="E49" s="80"/>
      <c r="F49" s="78" t="s">
        <v>15</v>
      </c>
      <c r="G49" s="111" t="s">
        <v>24</v>
      </c>
      <c r="H49" s="119" t="str">
        <f>HYPERLINK(CONCATENATE(BASE_URL,"0x04e-Testing-Authentication-and-Session-Management.md#testing-two-factor-authentication-and-step-up-authentication-mstg-auth-9-and-mstg-auth-10"),"检测两步验证机制 (MSTG-AUTH-9 and MSTG-AUTH-10)")</f>
        <v>检测两步验证机制 (MSTG-AUTH-9 and MSTG-AUTH-10)</v>
      </c>
      <c r="I49" s="80"/>
      <c r="J49" s="80"/>
      <c r="K49" s="112"/>
    </row>
    <row r="50" spans="2:11">
      <c r="B50" s="75" t="s">
        <v>92</v>
      </c>
      <c r="C50" s="76" t="s">
        <v>93</v>
      </c>
      <c r="D50" s="41" t="s">
        <v>351</v>
      </c>
      <c r="E50" s="80"/>
      <c r="F50" s="78" t="s">
        <v>15</v>
      </c>
      <c r="G50" s="111" t="s">
        <v>24</v>
      </c>
      <c r="H50" s="119" t="str">
        <f>HYPERLINK(CONCATENATE(BASE_URL,"0x04e-Testing-Authentication-and-Session-Management.md#testing-two-factor-authentication-and-step-up-authentication-mstg-auth-9-and-mstg-auth-10"),"检测两步验证机制(MSTG-AUTH-9 and MSTG-AUTH-10)")</f>
        <v>检测两步验证机制(MSTG-AUTH-9 and MSTG-AUTH-10)</v>
      </c>
      <c r="I50" s="80"/>
      <c r="J50" s="80"/>
      <c r="K50" s="112"/>
    </row>
    <row r="51" spans="2:11" ht="32">
      <c r="B51" s="75" t="s">
        <v>94</v>
      </c>
      <c r="C51" s="76" t="s">
        <v>95</v>
      </c>
      <c r="D51" s="41" t="s">
        <v>352</v>
      </c>
      <c r="E51" s="80"/>
      <c r="F51" s="78" t="s">
        <v>15</v>
      </c>
      <c r="G51" s="111" t="s">
        <v>24</v>
      </c>
      <c r="H51" s="119" t="str">
        <f>HYPERLINK(CONCATENATE(BASE_URL,"0x04e-Testing-Authentication-and-Session-Management.md#testing-login-activity-and-device-blocking-mstg-auth-11"),"检测登录和设备屏蔽行为 (MSTG-AUTH-11)")</f>
        <v>检测登录和设备屏蔽行为 (MSTG-AUTH-11)</v>
      </c>
      <c r="I51" s="80"/>
      <c r="J51" s="80"/>
      <c r="K51" s="112"/>
    </row>
    <row r="52" spans="2:11">
      <c r="B52" s="75" t="s">
        <v>234</v>
      </c>
      <c r="C52" s="76" t="s">
        <v>235</v>
      </c>
      <c r="D52" s="41" t="s">
        <v>353</v>
      </c>
      <c r="E52" s="77" t="s">
        <v>15</v>
      </c>
      <c r="F52" s="78" t="s">
        <v>15</v>
      </c>
      <c r="G52" s="111"/>
      <c r="H52" s="88"/>
      <c r="I52" s="80"/>
      <c r="J52" s="80"/>
      <c r="K52" s="112"/>
    </row>
    <row r="53" spans="2:11">
      <c r="B53" s="81" t="s">
        <v>96</v>
      </c>
      <c r="C53" s="82"/>
      <c r="D53" s="38" t="s">
        <v>277</v>
      </c>
      <c r="E53" s="83"/>
      <c r="F53" s="84"/>
      <c r="G53" s="83"/>
      <c r="H53" s="83"/>
      <c r="I53" s="83"/>
      <c r="J53" s="83"/>
      <c r="K53" s="40"/>
    </row>
    <row r="54" spans="2:11">
      <c r="B54" s="75" t="s">
        <v>97</v>
      </c>
      <c r="C54" s="76" t="s">
        <v>98</v>
      </c>
      <c r="D54" s="44" t="s">
        <v>392</v>
      </c>
      <c r="E54" s="77" t="s">
        <v>15</v>
      </c>
      <c r="F54" s="78" t="s">
        <v>15</v>
      </c>
      <c r="G54" s="111"/>
      <c r="H54" s="119" t="str">
        <f>HYPERLINK(CONCATENATE(BASE_URL,"0x04f-Testing-Network-Communication.md#verifying-data-encryption-on-the-network-mstg-network-1-and-mstg-network-2"),"检测网络中的加密数据 (MSTG-NETWORK-1 and MSTG-NETWORK-2)")</f>
        <v>检测网络中的加密数据 (MSTG-NETWORK-1 and MSTG-NETWORK-2)</v>
      </c>
      <c r="I54" s="80"/>
      <c r="J54" s="80"/>
      <c r="K54" s="112"/>
    </row>
    <row r="55" spans="2:11">
      <c r="B55" s="75" t="s">
        <v>99</v>
      </c>
      <c r="C55" s="76" t="s">
        <v>100</v>
      </c>
      <c r="D55" s="41" t="s">
        <v>354</v>
      </c>
      <c r="E55" s="77" t="s">
        <v>15</v>
      </c>
      <c r="F55" s="78" t="s">
        <v>15</v>
      </c>
      <c r="G55" s="111"/>
      <c r="H55" s="119" t="str">
        <f>HYPERLINK(CONCATENATE(BASE_URL,"0x04f-Testing-Network-Communication.md#verifying-data-encryption-on-the-network-mstg-network-1-and-mstg-network-2"),"检测网络中的加密数据 (MSTG-NETWORK-1 and MSTG-NETWORK-2)")</f>
        <v>检测网络中的加密数据 (MSTG-NETWORK-1 and MSTG-NETWORK-2)</v>
      </c>
      <c r="I55" s="80"/>
      <c r="J55" s="80"/>
      <c r="K55" s="112"/>
    </row>
    <row r="56" spans="2:11">
      <c r="B56" s="75" t="s">
        <v>101</v>
      </c>
      <c r="C56" s="76" t="s">
        <v>102</v>
      </c>
      <c r="D56" s="41" t="s">
        <v>355</v>
      </c>
      <c r="E56" s="77" t="s">
        <v>15</v>
      </c>
      <c r="F56" s="78" t="s">
        <v>15</v>
      </c>
      <c r="G56" s="111"/>
      <c r="H56" s="119" t="str">
        <f>HYPERLINK(CONCATENATE(BASE_URL,"0x05g-Testing-Network-Communication.md#testing-endpoint-identify-verification-mstg-network-3"),"检测服务端网络安全(MSTG-NETWORK-3)")</f>
        <v>检测服务端网络安全(MSTG-NETWORK-3)</v>
      </c>
      <c r="I56" s="85"/>
      <c r="J56" s="85"/>
      <c r="K56" s="115"/>
    </row>
    <row r="57" spans="2:11">
      <c r="B57" s="75" t="s">
        <v>103</v>
      </c>
      <c r="C57" s="76" t="s">
        <v>104</v>
      </c>
      <c r="D57" s="41" t="s">
        <v>356</v>
      </c>
      <c r="E57" s="80"/>
      <c r="F57" s="78" t="s">
        <v>15</v>
      </c>
      <c r="G57" s="111" t="s">
        <v>24</v>
      </c>
      <c r="H57" s="119" t="str">
        <f>HYPERLINK(CONCATENATE(BASE_URL,"0x05g-Testing-Network-Communication.md#testing-custom-certificate-stores-and-certificate-pinning-mstg-network-4"),"检测自定义证书校验 (MSTG-NETWORK-4)")</f>
        <v>检测自定义证书校验 (MSTG-NETWORK-4)</v>
      </c>
      <c r="I57" s="119" t="str">
        <f>HYPERLINK(CONCATENATE(BASE_URL,"0x05g-Testing-Network-Communication.md#testing-the-network-security-configuration-settings-mstg-network-4"),"检测网络安全配置设定(MSTG-NETWORK-4)")</f>
        <v>检测网络安全配置设定(MSTG-NETWORK-4)</v>
      </c>
      <c r="J57" s="80"/>
      <c r="K57" s="112"/>
    </row>
    <row r="58" spans="2:11">
      <c r="B58" s="75" t="s">
        <v>105</v>
      </c>
      <c r="C58" s="76" t="s">
        <v>106</v>
      </c>
      <c r="D58" s="41" t="s">
        <v>357</v>
      </c>
      <c r="E58" s="80"/>
      <c r="F58" s="78" t="s">
        <v>15</v>
      </c>
      <c r="G58" s="111" t="s">
        <v>24</v>
      </c>
      <c r="H58" s="119" t="str">
        <f>HYPERLINK(CONCATENATE(BASE_URL,"0x04f-Testing-Network-Communication.md#making-sure-that-critical-operations-use-secure-communication-channels-mstg-network-5"),"确认关键操作使用了安全的验证方式 (MSTG-NETWORK-5)")</f>
        <v>确认关键操作使用了安全的验证方式 (MSTG-NETWORK-5)</v>
      </c>
      <c r="I58" s="80"/>
      <c r="J58" s="80"/>
      <c r="K58" s="112"/>
    </row>
    <row r="59" spans="2:11">
      <c r="B59" s="75" t="s">
        <v>107</v>
      </c>
      <c r="C59" s="76" t="s">
        <v>108</v>
      </c>
      <c r="D59" s="41" t="s">
        <v>358</v>
      </c>
      <c r="E59" s="80"/>
      <c r="F59" s="78" t="s">
        <v>15</v>
      </c>
      <c r="G59" s="111" t="s">
        <v>24</v>
      </c>
      <c r="H59" s="119" t="str">
        <f>HYPERLINK(CONCATENATE(BASE_URL,"0x05g-Testing-Network-Communication.md#testing-the-security-provider-mstg-network-6"),"检测网络安全 (MSTG-NETWORK-6)")</f>
        <v>检测网络安全 (MSTG-NETWORK-6)</v>
      </c>
      <c r="I59" s="80"/>
      <c r="J59" s="80"/>
      <c r="K59" s="112"/>
    </row>
    <row r="60" spans="2:11">
      <c r="B60" s="81" t="s">
        <v>109</v>
      </c>
      <c r="C60" s="82"/>
      <c r="D60" s="38" t="s">
        <v>278</v>
      </c>
      <c r="E60" s="83"/>
      <c r="F60" s="84"/>
      <c r="G60" s="83"/>
      <c r="H60" s="83"/>
      <c r="I60" s="83"/>
      <c r="J60" s="83"/>
      <c r="K60" s="40"/>
    </row>
    <row r="61" spans="2:11">
      <c r="B61" s="75" t="s">
        <v>110</v>
      </c>
      <c r="C61" s="76" t="s">
        <v>111</v>
      </c>
      <c r="D61" s="44" t="s">
        <v>359</v>
      </c>
      <c r="E61" s="77" t="s">
        <v>15</v>
      </c>
      <c r="F61" s="78" t="s">
        <v>15</v>
      </c>
      <c r="G61" s="111"/>
      <c r="H61" s="119" t="str">
        <f>HYPERLINK(CONCATENATE(BASE_URL,"0x05h-Testing-Platform-Interaction.md#testing-app-permissions-mstg-platform-1"),"检测应用权限 (MSTG-PLATFORM-1)")</f>
        <v>检测应用权限 (MSTG-PLATFORM-1)</v>
      </c>
      <c r="I61" s="80"/>
      <c r="J61" s="80"/>
      <c r="K61" s="112"/>
    </row>
    <row r="62" spans="2:11" ht="32">
      <c r="B62" s="75" t="s">
        <v>112</v>
      </c>
      <c r="C62" s="76" t="s">
        <v>113</v>
      </c>
      <c r="D62" s="41" t="s">
        <v>393</v>
      </c>
      <c r="E62" s="77" t="s">
        <v>15</v>
      </c>
      <c r="F62" s="78" t="s">
        <v>15</v>
      </c>
      <c r="G62" s="111"/>
      <c r="H62" s="119" t="str">
        <f>HYPERLINK(CONCATENATE(BASE_URL,"0x04h-Testing-Code-Quality.md#testing-for-injection-flaws-mstg-platform-2"),"检测注入风险(MSTG-PLATFORM-2)")</f>
        <v>检测注入风险(MSTG-PLATFORM-2)</v>
      </c>
      <c r="I62" s="119" t="str">
        <f>HYPERLINK(CONCATENATE(BASE_URL,"0x04h-Testing-Code-Quality.md#testing-for-fragment-injection-mstg-platform-2"),"检测注入缺陷 (MSTG-PLATFORM-2)")</f>
        <v>检测注入缺陷 (MSTG-PLATFORM-2)</v>
      </c>
      <c r="J62" s="80"/>
      <c r="K62" s="112"/>
    </row>
    <row r="63" spans="2:11">
      <c r="B63" s="75" t="s">
        <v>114</v>
      </c>
      <c r="C63" s="76" t="s">
        <v>115</v>
      </c>
      <c r="D63" s="44" t="s">
        <v>395</v>
      </c>
      <c r="E63" s="77" t="s">
        <v>15</v>
      </c>
      <c r="F63" s="78" t="s">
        <v>15</v>
      </c>
      <c r="G63" s="111"/>
      <c r="H63" s="119" t="str">
        <f>HYPERLINK(CONCATENATE(BASE_URL,"0x05h-Testing-Platform-Interaction.md#testing-custom-url-schemes-mstg-platform-3"),"检测自定义 URL Schemes (MSTG-PLATFORM-3)")</f>
        <v>检测自定义 URL Schemes (MSTG-PLATFORM-3)</v>
      </c>
      <c r="I63" s="80"/>
      <c r="J63" s="80"/>
      <c r="K63" s="112"/>
    </row>
    <row r="64" spans="2:11">
      <c r="B64" s="75" t="s">
        <v>116</v>
      </c>
      <c r="C64" s="76" t="s">
        <v>117</v>
      </c>
      <c r="D64" s="44" t="s">
        <v>394</v>
      </c>
      <c r="E64" s="77" t="s">
        <v>15</v>
      </c>
      <c r="F64" s="78" t="s">
        <v>15</v>
      </c>
      <c r="G64" s="111"/>
      <c r="H64" s="119" t="str">
        <f>HYPERLINK(CONCATENATE(BASE_URL,"0x05h-Testing-Platform-Interaction.md#testing-for-sensitive-functionality-exposure-through-ipc-mstg-platform-4"),"检测IPC机制安全 (MSTG-PLATFORM-4)")</f>
        <v>检测IPC机制安全 (MSTG-PLATFORM-4)</v>
      </c>
      <c r="I64" s="80"/>
      <c r="J64" s="80"/>
      <c r="K64" s="112"/>
    </row>
    <row r="65" spans="2:12">
      <c r="B65" s="75" t="s">
        <v>118</v>
      </c>
      <c r="C65" s="76" t="s">
        <v>119</v>
      </c>
      <c r="D65" s="44" t="s">
        <v>360</v>
      </c>
      <c r="E65" s="77" t="s">
        <v>15</v>
      </c>
      <c r="F65" s="78" t="s">
        <v>15</v>
      </c>
      <c r="G65" s="111"/>
      <c r="H65" s="119" t="str">
        <f>HYPERLINK(CONCATENATE(BASE_URL,"0x05h-Testing-Platform-Interaction.md#testing-javascript-execution-in-webviews-mstg-platform-5"),"检测Webview的JS执行 (MSTG-PLATFORM-5)")</f>
        <v>检测Webview的JS执行 (MSTG-PLATFORM-5)</v>
      </c>
      <c r="I65" s="80"/>
      <c r="J65" s="80"/>
      <c r="K65" s="112"/>
    </row>
    <row r="66" spans="2:12">
      <c r="B66" s="75" t="s">
        <v>120</v>
      </c>
      <c r="C66" s="76" t="s">
        <v>121</v>
      </c>
      <c r="D66" s="41" t="s">
        <v>361</v>
      </c>
      <c r="E66" s="77" t="s">
        <v>15</v>
      </c>
      <c r="F66" s="78" t="s">
        <v>15</v>
      </c>
      <c r="G66" s="111"/>
      <c r="H66" s="119" t="str">
        <f>HYPERLINK(CONCATENATE(BASE_URL,"0x05h-Testing-Platform-Interaction.md#testing-webview-protocol-handlers-mstg-platform-6"),"检测Webview协议处理 (MSTG-PLATFORM-6)")</f>
        <v>检测Webview协议处理 (MSTG-PLATFORM-6)</v>
      </c>
      <c r="I66" s="80"/>
      <c r="J66" s="80"/>
      <c r="K66" s="112"/>
    </row>
    <row r="67" spans="2:12">
      <c r="B67" s="75" t="s">
        <v>122</v>
      </c>
      <c r="C67" s="76" t="s">
        <v>123</v>
      </c>
      <c r="D67" s="41" t="s">
        <v>362</v>
      </c>
      <c r="E67" s="77" t="s">
        <v>15</v>
      </c>
      <c r="F67" s="78" t="s">
        <v>15</v>
      </c>
      <c r="G67" s="111"/>
      <c r="H67" s="119" t="str">
        <f>HYPERLINK(CONCATENATE(BASE_URL,"0x05h-Testing-Platform-Interaction.md#determining-whether-java-objects-are-exposed-through-webviews-mstg-platform-7"),"检测通过Webview可以调用的Java对象 (MSTG-PLATFORM-7)")</f>
        <v>检测通过Webview可以调用的Java对象 (MSTG-PLATFORM-7)</v>
      </c>
      <c r="I67" s="80"/>
      <c r="J67" s="80"/>
      <c r="K67" s="112"/>
    </row>
    <row r="68" spans="2:12">
      <c r="B68" s="75" t="s">
        <v>124</v>
      </c>
      <c r="C68" s="76" t="s">
        <v>125</v>
      </c>
      <c r="D68" s="44" t="s">
        <v>363</v>
      </c>
      <c r="E68" s="77" t="s">
        <v>15</v>
      </c>
      <c r="F68" s="78" t="s">
        <v>15</v>
      </c>
      <c r="G68" s="111"/>
      <c r="H68" s="119" t="str">
        <f>HYPERLINK(CONCATENATE(BASE_URL,"0x05h-Testing-Platform-Interaction.md#testing-object-persistence-mstg-platform-8"),"检测对象持久化 (MSTG-PLATFORM-8)")</f>
        <v>检测对象持久化 (MSTG-PLATFORM-8)</v>
      </c>
      <c r="I68" s="80"/>
      <c r="J68" s="80"/>
      <c r="K68" s="112"/>
    </row>
    <row r="69" spans="2:12">
      <c r="B69" s="75" t="s">
        <v>236</v>
      </c>
      <c r="C69" s="76" t="s">
        <v>239</v>
      </c>
      <c r="D69" s="44" t="s">
        <v>364</v>
      </c>
      <c r="E69" s="100"/>
      <c r="F69" s="78" t="s">
        <v>15</v>
      </c>
      <c r="G69" s="111" t="s">
        <v>24</v>
      </c>
      <c r="H69" s="86"/>
      <c r="I69" s="80"/>
      <c r="J69" s="80"/>
      <c r="K69" s="112"/>
    </row>
    <row r="70" spans="2:12">
      <c r="B70" s="75" t="s">
        <v>237</v>
      </c>
      <c r="C70" s="76" t="s">
        <v>240</v>
      </c>
      <c r="D70" s="44" t="s">
        <v>365</v>
      </c>
      <c r="E70" s="100"/>
      <c r="F70" s="78" t="s">
        <v>15</v>
      </c>
      <c r="G70" s="111" t="s">
        <v>24</v>
      </c>
      <c r="H70" s="86"/>
      <c r="I70" s="80"/>
      <c r="J70" s="80"/>
      <c r="K70" s="112"/>
    </row>
    <row r="71" spans="2:12">
      <c r="B71" s="75" t="s">
        <v>238</v>
      </c>
      <c r="C71" s="76" t="s">
        <v>241</v>
      </c>
      <c r="D71" s="44" t="s">
        <v>366</v>
      </c>
      <c r="E71" s="100"/>
      <c r="F71" s="78" t="s">
        <v>15</v>
      </c>
      <c r="G71" s="111" t="s">
        <v>24</v>
      </c>
      <c r="H71" s="86"/>
      <c r="I71" s="80"/>
      <c r="J71" s="80"/>
      <c r="K71" s="112"/>
    </row>
    <row r="72" spans="2:12">
      <c r="B72" s="81" t="s">
        <v>126</v>
      </c>
      <c r="C72" s="82"/>
      <c r="D72" s="38" t="s">
        <v>279</v>
      </c>
      <c r="E72" s="83"/>
      <c r="F72" s="84"/>
      <c r="G72" s="83"/>
      <c r="H72" s="83"/>
      <c r="I72" s="83"/>
      <c r="J72" s="83"/>
      <c r="K72" s="40"/>
    </row>
    <row r="73" spans="2:12">
      <c r="B73" s="75" t="s">
        <v>127</v>
      </c>
      <c r="C73" s="76" t="s">
        <v>128</v>
      </c>
      <c r="D73" s="44" t="s">
        <v>367</v>
      </c>
      <c r="E73" s="77" t="s">
        <v>15</v>
      </c>
      <c r="F73" s="78" t="s">
        <v>15</v>
      </c>
      <c r="G73" s="111"/>
      <c r="H73" s="119" t="str">
        <f>HYPERLINK(CONCATENATE(BASE_URL,"0x05i-Testing-Code-Quality-and-Build-Settings.md#making-sure-that-the-app-is-properly-signed-mstg-code-1"),"检测应用签名配置(MSTG-CODE-1)")</f>
        <v>检测应用签名配置(MSTG-CODE-1)</v>
      </c>
      <c r="I73" s="80"/>
      <c r="J73" s="80"/>
      <c r="K73" s="112"/>
    </row>
    <row r="74" spans="2:12">
      <c r="B74" s="75" t="s">
        <v>129</v>
      </c>
      <c r="C74" s="76" t="s">
        <v>130</v>
      </c>
      <c r="D74" s="44" t="s">
        <v>368</v>
      </c>
      <c r="E74" s="77" t="s">
        <v>15</v>
      </c>
      <c r="F74" s="78" t="s">
        <v>15</v>
      </c>
      <c r="G74" s="111"/>
      <c r="H74" s="119" t="str">
        <f>HYPERLINK(CONCATENATE(BASE_URL,"0x05i-Testing-Code-Quality-and-Build-Settings.md#testing-whether-the-app-is-debuggable-mstg-code-2"),"检测是否可调试 (MSTG-CODE-2)")</f>
        <v>检测是否可调试 (MSTG-CODE-2)</v>
      </c>
      <c r="I74" s="80"/>
      <c r="J74" s="80"/>
      <c r="K74" s="112"/>
    </row>
    <row r="75" spans="2:12">
      <c r="B75" s="75" t="s">
        <v>131</v>
      </c>
      <c r="C75" s="76" t="s">
        <v>132</v>
      </c>
      <c r="D75" s="44" t="s">
        <v>369</v>
      </c>
      <c r="E75" s="77" t="s">
        <v>15</v>
      </c>
      <c r="F75" s="78" t="s">
        <v>15</v>
      </c>
      <c r="G75" s="111"/>
      <c r="H75" s="119" t="str">
        <f>HYPERLINK(CONCATENATE(BASE_URL,"0x05i-Testing-Code-Quality-and-Build-Settings.md#testing-for-debugging-symbols-mstg-code-3"),"检测调试信息(MSTG-CODE-3)")</f>
        <v>检测调试信息(MSTG-CODE-3)</v>
      </c>
      <c r="I75" s="80"/>
      <c r="J75" s="80"/>
      <c r="K75" s="112"/>
    </row>
    <row r="76" spans="2:12">
      <c r="B76" s="75" t="s">
        <v>133</v>
      </c>
      <c r="C76" s="76" t="s">
        <v>134</v>
      </c>
      <c r="D76" s="44" t="s">
        <v>370</v>
      </c>
      <c r="E76" s="77" t="s">
        <v>15</v>
      </c>
      <c r="F76" s="78" t="s">
        <v>15</v>
      </c>
      <c r="G76" s="111"/>
      <c r="H76" s="119" t="str">
        <f>HYPERLINK(CONCATENATE(BASE_URL,"0x05i-Testing-Code-Quality-and-Build-Settings.md#testing-for-debugging-code-and-verbose-error-logging-mstg-code-4"),"检测调试代码和日志 (MSTG-CODE-4)")</f>
        <v>检测调试代码和日志 (MSTG-CODE-4)</v>
      </c>
      <c r="I76" s="80"/>
      <c r="J76" s="80"/>
      <c r="K76" s="112"/>
    </row>
    <row r="77" spans="2:12">
      <c r="B77" s="75" t="s">
        <v>135</v>
      </c>
      <c r="C77" s="76" t="s">
        <v>136</v>
      </c>
      <c r="D77" s="37" t="s">
        <v>371</v>
      </c>
      <c r="E77" s="77" t="s">
        <v>15</v>
      </c>
      <c r="F77" s="78" t="s">
        <v>15</v>
      </c>
      <c r="G77" s="111"/>
      <c r="H77" s="119" t="str">
        <f>HYPERLINK(CONCATENATE(BASE_URL,"0x05i-Testing-Code-Quality-and-Build-Settings.md#checking-for-weaknesses-in-third-party-libraries-mstg-code-5"),"检测第三方库的漏洞 (MSTG-CODE-5)")</f>
        <v>检测第三方库的漏洞 (MSTG-CODE-5)</v>
      </c>
      <c r="I77" s="80"/>
      <c r="J77" s="80"/>
      <c r="K77" s="112"/>
    </row>
    <row r="78" spans="2:12">
      <c r="B78" s="75" t="s">
        <v>137</v>
      </c>
      <c r="C78" s="76" t="s">
        <v>138</v>
      </c>
      <c r="D78" s="44" t="s">
        <v>372</v>
      </c>
      <c r="E78" s="77" t="s">
        <v>15</v>
      </c>
      <c r="F78" s="78" t="s">
        <v>15</v>
      </c>
      <c r="G78" s="111"/>
      <c r="H78" s="119" t="str">
        <f>HYPERLINK(CONCATENATE(BASE_URL,"0x05i-Testing-Code-Quality-and-Build-Settings.md#testing-exception-handling-mstg-code-6-and-mstg-code-7"),"检测异常处理 (MSTG-CODE-6 and MSTG-CODE-7)")</f>
        <v>检测异常处理 (MSTG-CODE-6 and MSTG-CODE-7)</v>
      </c>
      <c r="I78" s="80"/>
      <c r="J78" s="80"/>
      <c r="K78" s="112"/>
    </row>
    <row r="79" spans="2:12">
      <c r="B79" s="75" t="s">
        <v>139</v>
      </c>
      <c r="C79" s="76" t="s">
        <v>140</v>
      </c>
      <c r="D79" s="44" t="s">
        <v>373</v>
      </c>
      <c r="E79" s="77" t="s">
        <v>15</v>
      </c>
      <c r="F79" s="78" t="s">
        <v>15</v>
      </c>
      <c r="G79" s="111"/>
      <c r="H79" s="119" t="str">
        <f>HYPERLINK(CONCATENATE(BASE_URL,"0x05i-Testing-Code-Quality-and-Build-Settings.md#testing-exception-handling-mstg-code-6-and-mstg-code-7"),"检测异常处理 (MSTG-CODE-6 and MSTG-CODE-7)")</f>
        <v>检测异常处理 (MSTG-CODE-6 and MSTG-CODE-7)</v>
      </c>
      <c r="I79" s="80"/>
      <c r="J79" s="80"/>
      <c r="K79" s="112"/>
    </row>
    <row r="80" spans="2:12">
      <c r="B80" s="75" t="s">
        <v>141</v>
      </c>
      <c r="C80" s="76" t="s">
        <v>142</v>
      </c>
      <c r="D80" s="44" t="s">
        <v>374</v>
      </c>
      <c r="E80" s="77" t="s">
        <v>15</v>
      </c>
      <c r="F80" s="78" t="s">
        <v>15</v>
      </c>
      <c r="G80" s="111"/>
      <c r="H80" s="119" t="str">
        <f>HYPERLINK(CONCATENATE(BASE_URL,"0x04h-Testing-Code-Quality.md#memory-corruption-bugs-mstg-code-8"),"检测内存安全问题 (MSTG-CODE-8)")</f>
        <v>检测内存安全问题 (MSTG-CODE-8)</v>
      </c>
      <c r="I80" s="80"/>
      <c r="J80" s="80"/>
      <c r="K80" s="116"/>
      <c r="L80" s="89"/>
    </row>
    <row r="81" spans="2:11">
      <c r="B81" s="75" t="s">
        <v>143</v>
      </c>
      <c r="C81" s="76" t="s">
        <v>144</v>
      </c>
      <c r="D81" s="37" t="s">
        <v>375</v>
      </c>
      <c r="E81" s="77" t="s">
        <v>15</v>
      </c>
      <c r="F81" s="78" t="s">
        <v>15</v>
      </c>
      <c r="G81" s="111"/>
      <c r="H81" s="119" t="str">
        <f>HYPERLINK(CONCATENATE(BASE_URL,"0x05i-Testing-Code-Quality-and-Build-Settings.md#make-sure-that-free-security-features-are-activated-mstg-code-9"),"确保免费安全功能已被开启 (MSTG-CODE-9)")</f>
        <v>确保免费安全功能已被开启 (MSTG-CODE-9)</v>
      </c>
      <c r="I81" s="80"/>
      <c r="J81" s="80"/>
      <c r="K81" s="112"/>
    </row>
    <row r="82" spans="2:11">
      <c r="B82" s="90"/>
      <c r="C82" s="91"/>
      <c r="D82" s="42"/>
      <c r="E82" s="92"/>
      <c r="F82" s="92"/>
      <c r="G82" s="92"/>
      <c r="H82" s="92"/>
      <c r="I82" s="92"/>
      <c r="J82" s="92"/>
      <c r="K82" s="43"/>
    </row>
    <row r="83" spans="2:11">
      <c r="B83" s="93"/>
      <c r="C83" s="93"/>
      <c r="D83" s="44"/>
      <c r="E83" s="94"/>
      <c r="F83" s="94"/>
      <c r="G83" s="94"/>
      <c r="H83" s="95"/>
      <c r="I83" s="95"/>
      <c r="J83" s="95"/>
      <c r="K83" s="44"/>
    </row>
    <row r="84" spans="2:11">
      <c r="B84" s="93"/>
      <c r="C84" s="93"/>
      <c r="D84" s="41"/>
      <c r="E84" s="94"/>
      <c r="F84" s="94"/>
      <c r="G84" s="94"/>
      <c r="H84" s="95"/>
      <c r="I84" s="95"/>
      <c r="J84" s="95"/>
      <c r="K84" s="44"/>
    </row>
    <row r="85" spans="2:11">
      <c r="B85" s="93"/>
      <c r="C85" s="93"/>
      <c r="D85" s="44"/>
      <c r="E85" s="94"/>
      <c r="F85" s="94"/>
      <c r="G85" s="94"/>
      <c r="H85" s="95"/>
      <c r="I85" s="95"/>
      <c r="J85" s="95"/>
      <c r="K85" s="44"/>
    </row>
    <row r="86" spans="2:11">
      <c r="B86" s="96" t="s">
        <v>306</v>
      </c>
      <c r="C86" s="96"/>
      <c r="D86" s="44"/>
      <c r="E86" s="94"/>
      <c r="F86" s="94"/>
      <c r="G86" s="94"/>
      <c r="H86" s="95"/>
      <c r="I86" s="95"/>
      <c r="J86" s="95"/>
      <c r="K86" s="44"/>
    </row>
    <row r="87" spans="2:11">
      <c r="B87" s="97" t="s">
        <v>283</v>
      </c>
      <c r="C87" s="97"/>
      <c r="D87" s="45" t="s">
        <v>305</v>
      </c>
      <c r="E87" s="94"/>
      <c r="F87" s="94"/>
      <c r="G87" s="94"/>
      <c r="H87" s="95"/>
      <c r="I87" s="95"/>
      <c r="J87" s="95"/>
      <c r="K87" s="44"/>
    </row>
    <row r="88" spans="2:11">
      <c r="B88" s="46" t="s">
        <v>307</v>
      </c>
      <c r="C88" s="46"/>
      <c r="D88" s="47" t="s">
        <v>405</v>
      </c>
      <c r="E88" s="94"/>
      <c r="F88" s="94"/>
      <c r="G88" s="94"/>
      <c r="H88" s="95"/>
      <c r="I88" s="95"/>
      <c r="J88" s="95"/>
      <c r="K88" s="44"/>
    </row>
    <row r="89" spans="2:11">
      <c r="B89" s="46" t="s">
        <v>308</v>
      </c>
      <c r="C89" s="46"/>
      <c r="D89" s="47" t="s">
        <v>406</v>
      </c>
      <c r="E89" s="94"/>
      <c r="F89" s="94"/>
      <c r="G89" s="94"/>
      <c r="H89" s="95"/>
      <c r="I89" s="95"/>
      <c r="J89" s="95"/>
      <c r="K89" s="44"/>
    </row>
    <row r="90" spans="2:11">
      <c r="B90" s="46" t="s">
        <v>24</v>
      </c>
      <c r="C90" s="46"/>
      <c r="D90" s="47" t="s">
        <v>407</v>
      </c>
      <c r="E90" s="94"/>
      <c r="F90" s="94"/>
      <c r="G90" s="94"/>
      <c r="H90" s="95"/>
      <c r="I90" s="95"/>
      <c r="J90" s="95"/>
      <c r="K90" s="44"/>
    </row>
    <row r="91" spans="2:11">
      <c r="B91" s="93"/>
      <c r="C91" s="93"/>
      <c r="D91" s="44"/>
      <c r="E91" s="94"/>
      <c r="F91" s="94"/>
      <c r="G91" s="94"/>
      <c r="H91" s="95"/>
      <c r="I91" s="95"/>
      <c r="J91" s="95"/>
      <c r="K91" s="44"/>
    </row>
    <row r="92" spans="2:11">
      <c r="B92" s="93"/>
      <c r="C92" s="93"/>
      <c r="D92" s="44"/>
      <c r="E92" s="94"/>
      <c r="F92" s="94"/>
      <c r="G92" s="94"/>
      <c r="H92" s="95"/>
      <c r="I92" s="95"/>
      <c r="J92" s="95"/>
      <c r="K92" s="44"/>
    </row>
    <row r="93" spans="2:11">
      <c r="B93" s="93"/>
      <c r="C93" s="93"/>
      <c r="D93" s="44"/>
      <c r="E93" s="94"/>
      <c r="F93" s="94"/>
      <c r="G93" s="94"/>
      <c r="H93" s="95"/>
      <c r="I93" s="95"/>
      <c r="J93" s="95"/>
      <c r="K93" s="44"/>
    </row>
    <row r="94" spans="2:11">
      <c r="B94" s="93"/>
      <c r="C94" s="93"/>
      <c r="D94" s="44"/>
      <c r="E94" s="94"/>
      <c r="F94" s="94"/>
      <c r="G94" s="94"/>
      <c r="H94" s="95"/>
      <c r="I94" s="95"/>
      <c r="J94" s="95"/>
      <c r="K94" s="44"/>
    </row>
  </sheetData>
  <mergeCells count="2">
    <mergeCell ref="B1:K1"/>
    <mergeCell ref="H3:I3"/>
  </mergeCells>
  <phoneticPr fontId="27"/>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5:G16 G18:G32 G34:G39 G41:G52 G54:G59 G61:G71 G73:G8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election activeCell="D31" sqref="D31"/>
    </sheetView>
  </sheetViews>
  <sheetFormatPr baseColWidth="10" defaultColWidth="8.6640625" defaultRowHeight="16"/>
  <cols>
    <col min="1" max="1" width="1.83203125" style="65" customWidth="1"/>
    <col min="2" max="2" width="7.33203125" style="98" customWidth="1"/>
    <col min="3" max="3" width="17.83203125" style="98" customWidth="1"/>
    <col min="4" max="4" width="97.33203125" style="30" customWidth="1"/>
    <col min="5" max="5" width="3" style="65" customWidth="1"/>
    <col min="6" max="6" width="5.6640625" style="65" customWidth="1"/>
    <col min="7" max="7" width="69.1640625" style="66" customWidth="1"/>
    <col min="8" max="8" width="30.6640625" style="30" customWidth="1"/>
    <col min="9" max="1025" width="11" style="65" customWidth="1"/>
    <col min="1026" max="16384" width="8.6640625" style="66"/>
  </cols>
  <sheetData>
    <row r="1" spans="2:8" ht="19">
      <c r="B1" s="101" t="s">
        <v>383</v>
      </c>
      <c r="C1" s="101"/>
      <c r="D1" s="44"/>
      <c r="E1" s="94"/>
      <c r="F1" s="94"/>
      <c r="G1" s="95"/>
      <c r="H1" s="44"/>
    </row>
    <row r="2" spans="2:8">
      <c r="B2" s="93"/>
      <c r="C2" s="93"/>
      <c r="D2" s="44"/>
      <c r="E2" s="94"/>
      <c r="F2" s="94"/>
      <c r="G2" s="95"/>
      <c r="H2" s="44"/>
    </row>
    <row r="3" spans="2:8">
      <c r="B3" s="70" t="s">
        <v>9</v>
      </c>
      <c r="C3" s="71" t="s">
        <v>10</v>
      </c>
      <c r="D3" s="33" t="s">
        <v>287</v>
      </c>
      <c r="E3" s="63" t="s">
        <v>145</v>
      </c>
      <c r="F3" s="63" t="s">
        <v>283</v>
      </c>
      <c r="G3" s="63" t="s">
        <v>284</v>
      </c>
      <c r="H3" s="35" t="s">
        <v>285</v>
      </c>
    </row>
    <row r="4" spans="2:8">
      <c r="B4" s="81"/>
      <c r="C4" s="82"/>
      <c r="D4" s="38" t="s">
        <v>288</v>
      </c>
      <c r="E4" s="83"/>
      <c r="F4" s="83"/>
      <c r="G4" s="83"/>
      <c r="H4" s="40"/>
    </row>
    <row r="5" spans="2:8">
      <c r="B5" s="75" t="s">
        <v>146</v>
      </c>
      <c r="C5" s="76" t="s">
        <v>147</v>
      </c>
      <c r="D5" s="41" t="s">
        <v>396</v>
      </c>
      <c r="E5" s="102" t="s">
        <v>15</v>
      </c>
      <c r="F5" s="111" t="s">
        <v>24</v>
      </c>
      <c r="G5" s="119" t="str">
        <f>HYPERLINK(CONCATENATE(BASE_URL,"0x05j-Testing-Resiliency-Against-Reverse-Engineering.md#testing-root-detection-mstg-resilience-1"),"超级用户检测(MSTG-RESILIENCE-1)")</f>
        <v>超级用户检测(MSTG-RESILIENCE-1)</v>
      </c>
      <c r="H5" s="112"/>
    </row>
    <row r="6" spans="2:8">
      <c r="B6" s="75" t="s">
        <v>148</v>
      </c>
      <c r="C6" s="76" t="s">
        <v>149</v>
      </c>
      <c r="D6" s="41" t="s">
        <v>400</v>
      </c>
      <c r="E6" s="102" t="s">
        <v>15</v>
      </c>
      <c r="F6" s="111" t="s">
        <v>24</v>
      </c>
      <c r="G6" s="119" t="str">
        <f>HYPERLINK(CONCATENATE(BASE_URL,"0x05j-Testing-Resiliency-Against-Reverse-Engineering.md#testing-anti-debugging-detection-mstg-resilience-2"),"反调试检测 (MSTG-RESILIENCE-2)")</f>
        <v>反调试检测 (MSTG-RESILIENCE-2)</v>
      </c>
      <c r="H6" s="112"/>
    </row>
    <row r="7" spans="2:8">
      <c r="B7" s="75" t="s">
        <v>150</v>
      </c>
      <c r="C7" s="76" t="s">
        <v>151</v>
      </c>
      <c r="D7" s="44" t="s">
        <v>401</v>
      </c>
      <c r="E7" s="102" t="s">
        <v>15</v>
      </c>
      <c r="F7" s="111" t="s">
        <v>24</v>
      </c>
      <c r="G7" s="119" t="str">
        <f>HYPERLINK(CONCATENATE(BASE_URL,"0x05j-Testing-Resiliency-Against-Reverse-Engineering.md#testing-file-integrity-checks-mstg-resilience-3"),"文件完整性检测 (MSTG-RESILIENCE-3)")</f>
        <v>文件完整性检测 (MSTG-RESILIENCE-3)</v>
      </c>
      <c r="H7" s="112"/>
    </row>
    <row r="8" spans="2:8">
      <c r="B8" s="75" t="s">
        <v>152</v>
      </c>
      <c r="C8" s="76" t="s">
        <v>153</v>
      </c>
      <c r="D8" s="44" t="s">
        <v>397</v>
      </c>
      <c r="E8" s="102" t="s">
        <v>15</v>
      </c>
      <c r="F8" s="111" t="s">
        <v>24</v>
      </c>
      <c r="G8" s="119" t="str">
        <f>HYPERLINK(CONCATENATE(BASE_URL,"0x05j-Testing-Resiliency-Against-Reverse-Engineering.md#testing-reverse-engineering-tools-detection-mstg-resilience-4"),"逆向工程检测(MSTG-RESILIENCE-4)")</f>
        <v>逆向工程检测(MSTG-RESILIENCE-4)</v>
      </c>
      <c r="H8" s="112"/>
    </row>
    <row r="9" spans="2:8">
      <c r="B9" s="75" t="s">
        <v>154</v>
      </c>
      <c r="C9" s="76" t="s">
        <v>155</v>
      </c>
      <c r="D9" s="44" t="s">
        <v>398</v>
      </c>
      <c r="E9" s="102" t="s">
        <v>15</v>
      </c>
      <c r="F9" s="111" t="s">
        <v>24</v>
      </c>
      <c r="G9" s="119" t="str">
        <f>HYPERLINK(CONCATENATE(BASE_URL,"0x05j-Testing-Resiliency-Against-Reverse-Engineering.md#testing-emulator-detection-mstg-resilience-5"),"模拟器检测 (MSTG-RESILIENCE-5)")</f>
        <v>模拟器检测 (MSTG-RESILIENCE-5)</v>
      </c>
      <c r="H9" s="112"/>
    </row>
    <row r="10" spans="2:8">
      <c r="B10" s="75" t="s">
        <v>156</v>
      </c>
      <c r="C10" s="76" t="s">
        <v>157</v>
      </c>
      <c r="D10" s="44" t="s">
        <v>403</v>
      </c>
      <c r="E10" s="102" t="s">
        <v>15</v>
      </c>
      <c r="F10" s="111" t="s">
        <v>24</v>
      </c>
      <c r="G10" s="119" t="str">
        <f>HYPERLINK(CONCATENATE(BASE_URL,"0x05j-Testing-Resiliency-Against-Reverse-Engineering.md#testing-run-time-integrity-checks-mstg-resilience-6"),"运行时安全检测(MSTG-RESILIENCE-6)")</f>
        <v>运行时安全检测(MSTG-RESILIENCE-6)</v>
      </c>
      <c r="H10" s="112"/>
    </row>
    <row r="11" spans="2:8" ht="17">
      <c r="B11" s="75" t="s">
        <v>158</v>
      </c>
      <c r="C11" s="76" t="s">
        <v>159</v>
      </c>
      <c r="D11" s="41" t="s">
        <v>399</v>
      </c>
      <c r="E11" s="102" t="s">
        <v>15</v>
      </c>
      <c r="F11" s="111" t="s">
        <v>24</v>
      </c>
      <c r="G11" s="104" t="s">
        <v>160</v>
      </c>
      <c r="H11" s="112"/>
    </row>
    <row r="12" spans="2:8" ht="17">
      <c r="B12" s="75" t="s">
        <v>161</v>
      </c>
      <c r="C12" s="76" t="s">
        <v>162</v>
      </c>
      <c r="D12" s="44" t="s">
        <v>313</v>
      </c>
      <c r="E12" s="102" t="s">
        <v>15</v>
      </c>
      <c r="F12" s="111" t="s">
        <v>24</v>
      </c>
      <c r="G12" s="103" t="s">
        <v>163</v>
      </c>
      <c r="H12" s="112"/>
    </row>
    <row r="13" spans="2:8">
      <c r="B13" s="75" t="s">
        <v>164</v>
      </c>
      <c r="C13" s="76" t="s">
        <v>165</v>
      </c>
      <c r="D13" s="44" t="s">
        <v>300</v>
      </c>
      <c r="E13" s="102" t="s">
        <v>15</v>
      </c>
      <c r="F13" s="111" t="s">
        <v>24</v>
      </c>
      <c r="G13" s="119" t="str">
        <f>HYPERLINK(CONCATENATE(BASE_URL,"0x05j-Testing-Resiliency-Against-Reverse-Engineering.md#testing-obfuscation-mstg-resilience-9"),"混淆检测 (MSTG-RESILIENCE-9)")</f>
        <v>混淆检测 (MSTG-RESILIENCE-9)</v>
      </c>
      <c r="H13" s="112"/>
    </row>
    <row r="14" spans="2:8">
      <c r="B14" s="81"/>
      <c r="C14" s="82"/>
      <c r="D14" s="38" t="s">
        <v>301</v>
      </c>
      <c r="E14" s="83"/>
      <c r="F14" s="83"/>
      <c r="G14" s="83"/>
      <c r="H14" s="40"/>
    </row>
    <row r="15" spans="2:8">
      <c r="B15" s="75" t="s">
        <v>166</v>
      </c>
      <c r="C15" s="76" t="s">
        <v>167</v>
      </c>
      <c r="D15" s="41" t="s">
        <v>404</v>
      </c>
      <c r="E15" s="102" t="s">
        <v>15</v>
      </c>
      <c r="F15" s="111" t="s">
        <v>24</v>
      </c>
      <c r="G15" s="119" t="str">
        <f>HYPERLINK(CONCATENATE(BASE_URL,"0x05j-Testing-Resiliency-Against-Reverse-Engineering.md#testing-device-binding-mstg-resilience-10"),"设备绑定检测 (MSTG-RESILIENCE-10)")</f>
        <v>设备绑定检测 (MSTG-RESILIENCE-10)</v>
      </c>
      <c r="H15" s="112"/>
    </row>
    <row r="16" spans="2:8">
      <c r="B16" s="81"/>
      <c r="C16" s="82"/>
      <c r="D16" s="38" t="s">
        <v>302</v>
      </c>
      <c r="E16" s="83"/>
      <c r="F16" s="83"/>
      <c r="G16" s="83"/>
      <c r="H16" s="40"/>
    </row>
    <row r="17" spans="2:8" ht="32">
      <c r="B17" s="75" t="s">
        <v>168</v>
      </c>
      <c r="C17" s="76" t="s">
        <v>169</v>
      </c>
      <c r="D17" s="41" t="s">
        <v>304</v>
      </c>
      <c r="E17" s="102" t="s">
        <v>15</v>
      </c>
      <c r="F17" s="111" t="s">
        <v>24</v>
      </c>
      <c r="G17" s="119" t="str">
        <f>HYPERLINK(CONCATENATE(BASE_URL,"0x05j-Testing-Resiliency-Against-Reverse-Engineering.md#testing-obfuscation-mstg-resilience-9"),"混淆检测 (MSTG-RESILIENCE-9)")</f>
        <v>混淆检测 (MSTG-RESILIENCE-9)</v>
      </c>
      <c r="H17" s="112"/>
    </row>
    <row r="18" spans="2:8" ht="32">
      <c r="B18" s="75" t="s">
        <v>170</v>
      </c>
      <c r="C18" s="76" t="s">
        <v>171</v>
      </c>
      <c r="D18" s="41" t="s">
        <v>314</v>
      </c>
      <c r="E18" s="102" t="s">
        <v>15</v>
      </c>
      <c r="F18" s="111" t="s">
        <v>24</v>
      </c>
      <c r="G18" s="103" t="s">
        <v>160</v>
      </c>
      <c r="H18" s="112"/>
    </row>
    <row r="19" spans="2:8">
      <c r="B19" s="81"/>
      <c r="C19" s="82"/>
      <c r="D19" s="38" t="s">
        <v>303</v>
      </c>
      <c r="E19" s="83"/>
      <c r="F19" s="83"/>
      <c r="G19" s="83"/>
      <c r="H19" s="40"/>
    </row>
    <row r="20" spans="2:8" ht="17">
      <c r="B20" s="75" t="s">
        <v>242</v>
      </c>
      <c r="C20" s="76" t="s">
        <v>243</v>
      </c>
      <c r="D20" s="41" t="s">
        <v>312</v>
      </c>
      <c r="E20" s="102" t="s">
        <v>15</v>
      </c>
      <c r="F20" s="111" t="s">
        <v>24</v>
      </c>
      <c r="G20" s="103" t="s">
        <v>160</v>
      </c>
      <c r="H20" s="112"/>
    </row>
    <row r="21" spans="2:8">
      <c r="B21" s="90"/>
      <c r="C21" s="91"/>
      <c r="D21" s="42"/>
      <c r="E21" s="92"/>
      <c r="F21" s="92"/>
      <c r="G21" s="92"/>
      <c r="H21" s="43"/>
    </row>
    <row r="22" spans="2:8">
      <c r="B22" s="93"/>
      <c r="C22" s="93"/>
      <c r="D22" s="44"/>
      <c r="E22" s="94"/>
      <c r="F22" s="94"/>
      <c r="G22" s="95"/>
      <c r="H22" s="44"/>
    </row>
    <row r="23" spans="2:8">
      <c r="B23" s="93"/>
      <c r="C23" s="93"/>
      <c r="D23" s="44"/>
      <c r="E23" s="94"/>
      <c r="F23" s="94"/>
      <c r="G23" s="95"/>
      <c r="H23" s="44"/>
    </row>
    <row r="24" spans="2:8">
      <c r="B24" s="96" t="s">
        <v>306</v>
      </c>
      <c r="C24" s="96"/>
      <c r="D24" s="44"/>
      <c r="E24" s="94"/>
      <c r="F24" s="94"/>
      <c r="G24" s="95"/>
      <c r="H24" s="44"/>
    </row>
    <row r="25" spans="2:8">
      <c r="B25" s="97" t="s">
        <v>283</v>
      </c>
      <c r="C25" s="97"/>
      <c r="D25" s="45" t="s">
        <v>305</v>
      </c>
      <c r="E25" s="94"/>
      <c r="F25" s="94"/>
      <c r="G25" s="95"/>
      <c r="H25" s="44"/>
    </row>
    <row r="26" spans="2:8">
      <c r="B26" s="46" t="s">
        <v>307</v>
      </c>
      <c r="C26" s="46"/>
      <c r="D26" s="47" t="s">
        <v>405</v>
      </c>
      <c r="E26" s="94"/>
      <c r="F26" s="94"/>
      <c r="G26" s="95"/>
      <c r="H26" s="44"/>
    </row>
    <row r="27" spans="2:8">
      <c r="B27" s="46" t="s">
        <v>308</v>
      </c>
      <c r="C27" s="46"/>
      <c r="D27" s="47" t="s">
        <v>406</v>
      </c>
      <c r="E27" s="94"/>
      <c r="F27" s="94"/>
      <c r="G27" s="95"/>
      <c r="H27" s="44"/>
    </row>
    <row r="28" spans="2:8">
      <c r="B28" s="46" t="s">
        <v>24</v>
      </c>
      <c r="C28" s="46"/>
      <c r="D28" s="47" t="s">
        <v>407</v>
      </c>
      <c r="E28" s="94"/>
      <c r="F28" s="94"/>
      <c r="G28" s="95"/>
      <c r="H28" s="44"/>
    </row>
    <row r="29" spans="2:8">
      <c r="B29" s="93"/>
      <c r="C29" s="93"/>
      <c r="D29" s="44"/>
      <c r="E29" s="94"/>
      <c r="F29" s="94"/>
      <c r="G29" s="95"/>
      <c r="H29" s="44"/>
    </row>
    <row r="30" spans="2:8">
      <c r="B30" s="93"/>
      <c r="C30" s="93"/>
      <c r="D30" s="44"/>
      <c r="E30" s="94"/>
      <c r="F30" s="94"/>
      <c r="G30" s="95"/>
      <c r="H30" s="44"/>
    </row>
    <row r="31" spans="2:8">
      <c r="B31" s="93"/>
      <c r="C31" s="93"/>
      <c r="D31" s="44"/>
      <c r="E31" s="94"/>
      <c r="F31" s="94"/>
      <c r="G31" s="95"/>
      <c r="H31" s="44"/>
    </row>
  </sheetData>
  <phoneticPr fontId="27"/>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topLeftCell="A74" zoomScaleNormal="100" workbookViewId="0">
      <selection activeCell="D90" sqref="D90"/>
    </sheetView>
  </sheetViews>
  <sheetFormatPr baseColWidth="10" defaultColWidth="8.6640625" defaultRowHeight="16"/>
  <cols>
    <col min="1" max="1" width="1.83203125" style="66" customWidth="1"/>
    <col min="2" max="2" width="8" style="110" customWidth="1"/>
    <col min="3" max="3" width="17.83203125" style="110" customWidth="1"/>
    <col min="4" max="4" width="97.33203125" style="48" customWidth="1"/>
    <col min="5" max="6" width="6.6640625" style="66" customWidth="1"/>
    <col min="7" max="7" width="5.6640625" style="66" customWidth="1"/>
    <col min="8" max="8" width="91.5" style="66" customWidth="1"/>
    <col min="9" max="10" width="75.33203125" style="66" customWidth="1"/>
    <col min="11" max="11" width="30.83203125" style="48" customWidth="1"/>
    <col min="12" max="12" width="11" style="66" customWidth="1"/>
    <col min="13" max="14" width="10.83203125" style="66" customWidth="1"/>
    <col min="15" max="1025" width="11" style="66" customWidth="1"/>
    <col min="1026" max="16384" width="8.6640625" style="66"/>
  </cols>
  <sheetData>
    <row r="1" spans="2:11" ht="19">
      <c r="B1" s="105" t="s">
        <v>376</v>
      </c>
      <c r="C1" s="105"/>
      <c r="D1" s="49"/>
      <c r="E1" s="69"/>
      <c r="F1" s="69"/>
      <c r="G1" s="69"/>
      <c r="H1" s="49"/>
      <c r="I1" s="31"/>
      <c r="J1" s="31"/>
      <c r="K1" s="49"/>
    </row>
    <row r="2" spans="2:11">
      <c r="B2" s="106"/>
      <c r="C2" s="106"/>
      <c r="D2" s="49"/>
      <c r="E2" s="69"/>
      <c r="F2" s="69"/>
      <c r="G2" s="69"/>
      <c r="H2" s="69"/>
      <c r="I2" s="69"/>
      <c r="J2" s="69"/>
      <c r="K2" s="49"/>
    </row>
    <row r="3" spans="2:11" ht="15.75" customHeight="1">
      <c r="B3" s="70" t="s">
        <v>9</v>
      </c>
      <c r="C3" s="71" t="s">
        <v>10</v>
      </c>
      <c r="D3" s="33" t="s">
        <v>377</v>
      </c>
      <c r="E3" s="63" t="s">
        <v>379</v>
      </c>
      <c r="F3" s="63" t="s">
        <v>380</v>
      </c>
      <c r="G3" s="63" t="s">
        <v>283</v>
      </c>
      <c r="H3" s="142" t="s">
        <v>381</v>
      </c>
      <c r="I3" s="142"/>
      <c r="J3" s="142"/>
      <c r="K3" s="35" t="s">
        <v>285</v>
      </c>
    </row>
    <row r="4" spans="2:11">
      <c r="B4" s="72" t="s">
        <v>12</v>
      </c>
      <c r="C4" s="73"/>
      <c r="D4" s="36" t="s">
        <v>273</v>
      </c>
      <c r="E4" s="74"/>
      <c r="F4" s="74"/>
      <c r="G4" s="74"/>
      <c r="H4" s="36"/>
      <c r="I4" s="36"/>
      <c r="J4" s="36"/>
      <c r="K4" s="99"/>
    </row>
    <row r="5" spans="2:11">
      <c r="B5" s="75" t="s">
        <v>13</v>
      </c>
      <c r="C5" s="76" t="s">
        <v>14</v>
      </c>
      <c r="D5" s="37" t="s">
        <v>315</v>
      </c>
      <c r="E5" s="77" t="s">
        <v>15</v>
      </c>
      <c r="F5" s="78" t="s">
        <v>15</v>
      </c>
      <c r="G5" s="111"/>
      <c r="H5" s="119" t="str">
        <f>HYPERLINK(CONCATENATE( BASE_URL, "0x04b-Mobile-App-Security-Testing.md#architectural-information"), "架构信息")</f>
        <v>架构信息</v>
      </c>
      <c r="I5" s="80"/>
      <c r="J5" s="80"/>
      <c r="K5" s="112"/>
    </row>
    <row r="6" spans="2:11">
      <c r="B6" s="75" t="s">
        <v>16</v>
      </c>
      <c r="C6" s="76" t="s">
        <v>17</v>
      </c>
      <c r="D6" s="37" t="s">
        <v>384</v>
      </c>
      <c r="E6" s="77" t="s">
        <v>15</v>
      </c>
      <c r="F6" s="78" t="s">
        <v>15</v>
      </c>
      <c r="G6" s="111"/>
      <c r="H6" s="119" t="str">
        <f>HYPERLINK(CONCATENATE( BASE_URL, "0x04h-Testing-Code-Quality.md#injection-flaws-mstg-arch-2-and-mstg-platform-2"), "注入风险(MSTG-ARCH-2 and MSTG-PLATFORM-2)")</f>
        <v>注入风险(MSTG-ARCH-2 and MSTG-PLATFORM-2)</v>
      </c>
      <c r="I6" s="119" t="str">
        <f>HYPERLINK(CONCATENATE(BASE_URL,"0x04e-Testing-Authentication-and-Session-Management.md#verifying-that-appropriate-authentication-is-in-place-mstg-arch-2-and-mstg-auth-1"),"检测授权机制 (MSTG-ARCH-2 and MSTG-AUTH-1)")</f>
        <v>检测授权机制 (MSTG-ARCH-2 and MSTG-AUTH-1)</v>
      </c>
      <c r="J6" s="86"/>
      <c r="K6" s="112"/>
    </row>
    <row r="7" spans="2:11">
      <c r="B7" s="75" t="s">
        <v>18</v>
      </c>
      <c r="C7" s="76" t="s">
        <v>19</v>
      </c>
      <c r="D7" s="37" t="s">
        <v>385</v>
      </c>
      <c r="E7" s="77" t="s">
        <v>15</v>
      </c>
      <c r="F7" s="78" t="s">
        <v>15</v>
      </c>
      <c r="G7" s="111"/>
      <c r="H7" s="119" t="str">
        <f>HYPERLINK(CONCATENATE( BASE_URL, "0x04b-Mobile-App-Security-Testing.md#architectural-information"), "架构信息")</f>
        <v>架构信息</v>
      </c>
      <c r="I7" s="80"/>
      <c r="J7" s="80"/>
      <c r="K7" s="112"/>
    </row>
    <row r="8" spans="2:11">
      <c r="B8" s="75" t="s">
        <v>20</v>
      </c>
      <c r="C8" s="76" t="s">
        <v>21</v>
      </c>
      <c r="D8" s="37" t="s">
        <v>386</v>
      </c>
      <c r="E8" s="77" t="s">
        <v>15</v>
      </c>
      <c r="F8" s="78" t="s">
        <v>15</v>
      </c>
      <c r="G8" s="111"/>
      <c r="H8" s="119" t="str">
        <f>HYPERLINK(CONCATENATE( BASE_URL, "0x04b-Mobile-App-Security-Testing.md#identifying-sensitive-data"), "敏感数据标识")</f>
        <v>敏感数据标识</v>
      </c>
      <c r="I8" s="80"/>
      <c r="J8" s="80"/>
      <c r="K8" s="112"/>
    </row>
    <row r="9" spans="2:11">
      <c r="B9" s="75" t="s">
        <v>22</v>
      </c>
      <c r="C9" s="76" t="s">
        <v>23</v>
      </c>
      <c r="D9" s="37" t="s">
        <v>320</v>
      </c>
      <c r="E9" s="80"/>
      <c r="F9" s="78" t="s">
        <v>15</v>
      </c>
      <c r="G9" s="111" t="s">
        <v>24</v>
      </c>
      <c r="H9" s="119" t="str">
        <f>HYPERLINK(CONCATENATE( BASE_URL, "0x04b-Mobile-App-Security-Testing.md#environmental-information"), "背景信息")</f>
        <v>背景信息</v>
      </c>
      <c r="I9" s="80"/>
      <c r="J9" s="80"/>
      <c r="K9" s="112"/>
    </row>
    <row r="10" spans="2:11">
      <c r="B10" s="75" t="s">
        <v>25</v>
      </c>
      <c r="C10" s="76" t="s">
        <v>26</v>
      </c>
      <c r="D10" s="37" t="s">
        <v>387</v>
      </c>
      <c r="E10" s="80"/>
      <c r="F10" s="78" t="s">
        <v>15</v>
      </c>
      <c r="G10" s="111" t="s">
        <v>24</v>
      </c>
      <c r="H10" s="119" t="str">
        <f>HYPERLINK(CONCATENATE( BASE_URL, "0x04b-Mobile-App-Security-Testing.md#mapping-the-application"), "应用功能盘点")</f>
        <v>应用功能盘点</v>
      </c>
      <c r="I10" s="80"/>
      <c r="J10" s="80"/>
      <c r="K10" s="112"/>
    </row>
    <row r="11" spans="2:11">
      <c r="B11" s="75" t="s">
        <v>27</v>
      </c>
      <c r="C11" s="76" t="s">
        <v>28</v>
      </c>
      <c r="D11" s="37" t="s">
        <v>321</v>
      </c>
      <c r="E11" s="80"/>
      <c r="F11" s="78" t="s">
        <v>15</v>
      </c>
      <c r="G11" s="111" t="s">
        <v>24</v>
      </c>
      <c r="H11" s="119" t="str">
        <f>HYPERLINK(CONCATENATE( BASE_URL, "0x04b-Mobile-App-Security-Testing.md#principles-of-testing"), "检测原则")</f>
        <v>检测原则</v>
      </c>
      <c r="I11" s="119" t="str">
        <f>HYPERLINK(CONCATENATE( BASE_URL, "0x04b-Mobile-App-Security-Testing.md#penetration-testing-aka-pentesting"), "渗透测试原则 (a.k.a. 渗透)")</f>
        <v>渗透测试原则 (a.k.a. 渗透)</v>
      </c>
      <c r="J11" s="85"/>
      <c r="K11" s="112"/>
    </row>
    <row r="12" spans="2:11" ht="32">
      <c r="B12" s="75" t="s">
        <v>29</v>
      </c>
      <c r="C12" s="76" t="s">
        <v>30</v>
      </c>
      <c r="D12" s="37" t="s">
        <v>322</v>
      </c>
      <c r="E12" s="80"/>
      <c r="F12" s="78" t="s">
        <v>15</v>
      </c>
      <c r="G12" s="111" t="s">
        <v>24</v>
      </c>
      <c r="H12" s="119" t="str">
        <f>HYPERLINK(CONCATENATE( BASE_URL, "0x04g-Testing-Cryptography.md#cryptographic-policy"), "密钥政策")</f>
        <v>密钥政策</v>
      </c>
      <c r="I12" s="80"/>
      <c r="J12" s="80"/>
      <c r="K12" s="112"/>
    </row>
    <row r="13" spans="2:11">
      <c r="B13" s="75" t="s">
        <v>31</v>
      </c>
      <c r="C13" s="76" t="s">
        <v>32</v>
      </c>
      <c r="D13" s="37" t="s">
        <v>319</v>
      </c>
      <c r="E13" s="80"/>
      <c r="F13" s="78" t="s">
        <v>15</v>
      </c>
      <c r="G13" s="111" t="s">
        <v>24</v>
      </c>
      <c r="H13" s="119" t="str">
        <f>HYPERLINK(CONCATENATE( BASE_URL, "0x06h-Testing-Platform-Interaction.md#testing-enforced-updating-mstg-arch-9"), "检测强制更新 (MSTG-ARCH-9)")</f>
        <v>检测强制更新 (MSTG-ARCH-9)</v>
      </c>
      <c r="I13" s="80"/>
      <c r="J13" s="80"/>
      <c r="K13" s="112"/>
    </row>
    <row r="14" spans="2:11">
      <c r="B14" s="75" t="s">
        <v>33</v>
      </c>
      <c r="C14" s="76" t="s">
        <v>34</v>
      </c>
      <c r="D14" s="37" t="s">
        <v>318</v>
      </c>
      <c r="E14" s="80"/>
      <c r="F14" s="78" t="s">
        <v>15</v>
      </c>
      <c r="G14" s="111" t="s">
        <v>24</v>
      </c>
      <c r="H14" s="119" t="str">
        <f>HYPERLINK(CONCATENATE( BASE_URL, "0x04b-Mobile-App-Security-Testing.md#security-testing-and-the-sdlc"), "软件生命周期安全检测")</f>
        <v>软件生命周期安全检测</v>
      </c>
      <c r="I14" s="80"/>
      <c r="J14" s="80"/>
      <c r="K14" s="112"/>
    </row>
    <row r="15" spans="2:11">
      <c r="B15" s="75" t="s">
        <v>224</v>
      </c>
      <c r="C15" s="76" t="s">
        <v>226</v>
      </c>
      <c r="D15" s="37" t="s">
        <v>317</v>
      </c>
      <c r="E15" s="80"/>
      <c r="F15" s="78" t="s">
        <v>15</v>
      </c>
      <c r="G15" s="111" t="s">
        <v>24</v>
      </c>
      <c r="H15" s="79"/>
      <c r="I15" s="80"/>
      <c r="J15" s="80"/>
      <c r="K15" s="112"/>
    </row>
    <row r="16" spans="2:11">
      <c r="B16" s="75" t="s">
        <v>225</v>
      </c>
      <c r="C16" s="76" t="s">
        <v>227</v>
      </c>
      <c r="D16" s="37" t="s">
        <v>316</v>
      </c>
      <c r="E16" s="77" t="s">
        <v>15</v>
      </c>
      <c r="F16" s="78" t="s">
        <v>15</v>
      </c>
      <c r="G16" s="111"/>
      <c r="H16" s="79"/>
      <c r="I16" s="80"/>
      <c r="J16" s="80"/>
      <c r="K16" s="112"/>
    </row>
    <row r="17" spans="2:12">
      <c r="B17" s="81" t="s">
        <v>35</v>
      </c>
      <c r="C17" s="82"/>
      <c r="D17" s="38" t="s">
        <v>274</v>
      </c>
      <c r="E17" s="83"/>
      <c r="F17" s="84"/>
      <c r="G17" s="83"/>
      <c r="H17" s="83"/>
      <c r="I17" s="83"/>
      <c r="J17" s="83"/>
      <c r="K17" s="40"/>
    </row>
    <row r="18" spans="2:12">
      <c r="B18" s="75" t="s">
        <v>36</v>
      </c>
      <c r="C18" s="76" t="s">
        <v>37</v>
      </c>
      <c r="D18" s="37" t="s">
        <v>388</v>
      </c>
      <c r="E18" s="77" t="s">
        <v>15</v>
      </c>
      <c r="F18" s="78" t="s">
        <v>15</v>
      </c>
      <c r="G18" s="111"/>
      <c r="H18" s="119" t="str">
        <f>HYPERLINK(CONCATENATE(BASE_URL,"0x06d-Testing-Data-Storage.md#testing-local-data-storage-mstg-storage-1-and-mstg-storage-2"),"检测敏感数据存储 (MSTG-STORAGE-1 and MSTG-STORAGE-2)")</f>
        <v>检测敏感数据存储 (MSTG-STORAGE-1 and MSTG-STORAGE-2)</v>
      </c>
      <c r="I18" s="80"/>
      <c r="J18" s="80"/>
      <c r="K18" s="112"/>
    </row>
    <row r="19" spans="2:12">
      <c r="B19" s="75" t="s">
        <v>38</v>
      </c>
      <c r="C19" s="76" t="s">
        <v>39</v>
      </c>
      <c r="D19" s="37" t="s">
        <v>389</v>
      </c>
      <c r="E19" s="77"/>
      <c r="F19" s="78"/>
      <c r="G19" s="111"/>
      <c r="H19" s="119" t="str">
        <f>HYPERLINK(CONCATENATE(BASE_URL,"0x06d-Testing-Data-Storage.md#testing-local-data-storage-mstg-storage-1-and-mstg-storage-2"),"检测敏感数据存储(MSTG-STORAGE-1 and MSTG-STORAGE-2)")</f>
        <v>检测敏感数据存储(MSTG-STORAGE-1 and MSTG-STORAGE-2)</v>
      </c>
      <c r="I19" s="80"/>
      <c r="J19" s="80"/>
      <c r="K19" s="112"/>
    </row>
    <row r="20" spans="2:12">
      <c r="B20" s="75" t="s">
        <v>40</v>
      </c>
      <c r="C20" s="76" t="s">
        <v>41</v>
      </c>
      <c r="D20" s="37" t="s">
        <v>325</v>
      </c>
      <c r="E20" s="77" t="s">
        <v>15</v>
      </c>
      <c r="F20" s="78" t="s">
        <v>15</v>
      </c>
      <c r="G20" s="111"/>
      <c r="H20" s="119" t="str">
        <f>HYPERLINK(CONCATENATE(BASE_URL,"0x06d-Testing-Data-Storage.md#checking-logs-for-sensitive-data-mstg-storage-3"),"检测日志中的敏感数据 (MSTG-STORAGE-3)")</f>
        <v>检测日志中的敏感数据 (MSTG-STORAGE-3)</v>
      </c>
      <c r="I20" s="80"/>
      <c r="J20" s="80"/>
      <c r="K20" s="112"/>
    </row>
    <row r="21" spans="2:12">
      <c r="B21" s="75" t="s">
        <v>42</v>
      </c>
      <c r="C21" s="76" t="s">
        <v>43</v>
      </c>
      <c r="D21" s="37" t="s">
        <v>326</v>
      </c>
      <c r="E21" s="77" t="s">
        <v>15</v>
      </c>
      <c r="F21" s="78" t="s">
        <v>15</v>
      </c>
      <c r="G21" s="111"/>
      <c r="H21" s="119" t="str">
        <f>HYPERLINK(CONCATENATE(BASE_URL,"0x06d-Testing-Data-Storage.md#determining-whether-sensitive-data-is-sent-to-third-parties-mstg-storage-4"),"检测是否发送敏感数据给第三方 (MSTG-STORAGE-4)")</f>
        <v>检测是否发送敏感数据给第三方 (MSTG-STORAGE-4)</v>
      </c>
      <c r="I21" s="80"/>
      <c r="J21" s="80"/>
      <c r="K21" s="112"/>
    </row>
    <row r="22" spans="2:12">
      <c r="B22" s="75" t="s">
        <v>44</v>
      </c>
      <c r="C22" s="76" t="s">
        <v>45</v>
      </c>
      <c r="D22" s="44" t="s">
        <v>327</v>
      </c>
      <c r="E22" s="77" t="s">
        <v>15</v>
      </c>
      <c r="F22" s="78" t="s">
        <v>15</v>
      </c>
      <c r="G22" s="111"/>
      <c r="H22" s="119" t="str">
        <f>HYPERLINK(CONCATENATE(BASE_URL,"0x06d-Testing-Data-Storage.md#finding-sensitive-data-in-the-keyboard-cache-mstg-storage-5"),"检测数据输入时键盘缓存是否禁用(MSTG-STORAGE-5)")</f>
        <v>检测数据输入时键盘缓存是否禁用(MSTG-STORAGE-5)</v>
      </c>
      <c r="I22" s="80"/>
      <c r="J22" s="80"/>
      <c r="K22" s="112"/>
    </row>
    <row r="23" spans="2:12">
      <c r="B23" s="75" t="s">
        <v>46</v>
      </c>
      <c r="C23" s="76" t="s">
        <v>47</v>
      </c>
      <c r="D23" s="44" t="s">
        <v>328</v>
      </c>
      <c r="E23" s="77" t="s">
        <v>15</v>
      </c>
      <c r="F23" s="78" t="s">
        <v>15</v>
      </c>
      <c r="G23" s="111"/>
      <c r="H23" s="119" t="str">
        <f>HYPERLINK(CONCATENATE(BASE_URL,"0x06d-Testing-Data-Storage.md#determining-whether-sensitive-data-is-exposed-via-ipc-mechanisms-mstg-storage-6"),"检测敏感数据是否通过IPC机制泄漏 (MSTG-STORAGE-6)")</f>
        <v>检测敏感数据是否通过IPC机制泄漏 (MSTG-STORAGE-6)</v>
      </c>
      <c r="I23" s="80"/>
      <c r="J23" s="80"/>
      <c r="K23" s="112"/>
    </row>
    <row r="24" spans="2:12">
      <c r="B24" s="75" t="s">
        <v>48</v>
      </c>
      <c r="C24" s="76" t="s">
        <v>49</v>
      </c>
      <c r="D24" s="44" t="s">
        <v>329</v>
      </c>
      <c r="E24" s="77" t="s">
        <v>15</v>
      </c>
      <c r="F24" s="78" t="s">
        <v>15</v>
      </c>
      <c r="G24" s="111"/>
      <c r="H24" s="119" t="str">
        <f>HYPERLINK(CONCATENATE(BASE_URL,"0x06d-Testing-Data-Storage.md#checking-for-sensitive-data-disclosed-through-the-user-interface-mstg-storage-7"),"检查敏感数据是否通过用户界面泄漏 (MSTG-STORAGE-7)")</f>
        <v>检查敏感数据是否通过用户界面泄漏 (MSTG-STORAGE-7)</v>
      </c>
      <c r="I24" s="80"/>
      <c r="J24" s="80"/>
      <c r="K24" s="112"/>
    </row>
    <row r="25" spans="2:12">
      <c r="B25" s="75" t="s">
        <v>50</v>
      </c>
      <c r="C25" s="76" t="s">
        <v>51</v>
      </c>
      <c r="D25" s="44" t="s">
        <v>330</v>
      </c>
      <c r="E25" s="80"/>
      <c r="F25" s="78" t="s">
        <v>15</v>
      </c>
      <c r="G25" s="111" t="s">
        <v>24</v>
      </c>
      <c r="H25" s="119" t="str">
        <f>HYPERLINK(CONCATENATE(BASE_URL,"0x06d-Testing-Data-Storage.md#testing-backups-for-sensitive-data-mstg-storage-8"),"检测备份数据中的敏感数据 (MSTG-STORAGE-8)")</f>
        <v>检测备份数据中的敏感数据 (MSTG-STORAGE-8)</v>
      </c>
      <c r="I25" s="80"/>
      <c r="J25" s="80"/>
      <c r="K25" s="112"/>
    </row>
    <row r="26" spans="2:12">
      <c r="B26" s="75" t="s">
        <v>52</v>
      </c>
      <c r="C26" s="76" t="s">
        <v>53</v>
      </c>
      <c r="D26" s="44" t="s">
        <v>331</v>
      </c>
      <c r="E26" s="80"/>
      <c r="F26" s="78" t="s">
        <v>15</v>
      </c>
      <c r="G26" s="111" t="s">
        <v>24</v>
      </c>
      <c r="H26" s="119" t="str">
        <f>HYPERLINK(CONCATENATE(BASE_URL,"0x06d-Testing-Data-Storage.md#testing-auto-generated-screenshots-for-sensitive-information-mstg-storage-9"),"检测自动生成的屏幕截图中是否包含敏感数据  (MSTG-STORAGE-9)")</f>
        <v>检测自动生成的屏幕截图中是否包含敏感数据  (MSTG-STORAGE-9)</v>
      </c>
      <c r="I26" s="80"/>
      <c r="J26" s="80"/>
      <c r="K26" s="112"/>
    </row>
    <row r="27" spans="2:12">
      <c r="B27" s="75" t="s">
        <v>54</v>
      </c>
      <c r="C27" s="76" t="s">
        <v>55</v>
      </c>
      <c r="D27" s="44" t="s">
        <v>332</v>
      </c>
      <c r="E27" s="80"/>
      <c r="F27" s="78" t="s">
        <v>15</v>
      </c>
      <c r="G27" s="111" t="s">
        <v>24</v>
      </c>
      <c r="H27" s="119" t="str">
        <f>HYPERLINK(CONCATENATE(BASE_URL,"0x06d-Testing-Data-Storage.md#testing-memory-for-sensitive-data-mstg-storage-10"),"检测内存中的敏感数据 (MSTG-STORAGE-10)")</f>
        <v>检测内存中的敏感数据 (MSTG-STORAGE-10)</v>
      </c>
      <c r="I27" s="80"/>
      <c r="J27" s="80"/>
      <c r="K27" s="112"/>
    </row>
    <row r="28" spans="2:12">
      <c r="B28" s="75" t="s">
        <v>56</v>
      </c>
      <c r="C28" s="76" t="s">
        <v>57</v>
      </c>
      <c r="D28" s="44" t="s">
        <v>333</v>
      </c>
      <c r="E28" s="80"/>
      <c r="F28" s="78" t="s">
        <v>15</v>
      </c>
      <c r="G28" s="111" t="s">
        <v>24</v>
      </c>
      <c r="H28" s="119" t="str">
        <f>HYPERLINK(CONCATENATE(BASE_URL,"0x06f-Testing-Local-Authentication.md#testing-local-authentication-mstg-auth-8-and-mstg-storage-11"),"检测设备安全访问策略 (MSTG-AUTH-8 and MSTG-STORAGE-11)")</f>
        <v>检测设备安全访问策略 (MSTG-AUTH-8 and MSTG-STORAGE-11)</v>
      </c>
      <c r="I28" s="80"/>
      <c r="J28" s="80"/>
      <c r="K28" s="112"/>
      <c r="L28" s="107"/>
    </row>
    <row r="29" spans="2:12">
      <c r="B29" s="75" t="s">
        <v>58</v>
      </c>
      <c r="C29" s="76" t="s">
        <v>59</v>
      </c>
      <c r="D29" s="37" t="s">
        <v>334</v>
      </c>
      <c r="E29" s="80"/>
      <c r="F29" s="78" t="s">
        <v>15</v>
      </c>
      <c r="G29" s="111" t="s">
        <v>24</v>
      </c>
      <c r="H29" s="119" t="str">
        <f>HYPERLINK(CONCATENATE(BASE_URL,"0x04i-Testing-user-interaction.md#testing-user-education-mstg-storage-12"),"检查安全信息告知 (MSTG-STORAGE-12)")</f>
        <v>检查安全信息告知 (MSTG-STORAGE-12)</v>
      </c>
      <c r="I29" s="80"/>
      <c r="J29" s="80"/>
      <c r="K29" s="112"/>
      <c r="L29" s="65"/>
    </row>
    <row r="30" spans="2:12">
      <c r="B30" s="75" t="s">
        <v>228</v>
      </c>
      <c r="C30" s="76" t="s">
        <v>231</v>
      </c>
      <c r="D30" s="37" t="s">
        <v>335</v>
      </c>
      <c r="E30" s="80"/>
      <c r="F30" s="78" t="s">
        <v>15</v>
      </c>
      <c r="G30" s="111" t="s">
        <v>24</v>
      </c>
      <c r="H30" s="88"/>
      <c r="I30" s="80"/>
      <c r="J30" s="80"/>
      <c r="K30" s="112"/>
      <c r="L30" s="65"/>
    </row>
    <row r="31" spans="2:12">
      <c r="B31" s="75" t="s">
        <v>229</v>
      </c>
      <c r="C31" s="76" t="s">
        <v>232</v>
      </c>
      <c r="D31" s="37" t="s">
        <v>336</v>
      </c>
      <c r="E31" s="80"/>
      <c r="F31" s="78" t="s">
        <v>15</v>
      </c>
      <c r="G31" s="111" t="s">
        <v>24</v>
      </c>
      <c r="H31" s="88"/>
      <c r="I31" s="80"/>
      <c r="J31" s="80"/>
      <c r="K31" s="112"/>
      <c r="L31" s="65"/>
    </row>
    <row r="32" spans="2:12">
      <c r="B32" s="75" t="s">
        <v>230</v>
      </c>
      <c r="C32" s="76" t="s">
        <v>233</v>
      </c>
      <c r="D32" s="37" t="s">
        <v>337</v>
      </c>
      <c r="E32" s="80"/>
      <c r="F32" s="78" t="s">
        <v>15</v>
      </c>
      <c r="G32" s="111" t="s">
        <v>24</v>
      </c>
      <c r="H32" s="88"/>
      <c r="I32" s="80"/>
      <c r="J32" s="80"/>
      <c r="K32" s="112"/>
      <c r="L32" s="65"/>
    </row>
    <row r="33" spans="2:13">
      <c r="B33" s="81" t="s">
        <v>60</v>
      </c>
      <c r="C33" s="82"/>
      <c r="D33" s="38" t="s">
        <v>378</v>
      </c>
      <c r="E33" s="83"/>
      <c r="F33" s="84"/>
      <c r="G33" s="83"/>
      <c r="H33" s="83"/>
      <c r="I33" s="83"/>
      <c r="J33" s="83"/>
      <c r="K33" s="40"/>
    </row>
    <row r="34" spans="2:13">
      <c r="B34" s="75" t="s">
        <v>61</v>
      </c>
      <c r="C34" s="76" t="s">
        <v>62</v>
      </c>
      <c r="D34" s="44" t="s">
        <v>390</v>
      </c>
      <c r="E34" s="77" t="s">
        <v>15</v>
      </c>
      <c r="F34" s="78" t="s">
        <v>15</v>
      </c>
      <c r="G34" s="111"/>
      <c r="H34" s="119" t="str">
        <f>HYPERLINK(CONCATENATE(BASE_URL,"0x06e-Testing-Cryptography.md#testing-key-management-mstg-crypto-1-and-mstg-crypto-5"),"检测密钥管理 (MSTG-CRYPTO-1 and MSTG-CRYPTO-5)")</f>
        <v>检测密钥管理 (MSTG-CRYPTO-1 and MSTG-CRYPTO-5)</v>
      </c>
      <c r="I34" s="80"/>
      <c r="J34" s="80"/>
      <c r="K34" s="112"/>
    </row>
    <row r="35" spans="2:13">
      <c r="B35" s="75" t="s">
        <v>63</v>
      </c>
      <c r="C35" s="76" t="s">
        <v>64</v>
      </c>
      <c r="D35" s="44" t="s">
        <v>338</v>
      </c>
      <c r="E35" s="77" t="s">
        <v>15</v>
      </c>
      <c r="F35" s="78" t="s">
        <v>15</v>
      </c>
      <c r="G35" s="111"/>
      <c r="H35" s="119" t="str">
        <f>HYPERLINK(CONCATENATE(BASE_URL,"0x06e-Testing-Cryptography.md#verifying-the-configuration-of-cryptographic-standard-algorithms-mstg-crypto-2-and-mstg-crypto-3"),"检测标准加密算法配置(MSTG-CRYPTO-2 and MSTG-CRYPTO-3)")</f>
        <v>检测标准加密算法配置(MSTG-CRYPTO-2 and MSTG-CRYPTO-3)</v>
      </c>
      <c r="I35" s="80"/>
      <c r="J35" s="80"/>
      <c r="K35" s="112"/>
    </row>
    <row r="36" spans="2:13">
      <c r="B36" s="75" t="s">
        <v>65</v>
      </c>
      <c r="C36" s="76" t="s">
        <v>66</v>
      </c>
      <c r="D36" s="37" t="s">
        <v>391</v>
      </c>
      <c r="E36" s="77" t="s">
        <v>15</v>
      </c>
      <c r="F36" s="78" t="s">
        <v>15</v>
      </c>
      <c r="G36" s="111"/>
      <c r="H36" s="119" t="str">
        <f>HYPERLINK(CONCATENATE(BASE_URL,"0x06e-Testing-Cryptography.md#verifying-the-configuration-of-cryptographic-standard-algorithms-mstg-crypto-2-and-mstg-crypto-3"),"检测标准加密算法配置 (MSTG-CRYPTO-2 and MSTG-CRYPTO-3)")</f>
        <v>检测标准加密算法配置 (MSTG-CRYPTO-2 and MSTG-CRYPTO-3)</v>
      </c>
      <c r="I36" s="80"/>
      <c r="J36" s="80"/>
      <c r="K36" s="112"/>
    </row>
    <row r="37" spans="2:13">
      <c r="B37" s="75" t="s">
        <v>67</v>
      </c>
      <c r="C37" s="76" t="s">
        <v>68</v>
      </c>
      <c r="D37" s="44" t="s">
        <v>344</v>
      </c>
      <c r="E37" s="77" t="s">
        <v>15</v>
      </c>
      <c r="F37" s="78" t="s">
        <v>15</v>
      </c>
      <c r="G37" s="111"/>
      <c r="H37" s="119" t="str">
        <f>HYPERLINK(CONCATENATE(BASE_URL,"0x04g-Testing-Cryptography.md#identifying-insecure-andor-deprecated-cryptographic-algorithms-mstg-crypto-4"),"不安全的标识 和/或 废弃的加密算法 (MSTG-CRYPTO-4)")</f>
        <v>不安全的标识 和/或 废弃的加密算法 (MSTG-CRYPTO-4)</v>
      </c>
      <c r="I37" s="80"/>
      <c r="J37" s="80"/>
      <c r="K37" s="112"/>
    </row>
    <row r="38" spans="2:13">
      <c r="B38" s="75" t="s">
        <v>69</v>
      </c>
      <c r="C38" s="76" t="s">
        <v>70</v>
      </c>
      <c r="D38" s="44" t="s">
        <v>345</v>
      </c>
      <c r="E38" s="77" t="s">
        <v>15</v>
      </c>
      <c r="F38" s="78" t="s">
        <v>15</v>
      </c>
      <c r="G38" s="111"/>
      <c r="H38" s="119" t="str">
        <f>HYPERLINK(CONCATENATE(BASE_URL,"0x06e-Testing-Cryptography.md#testing-key-management-mstg-crypto-1-and-mstg-crypto-5"),"检测密钥管理 (MSTG-CRYPTO-1 and MSTG-CRYPTO-5)")</f>
        <v>检测密钥管理 (MSTG-CRYPTO-1 and MSTG-CRYPTO-5)</v>
      </c>
      <c r="I38" s="80"/>
      <c r="J38" s="80"/>
      <c r="K38" s="112"/>
    </row>
    <row r="39" spans="2:13">
      <c r="B39" s="75" t="s">
        <v>71</v>
      </c>
      <c r="C39" s="76" t="s">
        <v>72</v>
      </c>
      <c r="D39" s="44" t="s">
        <v>339</v>
      </c>
      <c r="E39" s="77" t="s">
        <v>15</v>
      </c>
      <c r="F39" s="78" t="s">
        <v>15</v>
      </c>
      <c r="G39" s="111"/>
      <c r="H39" s="119" t="str">
        <f>HYPERLINK(CONCATENATE(BASE_URL,"0x06e-Testing-Cryptography.md#testing-random-number-generation-mstg-crypto-6")," 检测随机数生成器 (MSTG-CRYPTO-6)")</f>
        <v xml:space="preserve"> 检测随机数生成器 (MSTG-CRYPTO-6)</v>
      </c>
      <c r="I39" s="80"/>
      <c r="J39" s="80"/>
      <c r="K39" s="112"/>
    </row>
    <row r="40" spans="2:13">
      <c r="B40" s="81" t="s">
        <v>73</v>
      </c>
      <c r="C40" s="82"/>
      <c r="D40" s="38" t="s">
        <v>276</v>
      </c>
      <c r="E40" s="83"/>
      <c r="F40" s="84"/>
      <c r="G40" s="83"/>
      <c r="H40" s="83"/>
      <c r="I40" s="83"/>
      <c r="J40" s="83"/>
      <c r="K40" s="40"/>
    </row>
    <row r="41" spans="2:13">
      <c r="B41" s="75" t="s">
        <v>74</v>
      </c>
      <c r="C41" s="76" t="s">
        <v>75</v>
      </c>
      <c r="D41" s="41" t="s">
        <v>340</v>
      </c>
      <c r="E41" s="77" t="s">
        <v>15</v>
      </c>
      <c r="F41" s="78" t="s">
        <v>15</v>
      </c>
      <c r="G41" s="111"/>
      <c r="H41" s="119" t="str">
        <f>HYPERLINK(CONCATENATE(BASE_URL,"0x04e-Testing-Authentication-and-Session-Management.md#verifying-that-appropriate-authentication-is-in-place-mstg-arch-2-and-mstg-auth-1"),"检测确权机制 (MSTG-ARCH-2 and MSTG-AUTH-1)")</f>
        <v>检测确权机制 (MSTG-ARCH-2 and MSTG-AUTH-1)</v>
      </c>
      <c r="I41" s="119" t="str">
        <f>HYPERLINK(CONCATENATE(BASE_URL,"0x04e-Testing-Authentication-and-Session-Management.md#testing-oauth-20-flows-mstg-auth-1-and-mstg-auth-3"),"检测OAuth 2.0 流程 (MSTG-AUTH-1 and MSTG-AUTH-3)")</f>
        <v>检测OAuth 2.0 流程 (MSTG-AUTH-1 and MSTG-AUTH-3)</v>
      </c>
      <c r="J41" s="86"/>
      <c r="K41" s="112"/>
    </row>
    <row r="42" spans="2:13">
      <c r="B42" s="75" t="s">
        <v>76</v>
      </c>
      <c r="C42" s="76" t="s">
        <v>77</v>
      </c>
      <c r="D42" s="41" t="s">
        <v>341</v>
      </c>
      <c r="E42" s="77" t="s">
        <v>15</v>
      </c>
      <c r="F42" s="78" t="s">
        <v>15</v>
      </c>
      <c r="G42" s="111"/>
      <c r="H42" s="119" t="str">
        <f>HYPERLINK(CONCATENATE(BASE_URL,"0x04e-Testing-Authentication-and-Session-Management.md#testing-stateful-session-management-mstg-auth-2"),"检测会话状态管理 (MSTG-AUTH-2)")</f>
        <v>检测会话状态管理 (MSTG-AUTH-2)</v>
      </c>
      <c r="I42" s="80"/>
      <c r="J42" s="80"/>
      <c r="K42" s="112"/>
    </row>
    <row r="43" spans="2:13">
      <c r="B43" s="75" t="s">
        <v>78</v>
      </c>
      <c r="C43" s="76" t="s">
        <v>79</v>
      </c>
      <c r="D43" s="41" t="s">
        <v>342</v>
      </c>
      <c r="E43" s="77" t="s">
        <v>15</v>
      </c>
      <c r="F43" s="78" t="s">
        <v>15</v>
      </c>
      <c r="G43" s="111"/>
      <c r="H43" s="119" t="str">
        <f>HYPERLINK(CONCATENATE(BASE_URL,"0x04e-Testing-Authentication-and-Session-Management.md#testing-stateless-token-based-authentication-mstg-auth-3"),"检测基于Token的确权机制 (MSTG-AUTH-3)")</f>
        <v>检测基于Token的确权机制 (MSTG-AUTH-3)</v>
      </c>
      <c r="I43" s="119" t="str">
        <f>HYPERLINK(CONCATENATE(BASE_URL,"0x04e-Testing-Authentication-and-Session-Management.md#testing-oauth-20-flows-mstg-auth-1-and-mstg-auth-3"),"检测OAuth 2.0 流程(MSTG-AUTH-1 and MSTG-AUTH-3)")</f>
        <v>检测OAuth 2.0 流程(MSTG-AUTH-1 and MSTG-AUTH-3)</v>
      </c>
      <c r="J43" s="86"/>
      <c r="K43" s="112"/>
    </row>
    <row r="44" spans="2:13">
      <c r="B44" s="75" t="s">
        <v>80</v>
      </c>
      <c r="C44" s="76" t="s">
        <v>81</v>
      </c>
      <c r="D44" s="41" t="s">
        <v>343</v>
      </c>
      <c r="E44" s="77"/>
      <c r="F44" s="78"/>
      <c r="G44" s="111"/>
      <c r="H44" s="119" t="str">
        <f>HYPERLINK(CONCATENATE(BASE_URL,"0x04e-Testing-Authentication-and-Session-Management.md#testing-user-logout-mstg-auth-4"),"检测用户登出 (MSTG-AUTH-4)")</f>
        <v>检测用户登出 (MSTG-AUTH-4)</v>
      </c>
      <c r="I44" s="80"/>
      <c r="J44" s="80"/>
      <c r="K44" s="112"/>
      <c r="M44" s="87"/>
    </row>
    <row r="45" spans="2:13">
      <c r="B45" s="75" t="s">
        <v>82</v>
      </c>
      <c r="C45" s="76" t="s">
        <v>83</v>
      </c>
      <c r="D45" s="41" t="s">
        <v>346</v>
      </c>
      <c r="E45" s="77" t="s">
        <v>15</v>
      </c>
      <c r="F45" s="78" t="s">
        <v>15</v>
      </c>
      <c r="G45" s="111"/>
      <c r="H45" s="119" t="str">
        <f>HYPERLINK(CONCATENATE(BASE_URL,"0x04e-Testing-Authentication-and-Session-Management.md#testing-best-practices-for-passwords-mstg-auth-5-and-mstg-auth-6"),"检测密码最佳实践 (MSTG-AUTH-5 and MSTG-AUTH-6)")</f>
        <v>检测密码最佳实践 (MSTG-AUTH-5 and MSTG-AUTH-6)</v>
      </c>
      <c r="I45" s="80"/>
      <c r="J45" s="80"/>
      <c r="K45" s="112"/>
      <c r="M45" s="87"/>
    </row>
    <row r="46" spans="2:13">
      <c r="B46" s="75" t="s">
        <v>84</v>
      </c>
      <c r="C46" s="76" t="s">
        <v>85</v>
      </c>
      <c r="D46" s="41" t="s">
        <v>348</v>
      </c>
      <c r="E46" s="77" t="s">
        <v>15</v>
      </c>
      <c r="F46" s="78" t="s">
        <v>15</v>
      </c>
      <c r="G46" s="111"/>
      <c r="H46" s="119" t="str">
        <f>HYPERLINK(CONCATENATE(BASE_URL,"0x04e-Testing-Authentication-and-Session-Management.md#testing-best-practices-for-passwords-mstg-auth-5-and-mstg-auth-6"),"检测密码最佳实践(MSTG-AUTH-5 and MSTG-AUTH-6)")</f>
        <v>检测密码最佳实践(MSTG-AUTH-5 and MSTG-AUTH-6)</v>
      </c>
      <c r="I46" s="119" t="str">
        <f>HYPERLINK(CONCATENATE(BASE_URL,"0x04e-Testing-Authentication-and-Session-Management.md#dynamic-testing-mstg-auth-6"),"动态检测 (MSTG-AUTH-6)")</f>
        <v>动态检测 (MSTG-AUTH-6)</v>
      </c>
      <c r="J46" s="86"/>
      <c r="K46" s="112"/>
    </row>
    <row r="47" spans="2:13">
      <c r="B47" s="75" t="s">
        <v>86</v>
      </c>
      <c r="C47" s="76" t="s">
        <v>87</v>
      </c>
      <c r="D47" s="41" t="s">
        <v>347</v>
      </c>
      <c r="E47" s="77" t="s">
        <v>15</v>
      </c>
      <c r="F47" s="78" t="s">
        <v>15</v>
      </c>
      <c r="G47" s="111"/>
      <c r="H47" s="119" t="str">
        <f>HYPERLINK(CONCATENATE(BASE_URL,"0x04e-Testing-Authentication-and-Session-Management.md#testing-session-timeout-mstg-auth-7"),"检测会话超时 (MSTG-AUTH-7)")</f>
        <v>检测会话超时 (MSTG-AUTH-7)</v>
      </c>
      <c r="I47" s="87"/>
      <c r="J47" s="87"/>
      <c r="K47" s="114"/>
    </row>
    <row r="48" spans="2:13">
      <c r="B48" s="75" t="s">
        <v>88</v>
      </c>
      <c r="C48" s="76" t="s">
        <v>89</v>
      </c>
      <c r="D48" s="41" t="s">
        <v>349</v>
      </c>
      <c r="E48" s="80"/>
      <c r="F48" s="78" t="s">
        <v>15</v>
      </c>
      <c r="G48" s="111" t="s">
        <v>24</v>
      </c>
      <c r="H48" s="119" t="str">
        <f>HYPERLINK(CONCATENATE(BASE_URL,"0x06f-Testing-Local-Authentication.md#testing-local-authentication-mstg-auth-8-and-mstg-storage-11"),"检测本地确权机制 (MSTG-AUTH-8 and MSTG-STORAGE-11)")</f>
        <v>检测本地确权机制 (MSTG-AUTH-8 and MSTG-STORAGE-11)</v>
      </c>
      <c r="I48" s="86"/>
      <c r="J48" s="86"/>
      <c r="K48" s="112"/>
    </row>
    <row r="49" spans="2:11">
      <c r="B49" s="75" t="s">
        <v>90</v>
      </c>
      <c r="C49" s="76" t="s">
        <v>91</v>
      </c>
      <c r="D49" s="41" t="s">
        <v>350</v>
      </c>
      <c r="E49" s="80"/>
      <c r="F49" s="78" t="s">
        <v>15</v>
      </c>
      <c r="G49" s="111" t="s">
        <v>24</v>
      </c>
      <c r="H49" s="119" t="str">
        <f>HYPERLINK(CONCATENATE(BASE_URL,"0x04e-Testing-Authentication-and-Session-Management.md#testing-two-factor-authentication-and-step-up-authentication-mstg-auth-9-and-mstg-auth-10"),"检测两步验证机制  (MSTG-AUTH-9 and MSTG-AUTH-10)")</f>
        <v>检测两步验证机制  (MSTG-AUTH-9 and MSTG-AUTH-10)</v>
      </c>
      <c r="I49" s="80"/>
      <c r="J49" s="80"/>
      <c r="K49" s="112"/>
    </row>
    <row r="50" spans="2:11">
      <c r="B50" s="75" t="s">
        <v>92</v>
      </c>
      <c r="C50" s="76" t="s">
        <v>93</v>
      </c>
      <c r="D50" s="41" t="s">
        <v>351</v>
      </c>
      <c r="E50" s="80"/>
      <c r="F50" s="78" t="s">
        <v>15</v>
      </c>
      <c r="G50" s="111" t="s">
        <v>24</v>
      </c>
      <c r="H50" s="119" t="str">
        <f>HYPERLINK(CONCATENATE(BASE_URL,"0x04e-Testing-Authentication-and-Session-Management.md#testing-two-factor-authentication-and-step-up-authentication-mstg-auth-9-and-mstg-auth-10"),"检测两步验证机制  (MSTG-AUTH-9 and MSTG-AUTH-10)")</f>
        <v>检测两步验证机制  (MSTG-AUTH-9 and MSTG-AUTH-10)</v>
      </c>
      <c r="I50" s="80"/>
      <c r="J50" s="80"/>
      <c r="K50" s="112"/>
    </row>
    <row r="51" spans="2:11" ht="32">
      <c r="B51" s="75" t="s">
        <v>94</v>
      </c>
      <c r="C51" s="76" t="s">
        <v>95</v>
      </c>
      <c r="D51" s="41" t="s">
        <v>352</v>
      </c>
      <c r="E51" s="80"/>
      <c r="F51" s="78" t="s">
        <v>15</v>
      </c>
      <c r="G51" s="111" t="s">
        <v>24</v>
      </c>
      <c r="H51" s="119" t="str">
        <f>HYPERLINK(CONCATENATE( BASE_URL, "0x04e-Testing-Authentication-and-Session-Management.md#testing-login-activity-and-device-blocking-mstg-auth-11"), "检测登录和设备屏蔽行为 (MSTG-AUTH-11)")</f>
        <v>检测登录和设备屏蔽行为 (MSTG-AUTH-11)</v>
      </c>
      <c r="I51" s="80"/>
      <c r="J51" s="80"/>
      <c r="K51" s="112"/>
    </row>
    <row r="52" spans="2:11">
      <c r="B52" s="75" t="s">
        <v>234</v>
      </c>
      <c r="C52" s="76" t="s">
        <v>235</v>
      </c>
      <c r="D52" s="41" t="s">
        <v>353</v>
      </c>
      <c r="E52" s="77" t="s">
        <v>15</v>
      </c>
      <c r="F52" s="78" t="s">
        <v>15</v>
      </c>
      <c r="G52" s="111"/>
      <c r="H52" s="88"/>
      <c r="I52" s="80"/>
      <c r="J52" s="80"/>
      <c r="K52" s="112"/>
    </row>
    <row r="53" spans="2:11">
      <c r="B53" s="81" t="s">
        <v>96</v>
      </c>
      <c r="C53" s="82"/>
      <c r="D53" s="38" t="s">
        <v>277</v>
      </c>
      <c r="E53" s="83"/>
      <c r="F53" s="84"/>
      <c r="G53" s="83"/>
      <c r="H53" s="83"/>
      <c r="I53" s="83"/>
      <c r="J53" s="83"/>
      <c r="K53" s="40"/>
    </row>
    <row r="54" spans="2:11">
      <c r="B54" s="75" t="s">
        <v>97</v>
      </c>
      <c r="C54" s="76" t="s">
        <v>98</v>
      </c>
      <c r="D54" s="44" t="s">
        <v>392</v>
      </c>
      <c r="E54" s="77" t="s">
        <v>15</v>
      </c>
      <c r="F54" s="78" t="s">
        <v>15</v>
      </c>
      <c r="G54" s="111"/>
      <c r="H54" s="119" t="str">
        <f>HYPERLINK(CONCATENATE(BASE_URL,"0x04f-Testing-Network-Communication.md#verifying-data-encryption-on-the-network-mstg-network-1-and-mstg-network-2"),"检测网络中的加密数据 (MSTG-NETWORK-1 and MSTG-NETWORK-2)")</f>
        <v>检测网络中的加密数据 (MSTG-NETWORK-1 and MSTG-NETWORK-2)</v>
      </c>
      <c r="I54" s="85"/>
      <c r="J54" s="85"/>
      <c r="K54" s="115"/>
    </row>
    <row r="55" spans="2:11">
      <c r="B55" s="75" t="s">
        <v>99</v>
      </c>
      <c r="C55" s="76" t="s">
        <v>100</v>
      </c>
      <c r="D55" s="41" t="s">
        <v>354</v>
      </c>
      <c r="E55" s="77" t="s">
        <v>15</v>
      </c>
      <c r="F55" s="78" t="s">
        <v>15</v>
      </c>
      <c r="G55" s="111"/>
      <c r="H55" s="119" t="str">
        <f>HYPERLINK(CONCATENATE(BASE_URL,"0x04f-Testing-Network-Communication.md#verifying-data-encryption-on-the-network-mstg-network-1-and-mstg-network-2"),"检测网络中的加密数据(MSTG-NETWORK-1 and MSTG-NETWORK-2)")</f>
        <v>检测网络中的加密数据(MSTG-NETWORK-1 and MSTG-NETWORK-2)</v>
      </c>
      <c r="I55" s="119" t="str">
        <f>HYPERLINK(CONCATENATE(BASE_URL,"0x06g-Testing-Network-Communication.md#app-transport-security-mstg-network-2"),"iOS传输安全 (MSTG-NETWORK-2)")</f>
        <v>iOS传输安全 (MSTG-NETWORK-2)</v>
      </c>
      <c r="J55" s="85"/>
      <c r="K55" s="115"/>
    </row>
    <row r="56" spans="2:11">
      <c r="B56" s="75" t="s">
        <v>101</v>
      </c>
      <c r="C56" s="76" t="s">
        <v>102</v>
      </c>
      <c r="D56" s="41" t="s">
        <v>355</v>
      </c>
      <c r="E56" s="77" t="s">
        <v>15</v>
      </c>
      <c r="F56" s="78" t="s">
        <v>15</v>
      </c>
      <c r="G56" s="111"/>
      <c r="H56" s="119" t="str">
        <f>HYPERLINK(CONCATENATE(BASE_URL,"0x06g-Testing-Network-Communication.md#testing-custom-certificate-stores-and-certificate-pinning-mstg-network-3-and-mstg-network-4"),"检测自定义证书校验 (MSTG-NETWORK-3 and MSTG-NETWORK-4)")</f>
        <v>检测自定义证书校验 (MSTG-NETWORK-3 and MSTG-NETWORK-4)</v>
      </c>
      <c r="I56" s="80"/>
      <c r="J56" s="80"/>
      <c r="K56" s="115"/>
    </row>
    <row r="57" spans="2:11">
      <c r="B57" s="75" t="s">
        <v>103</v>
      </c>
      <c r="C57" s="76" t="s">
        <v>104</v>
      </c>
      <c r="D57" s="41" t="s">
        <v>356</v>
      </c>
      <c r="E57" s="80"/>
      <c r="F57" s="78" t="s">
        <v>15</v>
      </c>
      <c r="G57" s="111" t="s">
        <v>24</v>
      </c>
      <c r="H57" s="119" t="str">
        <f>HYPERLINK(CONCATENATE(BASE_URL,"0x06g-Testing-Network-Communication.md#testing-custom-certificate-stores-and-certificate-pinning-mstg-network-3-and-mstg-network-4"),"检测自定义证书校验 (MSTG-NETWORK-3 and MSTG-NETWORK-4)")</f>
        <v>检测自定义证书校验 (MSTG-NETWORK-3 and MSTG-NETWORK-4)</v>
      </c>
      <c r="I57" s="80"/>
      <c r="J57" s="80"/>
      <c r="K57" s="112"/>
    </row>
    <row r="58" spans="2:11">
      <c r="B58" s="75" t="s">
        <v>105</v>
      </c>
      <c r="C58" s="76" t="s">
        <v>106</v>
      </c>
      <c r="D58" s="41" t="s">
        <v>357</v>
      </c>
      <c r="E58" s="80"/>
      <c r="F58" s="78" t="s">
        <v>15</v>
      </c>
      <c r="G58" s="111" t="s">
        <v>24</v>
      </c>
      <c r="H58" s="119" t="str">
        <f>HYPERLINK(CONCATENATE(BASE_URL,"0x04f-Testing-Network-Communication.md#making-sure-that-critical-operations-use-secure-communication-channels-mstg-network-5"),"确认关键操作使用了安全的验证方式 (MSTG-NETWORK-5)")</f>
        <v>确认关键操作使用了安全的验证方式 (MSTG-NETWORK-5)</v>
      </c>
      <c r="I58" s="80"/>
      <c r="J58" s="80"/>
      <c r="K58" s="112"/>
    </row>
    <row r="59" spans="2:11">
      <c r="B59" s="75" t="s">
        <v>107</v>
      </c>
      <c r="C59" s="76" t="s">
        <v>108</v>
      </c>
      <c r="D59" s="41" t="s">
        <v>358</v>
      </c>
      <c r="E59" s="80"/>
      <c r="F59" s="78" t="s">
        <v>15</v>
      </c>
      <c r="G59" s="111" t="s">
        <v>24</v>
      </c>
      <c r="H59" s="119" t="str">
        <f>HYPERLINK(CONCATENATE( BASE_URL, "0x06i-Testing-Code-Quality-and-Build-Settings.md#checking-for-weaknesses-in-third-party-libraries-mstg-code-5"), "检测第三方库的漏洞 (MSTG-CODE-5)")</f>
        <v>检测第三方库的漏洞 (MSTG-CODE-5)</v>
      </c>
      <c r="I59" s="80"/>
      <c r="J59" s="80"/>
      <c r="K59" s="112"/>
    </row>
    <row r="60" spans="2:11">
      <c r="B60" s="81" t="s">
        <v>109</v>
      </c>
      <c r="C60" s="82"/>
      <c r="D60" s="38" t="s">
        <v>278</v>
      </c>
      <c r="E60" s="83"/>
      <c r="F60" s="84"/>
      <c r="G60" s="83"/>
      <c r="H60" s="83"/>
      <c r="I60" s="83"/>
      <c r="J60" s="83"/>
      <c r="K60" s="40"/>
    </row>
    <row r="61" spans="2:11">
      <c r="B61" s="75" t="s">
        <v>110</v>
      </c>
      <c r="C61" s="76" t="s">
        <v>111</v>
      </c>
      <c r="D61" s="44" t="s">
        <v>359</v>
      </c>
      <c r="E61" s="77" t="s">
        <v>15</v>
      </c>
      <c r="F61" s="78" t="s">
        <v>15</v>
      </c>
      <c r="G61" s="111"/>
      <c r="H61" s="119" t="str">
        <f>HYPERLINK(CONCATENATE(BASE_URL,"0x06h-Testing-Platform-Interaction.md#testing-app-permissions-mstg-platform-1"),"检测应用权限 (MSTG-PLATFORM-1)")</f>
        <v>检测应用权限 (MSTG-PLATFORM-1)</v>
      </c>
      <c r="I61" s="80"/>
      <c r="J61" s="80"/>
      <c r="K61" s="112"/>
    </row>
    <row r="62" spans="2:11" ht="32">
      <c r="B62" s="75" t="s">
        <v>112</v>
      </c>
      <c r="C62" s="76" t="s">
        <v>113</v>
      </c>
      <c r="D62" s="41" t="s">
        <v>393</v>
      </c>
      <c r="E62" s="77" t="s">
        <v>15</v>
      </c>
      <c r="F62" s="78" t="s">
        <v>15</v>
      </c>
      <c r="G62" s="111"/>
      <c r="H62" s="119" t="str">
        <f>HYPERLINK(CONCATENATE(BASE_URL,"0x04h-Testing-Code-Quality.md#injection-flaws-mstg-arch-2-and-mstg-platform-2"),"检测注入风险 (MSTG-ARCH-2 and MSTG-PLATFORM-2)")</f>
        <v>检测注入风险 (MSTG-ARCH-2 and MSTG-PLATFORM-2)</v>
      </c>
      <c r="I62" s="80"/>
      <c r="J62" s="80"/>
      <c r="K62" s="112"/>
    </row>
    <row r="63" spans="2:11">
      <c r="B63" s="75" t="s">
        <v>114</v>
      </c>
      <c r="C63" s="76" t="s">
        <v>115</v>
      </c>
      <c r="D63" s="44" t="s">
        <v>395</v>
      </c>
      <c r="E63" s="77" t="s">
        <v>15</v>
      </c>
      <c r="F63" s="78" t="s">
        <v>15</v>
      </c>
      <c r="G63" s="111"/>
      <c r="H63" s="119" t="str">
        <f>HYPERLINK(CONCATENATE(BASE_URL,"0x06h-Testing-Platform-Interaction.md#testing-custom-url-schemes-mstg-platform-3"),"检测自定义 URL Schemes (MSTG-PLATFORM-3)")</f>
        <v>检测自定义 URL Schemes (MSTG-PLATFORM-3)</v>
      </c>
      <c r="I63" s="80"/>
      <c r="J63" s="80"/>
      <c r="K63" s="112"/>
    </row>
    <row r="64" spans="2:11">
      <c r="B64" s="75" t="s">
        <v>116</v>
      </c>
      <c r="C64" s="76" t="s">
        <v>117</v>
      </c>
      <c r="D64" s="44" t="s">
        <v>394</v>
      </c>
      <c r="E64" s="77" t="s">
        <v>15</v>
      </c>
      <c r="F64" s="78" t="s">
        <v>15</v>
      </c>
      <c r="G64" s="111"/>
      <c r="H64" s="119" t="str">
        <f>HYPERLINK(CONCATENATE( BASE_URL, "0x06h-Testing-Platform-Interaction.md#testing-for-sensitive-functionality-exposure-through-ipc-mstg-platform-4"), "检测IPC机制安全 (MSTG-PLATFORM-4)")</f>
        <v>检测IPC机制安全 (MSTG-PLATFORM-4)</v>
      </c>
      <c r="I64" s="80"/>
      <c r="J64" s="80"/>
      <c r="K64" s="112"/>
    </row>
    <row r="65" spans="2:11">
      <c r="B65" s="75" t="s">
        <v>118</v>
      </c>
      <c r="C65" s="76" t="s">
        <v>119</v>
      </c>
      <c r="D65" s="44" t="s">
        <v>360</v>
      </c>
      <c r="E65" s="77" t="s">
        <v>15</v>
      </c>
      <c r="F65" s="78" t="s">
        <v>15</v>
      </c>
      <c r="G65" s="111"/>
      <c r="H65" s="119" t="str">
        <f>HYPERLINK(CONCATENATE(BASE_URL,"0x06h-Testing-Platform-Interaction.md#testing-ios-webviews-mstg-platform-5"),"检测 iOS WebViews (MSTG-PLATFORM-5)")</f>
        <v>检测 iOS WebViews (MSTG-PLATFORM-5)</v>
      </c>
      <c r="I65" s="80"/>
      <c r="J65" s="80"/>
      <c r="K65" s="112"/>
    </row>
    <row r="66" spans="2:11">
      <c r="B66" s="75" t="s">
        <v>120</v>
      </c>
      <c r="C66" s="76" t="s">
        <v>121</v>
      </c>
      <c r="D66" s="41" t="s">
        <v>361</v>
      </c>
      <c r="E66" s="77" t="s">
        <v>15</v>
      </c>
      <c r="F66" s="78" t="s">
        <v>15</v>
      </c>
      <c r="G66" s="111"/>
      <c r="H66" s="119" t="str">
        <f>HYPERLINK(CONCATENATE(BASE_URL,"0x06h-Testing-Platform-Interaction.md#testing-webview-protocol-handlers-mstg-platform-6"),"检测Webview协议处理 (MSTG-PLATFORM-6)")</f>
        <v>检测Webview协议处理 (MSTG-PLATFORM-6)</v>
      </c>
      <c r="I66" s="80"/>
      <c r="J66" s="80"/>
      <c r="K66" s="112"/>
    </row>
    <row r="67" spans="2:11">
      <c r="B67" s="75" t="s">
        <v>122</v>
      </c>
      <c r="C67" s="76" t="s">
        <v>123</v>
      </c>
      <c r="D67" s="41" t="s">
        <v>362</v>
      </c>
      <c r="E67" s="77" t="s">
        <v>15</v>
      </c>
      <c r="F67" s="78" t="s">
        <v>15</v>
      </c>
      <c r="G67" s="111"/>
      <c r="H67" s="119" t="str">
        <f>HYPERLINK(CONCATENATE(BASE_URL,"0x06h-Testing-Platform-Interaction.md#determining-whether-native-methods-are-exposed-through-webviews-mstg-platform-7"),"检测通过Webview可以调用的本地方法 (MSTG-PLATFORM-7)")</f>
        <v>检测通过Webview可以调用的本地方法 (MSTG-PLATFORM-7)</v>
      </c>
      <c r="I67" s="80"/>
      <c r="J67" s="80"/>
      <c r="K67" s="112"/>
    </row>
    <row r="68" spans="2:11">
      <c r="B68" s="75" t="s">
        <v>124</v>
      </c>
      <c r="C68" s="76" t="s">
        <v>125</v>
      </c>
      <c r="D68" s="44" t="s">
        <v>363</v>
      </c>
      <c r="E68" s="77" t="s">
        <v>15</v>
      </c>
      <c r="F68" s="78" t="s">
        <v>15</v>
      </c>
      <c r="G68" s="111"/>
      <c r="H68" s="119" t="str">
        <f>HYPERLINK(CONCATENATE(BASE_URL,"0x06h-Testing-Platform-Interaction.md#testing-object-persistence-mstg-platform-8"),"检测对象持久化 (MSTG-PLATFORM-8)")</f>
        <v>检测对象持久化 (MSTG-PLATFORM-8)</v>
      </c>
      <c r="I68" s="80"/>
      <c r="J68" s="80"/>
      <c r="K68" s="112"/>
    </row>
    <row r="69" spans="2:11">
      <c r="B69" s="75" t="s">
        <v>236</v>
      </c>
      <c r="C69" s="76" t="s">
        <v>239</v>
      </c>
      <c r="D69" s="44" t="s">
        <v>364</v>
      </c>
      <c r="E69" s="100"/>
      <c r="F69" s="78" t="s">
        <v>15</v>
      </c>
      <c r="G69" s="111" t="s">
        <v>24</v>
      </c>
      <c r="H69" s="86"/>
      <c r="I69" s="80"/>
      <c r="J69" s="80"/>
      <c r="K69" s="112"/>
    </row>
    <row r="70" spans="2:11">
      <c r="B70" s="75" t="s">
        <v>237</v>
      </c>
      <c r="C70" s="76" t="s">
        <v>240</v>
      </c>
      <c r="D70" s="44" t="s">
        <v>365</v>
      </c>
      <c r="E70" s="100"/>
      <c r="F70" s="78" t="s">
        <v>15</v>
      </c>
      <c r="G70" s="111" t="s">
        <v>24</v>
      </c>
      <c r="H70" s="86"/>
      <c r="I70" s="80"/>
      <c r="J70" s="80"/>
      <c r="K70" s="112"/>
    </row>
    <row r="71" spans="2:11">
      <c r="B71" s="75" t="s">
        <v>238</v>
      </c>
      <c r="C71" s="76" t="s">
        <v>241</v>
      </c>
      <c r="D71" s="44" t="s">
        <v>366</v>
      </c>
      <c r="E71" s="100"/>
      <c r="F71" s="78" t="s">
        <v>15</v>
      </c>
      <c r="G71" s="111" t="s">
        <v>24</v>
      </c>
      <c r="H71" s="86"/>
      <c r="I71" s="80"/>
      <c r="J71" s="80"/>
      <c r="K71" s="112"/>
    </row>
    <row r="72" spans="2:11">
      <c r="B72" s="81" t="s">
        <v>126</v>
      </c>
      <c r="C72" s="82"/>
      <c r="D72" s="38" t="s">
        <v>279</v>
      </c>
      <c r="E72" s="83"/>
      <c r="F72" s="84"/>
      <c r="G72" s="83"/>
      <c r="H72" s="83"/>
      <c r="I72" s="83"/>
      <c r="J72" s="83"/>
      <c r="K72" s="40"/>
    </row>
    <row r="73" spans="2:11">
      <c r="B73" s="75" t="s">
        <v>127</v>
      </c>
      <c r="C73" s="76" t="s">
        <v>128</v>
      </c>
      <c r="D73" s="44" t="s">
        <v>367</v>
      </c>
      <c r="E73" s="77" t="s">
        <v>15</v>
      </c>
      <c r="F73" s="78" t="s">
        <v>15</v>
      </c>
      <c r="G73" s="111"/>
      <c r="H73" s="119" t="str">
        <f>HYPERLINK(CONCATENATE(BASE_URL,"0x06i-Testing-Code-Quality-and-Build-Settings.md#making-sure-that-the-app-is-properly-signed-mstg-code-1"),"检测应用签名配置 (MSTG-CODE-1)")</f>
        <v>检测应用签名配置 (MSTG-CODE-1)</v>
      </c>
      <c r="I73" s="80"/>
      <c r="J73" s="80"/>
      <c r="K73" s="112"/>
    </row>
    <row r="74" spans="2:11">
      <c r="B74" s="75" t="s">
        <v>129</v>
      </c>
      <c r="C74" s="76" t="s">
        <v>130</v>
      </c>
      <c r="D74" s="44" t="s">
        <v>368</v>
      </c>
      <c r="E74" s="77" t="s">
        <v>15</v>
      </c>
      <c r="F74" s="78" t="s">
        <v>15</v>
      </c>
      <c r="G74" s="111"/>
      <c r="H74" s="119" t="str">
        <f>HYPERLINK(CONCATENATE(BASE_URL,"0x06i-Testing-Code-Quality-and-Build-Settings.md#determining-whether-the-app-is-debuggable-mstg-code-2"),"检测是否可调试 (MSTG-CODE-2)")</f>
        <v>检测是否可调试 (MSTG-CODE-2)</v>
      </c>
      <c r="I74" s="80"/>
      <c r="J74" s="80"/>
      <c r="K74" s="112"/>
    </row>
    <row r="75" spans="2:11">
      <c r="B75" s="75" t="s">
        <v>131</v>
      </c>
      <c r="C75" s="76" t="s">
        <v>132</v>
      </c>
      <c r="D75" s="44" t="s">
        <v>369</v>
      </c>
      <c r="E75" s="77" t="s">
        <v>15</v>
      </c>
      <c r="F75" s="78" t="s">
        <v>15</v>
      </c>
      <c r="G75" s="111"/>
      <c r="H75" s="119" t="str">
        <f>HYPERLINK(CONCATENATE(BASE_URL,"0x06i-Testing-Code-Quality-and-Build-Settings.md#finding-debugging-symbols-mstg-code-3"),"检测调试信息 (MSTG-CODE-3)")</f>
        <v>检测调试信息 (MSTG-CODE-3)</v>
      </c>
      <c r="I75" s="80"/>
      <c r="J75" s="80"/>
      <c r="K75" s="112"/>
    </row>
    <row r="76" spans="2:11">
      <c r="B76" s="75" t="s">
        <v>133</v>
      </c>
      <c r="C76" s="76" t="s">
        <v>134</v>
      </c>
      <c r="D76" s="44" t="s">
        <v>370</v>
      </c>
      <c r="E76" s="77" t="s">
        <v>15</v>
      </c>
      <c r="F76" s="78" t="s">
        <v>15</v>
      </c>
      <c r="G76" s="111"/>
      <c r="H76" s="119" t="str">
        <f>HYPERLINK(CONCATENATE(BASE_URL,"0x06i-Testing-Code-Quality-and-Build-Settings.md#finding-debugging-code-and-verbose-error-logging-mstg-code-4"),"检测调试代码和日志 (MSTG-CODE-4)")</f>
        <v>检测调试代码和日志 (MSTG-CODE-4)</v>
      </c>
      <c r="I76" s="80"/>
      <c r="J76" s="80"/>
      <c r="K76" s="112"/>
    </row>
    <row r="77" spans="2:11">
      <c r="B77" s="75" t="s">
        <v>135</v>
      </c>
      <c r="C77" s="76" t="s">
        <v>136</v>
      </c>
      <c r="D77" s="37" t="s">
        <v>371</v>
      </c>
      <c r="E77" s="77" t="s">
        <v>15</v>
      </c>
      <c r="F77" s="78" t="s">
        <v>15</v>
      </c>
      <c r="G77" s="111"/>
      <c r="H77" s="119" t="str">
        <f>HYPERLINK(CONCATENATE(BASE_URL,"0x06i-Testing-Code-Quality-and-Build-Settings.md#checking-for-weaknesses-in-third-party-libraries-mstg-code-5"),"检测第三方库的漏洞 (MSTG-CODE-5)")</f>
        <v>检测第三方库的漏洞 (MSTG-CODE-5)</v>
      </c>
      <c r="I77" s="80"/>
      <c r="J77" s="80"/>
      <c r="K77" s="112"/>
    </row>
    <row r="78" spans="2:11">
      <c r="B78" s="75" t="s">
        <v>137</v>
      </c>
      <c r="C78" s="76" t="s">
        <v>138</v>
      </c>
      <c r="D78" s="44" t="s">
        <v>372</v>
      </c>
      <c r="E78" s="77" t="s">
        <v>15</v>
      </c>
      <c r="F78" s="78" t="s">
        <v>15</v>
      </c>
      <c r="G78" s="111"/>
      <c r="H78" s="119" t="str">
        <f>HYPERLINK(CONCATENATE(BASE_URL,"0x06i-Testing-Code-Quality-and-Build-Settings.md#testing-exception-handling-mstg-code-6"),"检测异常处理 (MSTG-CODE-6)")</f>
        <v>检测异常处理 (MSTG-CODE-6)</v>
      </c>
      <c r="I78" s="80"/>
      <c r="J78" s="80"/>
      <c r="K78" s="112"/>
    </row>
    <row r="79" spans="2:11">
      <c r="B79" s="75" t="s">
        <v>139</v>
      </c>
      <c r="C79" s="76" t="s">
        <v>140</v>
      </c>
      <c r="D79" s="44" t="s">
        <v>373</v>
      </c>
      <c r="E79" s="77" t="s">
        <v>15</v>
      </c>
      <c r="F79" s="78" t="s">
        <v>15</v>
      </c>
      <c r="G79" s="111"/>
      <c r="H79" s="119" t="str">
        <f>HYPERLINK(CONCATENATE(BASE_URL,"0x06i-Testing-Code-Quality-and-Build-Settings.md#testing-exception-handling-mstg-code-6"),"检测异常处理 (MSTG-CODE-6)")</f>
        <v>检测异常处理 (MSTG-CODE-6)</v>
      </c>
      <c r="I79" s="80"/>
      <c r="J79" s="80"/>
      <c r="K79" s="112"/>
    </row>
    <row r="80" spans="2:11">
      <c r="B80" s="75" t="s">
        <v>141</v>
      </c>
      <c r="C80" s="76" t="s">
        <v>142</v>
      </c>
      <c r="D80" s="44" t="s">
        <v>374</v>
      </c>
      <c r="E80" s="77" t="s">
        <v>15</v>
      </c>
      <c r="F80" s="78" t="s">
        <v>15</v>
      </c>
      <c r="G80" s="111"/>
      <c r="H80" s="119" t="str">
        <f>HYPERLINK(CONCATENATE(BASE_URL,"0x06i-Testing-Code-Quality-and-Build-Settings.md#memory-corruption-bugs-mstg-code-8"),"检测内存安全问题 (MSTG-CODE-8)")</f>
        <v>检测内存安全问题 (MSTG-CODE-8)</v>
      </c>
      <c r="I80" s="80"/>
      <c r="J80" s="80"/>
      <c r="K80" s="112"/>
    </row>
    <row r="81" spans="2:11">
      <c r="B81" s="75" t="s">
        <v>143</v>
      </c>
      <c r="C81" s="76" t="s">
        <v>144</v>
      </c>
      <c r="D81" s="37" t="s">
        <v>375</v>
      </c>
      <c r="E81" s="77" t="s">
        <v>15</v>
      </c>
      <c r="F81" s="78" t="s">
        <v>15</v>
      </c>
      <c r="G81" s="111"/>
      <c r="H81" s="119" t="str">
        <f>HYPERLINK(CONCATENATE(BASE_URL,"0x06i-Testing-Code-Quality-and-Build-Settings.md#make-sure-that-free-security-features-are-activated-mstg-code-9"),"确保免费安全功能已被开启(MSTG-CODE-9)")</f>
        <v>确保免费安全功能已被开启(MSTG-CODE-9)</v>
      </c>
      <c r="I81" s="80"/>
      <c r="J81" s="80"/>
      <c r="K81" s="112"/>
    </row>
    <row r="82" spans="2:11">
      <c r="B82" s="90"/>
      <c r="C82" s="91"/>
      <c r="D82" s="42"/>
      <c r="E82" s="92"/>
      <c r="F82" s="92"/>
      <c r="G82" s="92"/>
      <c r="H82" s="92"/>
      <c r="I82" s="92"/>
      <c r="J82" s="92"/>
      <c r="K82" s="43"/>
    </row>
    <row r="83" spans="2:11">
      <c r="B83" s="108"/>
      <c r="C83" s="108"/>
      <c r="D83" s="39"/>
      <c r="E83" s="95"/>
      <c r="F83" s="95"/>
      <c r="G83" s="95"/>
      <c r="H83" s="95"/>
      <c r="I83" s="95"/>
      <c r="J83" s="95"/>
      <c r="K83" s="39"/>
    </row>
    <row r="84" spans="2:11">
      <c r="B84" s="108"/>
      <c r="C84" s="108"/>
      <c r="D84" s="39"/>
      <c r="E84" s="95"/>
      <c r="F84" s="95"/>
      <c r="G84" s="95"/>
      <c r="H84" s="95"/>
      <c r="I84" s="95"/>
      <c r="J84" s="95"/>
      <c r="K84" s="39"/>
    </row>
    <row r="85" spans="2:11">
      <c r="B85" s="108"/>
      <c r="C85" s="108"/>
      <c r="D85" s="39"/>
      <c r="E85" s="95"/>
      <c r="F85" s="95"/>
      <c r="G85" s="95"/>
      <c r="H85" s="95"/>
      <c r="I85" s="95"/>
      <c r="J85" s="95"/>
      <c r="K85" s="39"/>
    </row>
    <row r="86" spans="2:11">
      <c r="B86" s="109" t="s">
        <v>306</v>
      </c>
      <c r="C86" s="109"/>
      <c r="D86" s="39"/>
      <c r="E86" s="95"/>
      <c r="F86" s="95"/>
      <c r="G86" s="95"/>
      <c r="H86" s="95"/>
      <c r="I86" s="95"/>
      <c r="J86" s="95"/>
      <c r="K86" s="39"/>
    </row>
    <row r="87" spans="2:11">
      <c r="B87" s="97" t="s">
        <v>283</v>
      </c>
      <c r="C87" s="97"/>
      <c r="D87" s="45" t="s">
        <v>305</v>
      </c>
      <c r="E87" s="95"/>
      <c r="F87" s="95"/>
      <c r="G87" s="95"/>
      <c r="H87" s="95"/>
      <c r="I87" s="95"/>
      <c r="J87" s="95"/>
      <c r="K87" s="39"/>
    </row>
    <row r="88" spans="2:11">
      <c r="B88" s="46" t="s">
        <v>307</v>
      </c>
      <c r="C88" s="46"/>
      <c r="D88" s="47" t="s">
        <v>405</v>
      </c>
      <c r="E88" s="95"/>
      <c r="F88" s="95"/>
      <c r="G88" s="95"/>
      <c r="H88" s="95"/>
      <c r="I88" s="95"/>
      <c r="J88" s="95"/>
      <c r="K88" s="39"/>
    </row>
    <row r="89" spans="2:11">
      <c r="B89" s="46" t="s">
        <v>308</v>
      </c>
      <c r="C89" s="46"/>
      <c r="D89" s="47" t="s">
        <v>406</v>
      </c>
      <c r="E89" s="95"/>
      <c r="F89" s="95"/>
      <c r="G89" s="95"/>
      <c r="H89" s="95"/>
      <c r="I89" s="95"/>
      <c r="J89" s="95"/>
      <c r="K89" s="39"/>
    </row>
    <row r="90" spans="2:11">
      <c r="B90" s="46" t="s">
        <v>24</v>
      </c>
      <c r="C90" s="46"/>
      <c r="D90" s="47" t="s">
        <v>407</v>
      </c>
      <c r="E90" s="95"/>
      <c r="F90" s="95"/>
      <c r="G90" s="95"/>
      <c r="H90" s="95"/>
      <c r="I90" s="95"/>
      <c r="J90" s="95"/>
      <c r="K90" s="39"/>
    </row>
    <row r="91" spans="2:11">
      <c r="B91" s="108"/>
      <c r="C91" s="108"/>
      <c r="D91" s="39"/>
      <c r="E91" s="95"/>
      <c r="F91" s="95"/>
      <c r="G91" s="95"/>
      <c r="H91" s="95"/>
      <c r="I91" s="95"/>
      <c r="J91" s="95"/>
      <c r="K91" s="39"/>
    </row>
    <row r="92" spans="2:11">
      <c r="B92" s="108"/>
      <c r="C92" s="108"/>
      <c r="D92" s="39"/>
      <c r="E92" s="95"/>
      <c r="F92" s="95"/>
      <c r="G92" s="95"/>
      <c r="H92" s="95"/>
      <c r="I92" s="95"/>
      <c r="J92" s="95"/>
      <c r="K92" s="39"/>
    </row>
    <row r="93" spans="2:11">
      <c r="B93" s="108"/>
      <c r="C93" s="108"/>
      <c r="D93" s="39"/>
      <c r="E93" s="95"/>
      <c r="F93" s="95"/>
      <c r="G93" s="95"/>
      <c r="H93" s="95"/>
      <c r="I93" s="95"/>
      <c r="J93" s="95"/>
      <c r="K93" s="39"/>
    </row>
    <row r="94" spans="2:11">
      <c r="B94" s="108"/>
      <c r="C94" s="108"/>
      <c r="D94" s="39"/>
      <c r="E94" s="95"/>
      <c r="F94" s="95"/>
      <c r="G94" s="95"/>
      <c r="H94" s="95"/>
      <c r="I94" s="95"/>
      <c r="J94" s="95"/>
      <c r="K94" s="39"/>
    </row>
  </sheetData>
  <mergeCells count="1">
    <mergeCell ref="H3:J3"/>
  </mergeCells>
  <phoneticPr fontId="27"/>
  <conditionalFormatting sqref="M1:M1048576">
    <cfRule type="containsText" dxfId="7" priority="2" operator="containsText" text="0x05">
      <formula>NOT(ISERROR(SEARCH("0x05",M1)))</formula>
    </cfRule>
  </conditionalFormatting>
  <conditionalFormatting sqref="H1:H28 H33:H1048576">
    <cfRule type="containsText" dxfId="6" priority="3" operator="containsText" text="0x05">
      <formula>NOT(ISERROR(SEARCH("0x05",H1)))</formula>
    </cfRule>
  </conditionalFormatting>
  <conditionalFormatting sqref="J6">
    <cfRule type="containsText" dxfId="5" priority="4" operator="containsText" text="0x05">
      <formula>NOT(ISERROR(SEARCH("0x05",J6)))</formula>
    </cfRule>
  </conditionalFormatting>
  <conditionalFormatting sqref="I6">
    <cfRule type="containsText" dxfId="4"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18:G32 G34:G39 G41:G52 G54:G59 G61:G71 G73:G81"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election activeCell="D28" sqref="D28"/>
    </sheetView>
  </sheetViews>
  <sheetFormatPr baseColWidth="10" defaultColWidth="8.6640625" defaultRowHeight="16"/>
  <cols>
    <col min="1" max="1" width="1.83203125" style="66" customWidth="1"/>
    <col min="2" max="2" width="7.33203125" style="110" customWidth="1"/>
    <col min="3" max="3" width="17.5" style="110" customWidth="1"/>
    <col min="4" max="4" width="93.33203125" style="48" customWidth="1"/>
    <col min="5" max="5" width="3" style="66" customWidth="1"/>
    <col min="6" max="6" width="5.6640625" style="66" customWidth="1"/>
    <col min="7" max="7" width="61.83203125" style="66" customWidth="1"/>
    <col min="8" max="8" width="30.6640625" style="48" customWidth="1"/>
    <col min="9" max="1025" width="11" style="66" customWidth="1"/>
    <col min="1026" max="16384" width="8.6640625" style="66"/>
  </cols>
  <sheetData>
    <row r="1" spans="2:8" ht="19">
      <c r="B1" s="105" t="s">
        <v>382</v>
      </c>
      <c r="C1" s="105"/>
      <c r="G1" s="95"/>
      <c r="H1" s="39"/>
    </row>
    <row r="2" spans="2:8">
      <c r="G2" s="95"/>
      <c r="H2" s="39"/>
    </row>
    <row r="3" spans="2:8">
      <c r="B3" s="70" t="s">
        <v>9</v>
      </c>
      <c r="C3" s="71" t="s">
        <v>10</v>
      </c>
      <c r="D3" s="33" t="s">
        <v>287</v>
      </c>
      <c r="E3" s="63" t="s">
        <v>145</v>
      </c>
      <c r="F3" s="63" t="s">
        <v>283</v>
      </c>
      <c r="G3" s="63" t="s">
        <v>381</v>
      </c>
      <c r="H3" s="35" t="s">
        <v>285</v>
      </c>
    </row>
    <row r="4" spans="2:8">
      <c r="B4" s="81"/>
      <c r="C4" s="82"/>
      <c r="D4" s="38" t="s">
        <v>288</v>
      </c>
      <c r="E4" s="83"/>
      <c r="F4" s="83"/>
      <c r="G4" s="83"/>
      <c r="H4" s="40"/>
    </row>
    <row r="5" spans="2:8">
      <c r="B5" s="75" t="s">
        <v>146</v>
      </c>
      <c r="C5" s="76" t="s">
        <v>147</v>
      </c>
      <c r="D5" s="41" t="s">
        <v>396</v>
      </c>
      <c r="E5" s="102" t="s">
        <v>15</v>
      </c>
      <c r="F5" s="111" t="s">
        <v>24</v>
      </c>
      <c r="G5" s="119" t="str">
        <f>HYPERLINK(CONCATENATE(BASE_URL,"0x06j-Testing-Resiliency-Against-Reverse-Engineering.md#jailbreak-detection-mstg-resilience-1"),"越狱检测 (MSTG-RESILIENCE-1)")</f>
        <v>越狱检测 (MSTG-RESILIENCE-1)</v>
      </c>
      <c r="H5" s="112"/>
    </row>
    <row r="6" spans="2:8">
      <c r="B6" s="75" t="s">
        <v>148</v>
      </c>
      <c r="C6" s="76" t="s">
        <v>149</v>
      </c>
      <c r="D6" s="41" t="s">
        <v>400</v>
      </c>
      <c r="E6" s="102" t="s">
        <v>15</v>
      </c>
      <c r="F6" s="111" t="s">
        <v>24</v>
      </c>
      <c r="G6" s="119" t="str">
        <f>HYPERLINK(CONCATENATE(BASE_URL,"0x06j-Testing-Resiliency-Against-Reverse-Engineering.md#anti-debugging-checks-mstg-resilience-2"),"反调试检测 (MSTG-RESILIENCE-2)")</f>
        <v>反调试检测 (MSTG-RESILIENCE-2)</v>
      </c>
      <c r="H6" s="112"/>
    </row>
    <row r="7" spans="2:8">
      <c r="B7" s="75" t="s">
        <v>150</v>
      </c>
      <c r="C7" s="76" t="s">
        <v>151</v>
      </c>
      <c r="D7" s="44" t="s">
        <v>401</v>
      </c>
      <c r="E7" s="102" t="s">
        <v>15</v>
      </c>
      <c r="F7" s="111" t="s">
        <v>24</v>
      </c>
      <c r="G7" s="119" t="str">
        <f>HYPERLINK(CONCATENATE(BASE_URL,"0x06j-Testing-Resiliency-Against-Reverse-Engineering.md#file-integrity-checks-mstg-resilience-3-and-mstg-resilience-11"),"文件完整性检测 (MSTG-RESILIENCE-3 and MSTG-RESILIENCE-11)")</f>
        <v>文件完整性检测 (MSTG-RESILIENCE-3 and MSTG-RESILIENCE-11)</v>
      </c>
      <c r="H7" s="112"/>
    </row>
    <row r="8" spans="2:8">
      <c r="B8" s="75" t="s">
        <v>152</v>
      </c>
      <c r="C8" s="76" t="s">
        <v>153</v>
      </c>
      <c r="D8" s="44" t="s">
        <v>397</v>
      </c>
      <c r="E8" s="102" t="s">
        <v>15</v>
      </c>
      <c r="F8" s="111" t="s">
        <v>24</v>
      </c>
      <c r="G8" s="119" t="str">
        <f>HYPERLINK(CONCATENATE(BASE_URL,"0x06j-Testing-Resiliency-Against-Reverse-Engineering.md#testing-reverse-engineering-tools-detection-mstg-resilience-4"),"逆向工程检测 (MSTG-RESILIENCE-4)")</f>
        <v>逆向工程检测 (MSTG-RESILIENCE-4)</v>
      </c>
      <c r="H8" s="112"/>
    </row>
    <row r="9" spans="2:8">
      <c r="B9" s="75" t="s">
        <v>154</v>
      </c>
      <c r="C9" s="76" t="s">
        <v>155</v>
      </c>
      <c r="D9" s="44" t="s">
        <v>398</v>
      </c>
      <c r="E9" s="102" t="s">
        <v>15</v>
      </c>
      <c r="F9" s="111" t="s">
        <v>24</v>
      </c>
      <c r="G9" s="119" t="str">
        <f>HYPERLINK(CONCATENATE(BASE_URL,"0x06j-Testing-Resiliency-Against-Reverse-Engineering.md#testing-emulator-detection-mstg-resilience-5"),"模拟器检测 (MSTG-RESILIENCE-5)")</f>
        <v>模拟器检测 (MSTG-RESILIENCE-5)</v>
      </c>
      <c r="H9" s="112"/>
    </row>
    <row r="10" spans="2:8">
      <c r="B10" s="75" t="s">
        <v>156</v>
      </c>
      <c r="C10" s="76" t="s">
        <v>157</v>
      </c>
      <c r="D10" s="44" t="s">
        <v>402</v>
      </c>
      <c r="E10" s="102" t="s">
        <v>15</v>
      </c>
      <c r="F10" s="111" t="s">
        <v>24</v>
      </c>
      <c r="G10" s="119"/>
      <c r="H10" s="112"/>
    </row>
    <row r="11" spans="2:8" ht="17">
      <c r="B11" s="75" t="s">
        <v>158</v>
      </c>
      <c r="C11" s="76" t="s">
        <v>159</v>
      </c>
      <c r="D11" s="41" t="s">
        <v>399</v>
      </c>
      <c r="E11" s="102" t="s">
        <v>15</v>
      </c>
      <c r="F11" s="111" t="s">
        <v>24</v>
      </c>
      <c r="G11" s="103" t="s">
        <v>163</v>
      </c>
      <c r="H11" s="112"/>
    </row>
    <row r="12" spans="2:8" ht="17">
      <c r="B12" s="75" t="s">
        <v>161</v>
      </c>
      <c r="C12" s="76" t="s">
        <v>162</v>
      </c>
      <c r="D12" s="44" t="s">
        <v>313</v>
      </c>
      <c r="E12" s="102" t="s">
        <v>15</v>
      </c>
      <c r="F12" s="111" t="s">
        <v>24</v>
      </c>
      <c r="G12" s="103" t="s">
        <v>163</v>
      </c>
      <c r="H12" s="112"/>
    </row>
    <row r="13" spans="2:8">
      <c r="B13" s="75" t="s">
        <v>164</v>
      </c>
      <c r="C13" s="76" t="s">
        <v>165</v>
      </c>
      <c r="D13" s="44" t="s">
        <v>300</v>
      </c>
      <c r="E13" s="102" t="s">
        <v>15</v>
      </c>
      <c r="F13" s="111" t="s">
        <v>24</v>
      </c>
      <c r="G13" s="119" t="str">
        <f>HYPERLINK(CONCATENATE(BASE_URL,"0x06j-Testing-Resiliency-Against-Reverse-Engineering.md#testing-obfuscation-mstg-resilience-9"),"混淆检测 (MSTG-RESILIENCE-9)")</f>
        <v>混淆检测 (MSTG-RESILIENCE-9)</v>
      </c>
      <c r="H13" s="112"/>
    </row>
    <row r="14" spans="2:8">
      <c r="B14" s="81"/>
      <c r="C14" s="82"/>
      <c r="D14" s="38" t="s">
        <v>301</v>
      </c>
      <c r="E14" s="83"/>
      <c r="F14" s="83"/>
      <c r="G14" s="83"/>
      <c r="H14" s="40"/>
    </row>
    <row r="15" spans="2:8">
      <c r="B15" s="75" t="s">
        <v>166</v>
      </c>
      <c r="C15" s="76" t="s">
        <v>167</v>
      </c>
      <c r="D15" s="41" t="s">
        <v>404</v>
      </c>
      <c r="E15" s="102" t="s">
        <v>15</v>
      </c>
      <c r="F15" s="111" t="s">
        <v>24</v>
      </c>
      <c r="G15" s="119" t="str">
        <f>HYPERLINK(CONCATENATE(BASE_URL,"0x06j-Testing-Resiliency-Against-Reverse-Engineering.md#device-binding-mstg-resilience-10"),"设备绑定检测 (MSTG-RESILIENCE-10)")</f>
        <v>设备绑定检测 (MSTG-RESILIENCE-10)</v>
      </c>
      <c r="H15" s="112"/>
    </row>
    <row r="16" spans="2:8">
      <c r="B16" s="81"/>
      <c r="C16" s="82"/>
      <c r="D16" s="38" t="s">
        <v>302</v>
      </c>
      <c r="E16" s="83"/>
      <c r="F16" s="83"/>
      <c r="G16" s="83"/>
      <c r="H16" s="40"/>
    </row>
    <row r="17" spans="2:8" ht="32">
      <c r="B17" s="75" t="s">
        <v>168</v>
      </c>
      <c r="C17" s="76" t="s">
        <v>169</v>
      </c>
      <c r="D17" s="41" t="s">
        <v>304</v>
      </c>
      <c r="E17" s="102" t="s">
        <v>15</v>
      </c>
      <c r="F17" s="111" t="s">
        <v>24</v>
      </c>
      <c r="G17" s="119" t="str">
        <f>HYPERLINK(CONCATENATE(BASE_URL,"0x06j-Testing-Resiliency-Against-Reverse-Engineering.md#file-integrity-checks-mstg-resilience-3-and-mstg-resilience-11"),"文件完整性检测 (MSTG-RESILIENCE-3 and MSTG-RESILIENCE-11)")</f>
        <v>文件完整性检测 (MSTG-RESILIENCE-3 and MSTG-RESILIENCE-11)</v>
      </c>
      <c r="H17" s="112"/>
    </row>
    <row r="18" spans="2:8" ht="32">
      <c r="B18" s="75" t="s">
        <v>170</v>
      </c>
      <c r="C18" s="76" t="s">
        <v>171</v>
      </c>
      <c r="D18" s="41" t="s">
        <v>314</v>
      </c>
      <c r="E18" s="102" t="s">
        <v>15</v>
      </c>
      <c r="F18" s="111" t="s">
        <v>24</v>
      </c>
      <c r="G18" s="103" t="s">
        <v>163</v>
      </c>
      <c r="H18" s="112"/>
    </row>
    <row r="19" spans="2:8">
      <c r="B19" s="81"/>
      <c r="C19" s="82"/>
      <c r="D19" s="38" t="s">
        <v>303</v>
      </c>
      <c r="E19" s="83"/>
      <c r="F19" s="83"/>
      <c r="G19" s="83"/>
      <c r="H19" s="40"/>
    </row>
    <row r="20" spans="2:8" ht="17">
      <c r="B20" s="75" t="s">
        <v>242</v>
      </c>
      <c r="C20" s="76" t="s">
        <v>243</v>
      </c>
      <c r="D20" s="41" t="s">
        <v>312</v>
      </c>
      <c r="E20" s="102" t="s">
        <v>15</v>
      </c>
      <c r="F20" s="111" t="s">
        <v>24</v>
      </c>
      <c r="G20" s="103" t="s">
        <v>163</v>
      </c>
      <c r="H20" s="112"/>
    </row>
    <row r="21" spans="2:8">
      <c r="B21" s="90"/>
      <c r="C21" s="91"/>
      <c r="D21" s="42"/>
      <c r="E21" s="92"/>
      <c r="F21" s="92"/>
      <c r="G21" s="92"/>
      <c r="H21" s="43"/>
    </row>
    <row r="22" spans="2:8">
      <c r="B22" s="108"/>
      <c r="C22" s="108"/>
      <c r="D22" s="39"/>
      <c r="E22" s="95"/>
      <c r="F22" s="95"/>
      <c r="G22" s="95"/>
      <c r="H22" s="39"/>
    </row>
    <row r="23" spans="2:8">
      <c r="B23" s="108"/>
      <c r="C23" s="108"/>
      <c r="D23" s="39"/>
      <c r="E23" s="95"/>
      <c r="F23" s="95"/>
      <c r="G23" s="95"/>
      <c r="H23" s="39"/>
    </row>
    <row r="24" spans="2:8">
      <c r="B24" s="109" t="s">
        <v>306</v>
      </c>
      <c r="C24" s="109"/>
      <c r="D24" s="39"/>
      <c r="E24" s="95"/>
      <c r="F24" s="95"/>
      <c r="G24" s="95"/>
      <c r="H24" s="39"/>
    </row>
    <row r="25" spans="2:8">
      <c r="B25" s="97" t="s">
        <v>283</v>
      </c>
      <c r="C25" s="97"/>
      <c r="D25" s="45" t="s">
        <v>305</v>
      </c>
      <c r="E25" s="95"/>
      <c r="F25" s="95"/>
      <c r="G25" s="95"/>
      <c r="H25" s="39"/>
    </row>
    <row r="26" spans="2:8">
      <c r="B26" s="46" t="s">
        <v>307</v>
      </c>
      <c r="C26" s="46"/>
      <c r="D26" s="47" t="s">
        <v>405</v>
      </c>
      <c r="E26" s="95"/>
      <c r="F26" s="95"/>
      <c r="G26" s="95"/>
      <c r="H26" s="39"/>
    </row>
    <row r="27" spans="2:8">
      <c r="B27" s="46" t="s">
        <v>308</v>
      </c>
      <c r="C27" s="46"/>
      <c r="D27" s="47" t="s">
        <v>406</v>
      </c>
      <c r="E27" s="95"/>
      <c r="F27" s="95"/>
      <c r="G27" s="95"/>
      <c r="H27" s="39"/>
    </row>
    <row r="28" spans="2:8">
      <c r="B28" s="46" t="s">
        <v>24</v>
      </c>
      <c r="C28" s="46"/>
      <c r="D28" s="47" t="s">
        <v>407</v>
      </c>
      <c r="E28" s="95"/>
      <c r="F28" s="95"/>
      <c r="G28" s="95"/>
      <c r="H28" s="39"/>
    </row>
    <row r="29" spans="2:8">
      <c r="B29" s="108"/>
      <c r="C29" s="108"/>
      <c r="D29" s="39"/>
      <c r="E29" s="95"/>
      <c r="F29" s="95"/>
      <c r="G29" s="95"/>
      <c r="H29" s="39"/>
    </row>
    <row r="30" spans="2:8">
      <c r="B30" s="108"/>
      <c r="C30" s="108"/>
      <c r="D30" s="39"/>
      <c r="E30" s="95"/>
      <c r="F30" s="95"/>
      <c r="G30" s="95"/>
      <c r="H30" s="39"/>
    </row>
    <row r="31" spans="2:8">
      <c r="B31" s="108"/>
      <c r="C31" s="108"/>
      <c r="D31" s="39"/>
      <c r="E31" s="95"/>
      <c r="F31" s="95"/>
      <c r="G31" s="95"/>
      <c r="H31" s="39"/>
    </row>
    <row r="32" spans="2:8">
      <c r="B32" s="108"/>
      <c r="C32" s="108"/>
      <c r="D32" s="39"/>
      <c r="E32" s="95"/>
      <c r="F32" s="95"/>
    </row>
    <row r="33" spans="2:6">
      <c r="B33" s="108"/>
      <c r="C33" s="108"/>
      <c r="D33" s="39"/>
      <c r="E33" s="95"/>
      <c r="F33" s="95"/>
    </row>
    <row r="34" spans="2:6">
      <c r="B34" s="108"/>
      <c r="C34" s="108"/>
      <c r="D34" s="39"/>
      <c r="E34" s="95"/>
      <c r="F34" s="95"/>
    </row>
  </sheetData>
  <phoneticPr fontId="27"/>
  <conditionalFormatting sqref="G11">
    <cfRule type="containsText" dxfId="3" priority="5" operator="containsText" text="0x05">
      <formula>NOT(ISERROR(SEARCH("0x05",G11)))</formula>
    </cfRule>
  </conditionalFormatting>
  <conditionalFormatting sqref="G12">
    <cfRule type="containsText" dxfId="2" priority="6" operator="containsText" text="0x05">
      <formula>NOT(ISERROR(SEARCH("0x05",G12)))</formula>
    </cfRule>
  </conditionalFormatting>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tabSelected="1" topLeftCell="A19" zoomScaleNormal="100" workbookViewId="0">
      <selection activeCell="E36" sqref="E36"/>
    </sheetView>
  </sheetViews>
  <sheetFormatPr baseColWidth="10" defaultColWidth="8.83203125" defaultRowHeight="16"/>
  <cols>
    <col min="1" max="1" width="33.33203125" customWidth="1"/>
    <col min="2" max="2" width="11" customWidth="1"/>
    <col min="3" max="3" width="13.6640625" customWidth="1"/>
    <col min="4" max="4" width="11" customWidth="1"/>
    <col min="5" max="5" width="119.6640625" customWidth="1"/>
    <col min="6" max="1025" width="11" customWidth="1"/>
  </cols>
  <sheetData>
    <row r="1" spans="1:5">
      <c r="A1" s="143" t="s">
        <v>172</v>
      </c>
      <c r="B1" s="143"/>
      <c r="C1" s="50"/>
      <c r="D1" s="32"/>
      <c r="E1" s="32"/>
    </row>
    <row r="2" spans="1:5">
      <c r="A2" s="51" t="s">
        <v>173</v>
      </c>
      <c r="B2" s="51" t="s">
        <v>1</v>
      </c>
      <c r="C2" s="51" t="s">
        <v>174</v>
      </c>
      <c r="D2" s="51" t="s">
        <v>175</v>
      </c>
      <c r="E2" s="51" t="s">
        <v>11</v>
      </c>
    </row>
    <row r="3" spans="1:5">
      <c r="A3" s="52" t="s">
        <v>176</v>
      </c>
      <c r="B3" s="53">
        <v>0.1</v>
      </c>
      <c r="C3" s="53"/>
      <c r="D3" s="54">
        <v>42765</v>
      </c>
      <c r="E3" s="55" t="s">
        <v>177</v>
      </c>
    </row>
    <row r="4" spans="1:5">
      <c r="A4" s="55" t="s">
        <v>178</v>
      </c>
      <c r="B4" s="53">
        <v>0.2</v>
      </c>
      <c r="C4" s="53"/>
      <c r="D4" s="54">
        <v>42766</v>
      </c>
      <c r="E4" s="55" t="s">
        <v>179</v>
      </c>
    </row>
    <row r="5" spans="1:5">
      <c r="A5" s="55" t="s">
        <v>180</v>
      </c>
      <c r="B5" s="53">
        <v>0.3</v>
      </c>
      <c r="C5" s="53"/>
      <c r="D5" s="54">
        <v>42778</v>
      </c>
      <c r="E5" s="55" t="s">
        <v>181</v>
      </c>
    </row>
    <row r="6" spans="1:5">
      <c r="A6" s="55" t="s">
        <v>182</v>
      </c>
      <c r="B6" s="53" t="s">
        <v>183</v>
      </c>
      <c r="C6" s="53"/>
      <c r="D6" s="54">
        <v>42780</v>
      </c>
      <c r="E6" s="55" t="s">
        <v>184</v>
      </c>
    </row>
    <row r="7" spans="1:5">
      <c r="A7" s="55" t="s">
        <v>178</v>
      </c>
      <c r="B7" s="56" t="s">
        <v>185</v>
      </c>
      <c r="C7" s="56"/>
      <c r="D7" s="54">
        <v>42781</v>
      </c>
      <c r="E7" s="55" t="s">
        <v>186</v>
      </c>
    </row>
    <row r="8" spans="1:5">
      <c r="A8" s="55" t="s">
        <v>182</v>
      </c>
      <c r="B8" s="56" t="s">
        <v>187</v>
      </c>
      <c r="C8" s="56"/>
      <c r="D8" s="54">
        <v>42829</v>
      </c>
      <c r="E8" s="55" t="s">
        <v>188</v>
      </c>
    </row>
    <row r="9" spans="1:5">
      <c r="A9" s="55" t="s">
        <v>178</v>
      </c>
      <c r="B9" s="56" t="s">
        <v>187</v>
      </c>
      <c r="C9" s="56"/>
      <c r="D9" s="54">
        <v>42919</v>
      </c>
      <c r="E9" s="55" t="s">
        <v>189</v>
      </c>
    </row>
    <row r="10" spans="1:5">
      <c r="A10" s="55" t="s">
        <v>178</v>
      </c>
      <c r="B10" s="56" t="s">
        <v>190</v>
      </c>
      <c r="C10" s="56"/>
      <c r="D10" s="54">
        <v>42963</v>
      </c>
      <c r="E10" s="55" t="s">
        <v>191</v>
      </c>
    </row>
    <row r="11" spans="1:5">
      <c r="A11" s="55" t="s">
        <v>178</v>
      </c>
      <c r="B11" s="56" t="s">
        <v>192</v>
      </c>
      <c r="C11" s="56"/>
      <c r="D11" s="54">
        <v>43113</v>
      </c>
      <c r="E11" s="55" t="s">
        <v>193</v>
      </c>
    </row>
    <row r="12" spans="1:5">
      <c r="A12" s="55" t="s">
        <v>178</v>
      </c>
      <c r="B12" s="56">
        <v>1.1000000000000001</v>
      </c>
      <c r="C12" s="56"/>
      <c r="D12" s="54">
        <v>43289</v>
      </c>
      <c r="E12" s="55" t="s">
        <v>194</v>
      </c>
    </row>
    <row r="13" spans="1:5">
      <c r="A13" s="55" t="s">
        <v>195</v>
      </c>
      <c r="B13" s="57" t="s">
        <v>196</v>
      </c>
      <c r="C13" s="58"/>
      <c r="D13" s="54">
        <v>43464</v>
      </c>
      <c r="E13" s="59" t="s">
        <v>197</v>
      </c>
    </row>
    <row r="14" spans="1:5">
      <c r="A14" s="55" t="s">
        <v>198</v>
      </c>
      <c r="B14" s="57" t="s">
        <v>199</v>
      </c>
      <c r="C14" s="58"/>
      <c r="D14" s="54">
        <v>43469</v>
      </c>
      <c r="E14" s="59" t="s">
        <v>197</v>
      </c>
    </row>
    <row r="15" spans="1:5" ht="409" customHeight="1">
      <c r="A15" s="60" t="s">
        <v>200</v>
      </c>
      <c r="B15" s="56" t="s">
        <v>201</v>
      </c>
      <c r="C15" s="56" t="s">
        <v>202</v>
      </c>
      <c r="D15" s="54">
        <v>43471</v>
      </c>
      <c r="E15" s="61" t="s">
        <v>203</v>
      </c>
    </row>
    <row r="16" spans="1:5">
      <c r="A16" s="55" t="s">
        <v>195</v>
      </c>
      <c r="B16" s="57" t="s">
        <v>204</v>
      </c>
      <c r="C16" s="56" t="s">
        <v>202</v>
      </c>
      <c r="D16" s="62">
        <v>43475</v>
      </c>
      <c r="E16" s="59" t="s">
        <v>205</v>
      </c>
    </row>
    <row r="17" spans="1:5" ht="85">
      <c r="A17" s="60" t="s">
        <v>200</v>
      </c>
      <c r="B17" s="57" t="s">
        <v>206</v>
      </c>
      <c r="C17" s="56" t="s">
        <v>202</v>
      </c>
      <c r="D17" s="54">
        <v>43476</v>
      </c>
      <c r="E17" s="60" t="s">
        <v>207</v>
      </c>
    </row>
    <row r="18" spans="1:5" ht="51">
      <c r="A18" s="60" t="s">
        <v>200</v>
      </c>
      <c r="B18" s="57" t="s">
        <v>208</v>
      </c>
      <c r="C18" s="56" t="s">
        <v>202</v>
      </c>
      <c r="D18" s="54">
        <v>43478</v>
      </c>
      <c r="E18" s="60" t="s">
        <v>209</v>
      </c>
    </row>
    <row r="19" spans="1:5" ht="51">
      <c r="A19" s="60" t="s">
        <v>200</v>
      </c>
      <c r="B19" s="57" t="s">
        <v>210</v>
      </c>
      <c r="C19" s="56" t="s">
        <v>202</v>
      </c>
      <c r="D19" s="54">
        <v>43478</v>
      </c>
      <c r="E19" s="60" t="s">
        <v>211</v>
      </c>
    </row>
    <row r="20" spans="1:5" ht="119">
      <c r="A20" s="60" t="s">
        <v>195</v>
      </c>
      <c r="B20" s="57" t="s">
        <v>212</v>
      </c>
      <c r="C20" s="56" t="s">
        <v>0</v>
      </c>
      <c r="D20" s="54">
        <v>43641</v>
      </c>
      <c r="E20" s="61" t="s">
        <v>213</v>
      </c>
    </row>
    <row r="21" spans="1:5" ht="17">
      <c r="A21" s="60" t="s">
        <v>195</v>
      </c>
      <c r="B21" s="57" t="s">
        <v>214</v>
      </c>
      <c r="C21" s="56" t="s">
        <v>0</v>
      </c>
      <c r="D21" s="54">
        <v>43642</v>
      </c>
      <c r="E21" s="60" t="s">
        <v>215</v>
      </c>
    </row>
    <row r="22" spans="1:5" ht="51">
      <c r="A22" s="60" t="s">
        <v>195</v>
      </c>
      <c r="B22" s="57" t="s">
        <v>216</v>
      </c>
      <c r="C22" s="56" t="s">
        <v>0</v>
      </c>
      <c r="D22" s="54">
        <v>43649</v>
      </c>
      <c r="E22" s="60" t="s">
        <v>217</v>
      </c>
    </row>
    <row r="23" spans="1:5" ht="17">
      <c r="A23" s="60" t="s">
        <v>195</v>
      </c>
      <c r="B23" s="57" t="s">
        <v>216</v>
      </c>
      <c r="C23" s="56" t="s">
        <v>0</v>
      </c>
      <c r="D23" s="54">
        <v>43672</v>
      </c>
      <c r="E23" s="60" t="s">
        <v>218</v>
      </c>
    </row>
    <row r="24" spans="1:5" ht="17">
      <c r="A24" s="60" t="s">
        <v>195</v>
      </c>
      <c r="B24" s="57" t="s">
        <v>216</v>
      </c>
      <c r="C24" s="56" t="s">
        <v>0</v>
      </c>
      <c r="D24" s="54">
        <v>43674</v>
      </c>
      <c r="E24" s="60" t="s">
        <v>219</v>
      </c>
    </row>
    <row r="25" spans="1:5" ht="51">
      <c r="A25" s="60" t="s">
        <v>195</v>
      </c>
      <c r="B25" s="57" t="s">
        <v>220</v>
      </c>
      <c r="C25" s="56" t="s">
        <v>0</v>
      </c>
      <c r="D25" s="54">
        <v>43685</v>
      </c>
      <c r="E25" s="60" t="s">
        <v>221</v>
      </c>
    </row>
    <row r="26" spans="1:5" ht="51">
      <c r="A26" s="60" t="s">
        <v>222</v>
      </c>
      <c r="B26" s="57" t="s">
        <v>220</v>
      </c>
      <c r="C26" s="56" t="s">
        <v>0</v>
      </c>
      <c r="D26" s="54">
        <v>43719</v>
      </c>
      <c r="E26" s="60" t="s">
        <v>223</v>
      </c>
    </row>
    <row r="27" spans="1:5" ht="255">
      <c r="A27" s="117" t="s">
        <v>244</v>
      </c>
      <c r="B27" s="57" t="s">
        <v>245</v>
      </c>
      <c r="C27" s="56">
        <v>1.2</v>
      </c>
      <c r="D27" s="54">
        <v>43950</v>
      </c>
      <c r="E27" s="118" t="s">
        <v>246</v>
      </c>
    </row>
  </sheetData>
  <mergeCells count="1">
    <mergeCell ref="A1:B1"/>
  </mergeCells>
  <phoneticPr fontId="27"/>
  <pageMargins left="0.75" right="0.75" top="1" bottom="1"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30590-40C4-2D47-87DF-0C90D83DAE5D}">
  <dimension ref="A1:E3"/>
  <sheetViews>
    <sheetView workbookViewId="0">
      <selection activeCell="E7" sqref="E7"/>
    </sheetView>
  </sheetViews>
  <sheetFormatPr baseColWidth="10" defaultRowHeight="16"/>
  <cols>
    <col min="1" max="1" width="14.5" customWidth="1"/>
    <col min="5" max="5" width="71.1640625" customWidth="1"/>
  </cols>
  <sheetData>
    <row r="1" spans="1:5">
      <c r="A1" s="144" t="s">
        <v>309</v>
      </c>
      <c r="B1" s="144"/>
      <c r="C1" s="120"/>
      <c r="D1" s="121"/>
      <c r="E1" s="121"/>
    </row>
    <row r="2" spans="1:5">
      <c r="A2" s="122" t="s">
        <v>173</v>
      </c>
      <c r="B2" s="122" t="s">
        <v>1</v>
      </c>
      <c r="C2" s="122" t="s">
        <v>174</v>
      </c>
      <c r="D2" s="122" t="s">
        <v>175</v>
      </c>
      <c r="E2" s="122" t="s">
        <v>11</v>
      </c>
    </row>
    <row r="3" spans="1:5">
      <c r="A3" s="123" t="s">
        <v>310</v>
      </c>
      <c r="B3" s="124" t="s">
        <v>192</v>
      </c>
      <c r="C3" s="124">
        <v>1.2</v>
      </c>
      <c r="D3" s="125">
        <v>44173</v>
      </c>
      <c r="E3" s="123" t="s">
        <v>311</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总览</vt:lpstr>
      <vt:lpstr>摘要</vt:lpstr>
      <vt:lpstr>Android安全需求</vt:lpstr>
      <vt:lpstr>Android防逆向需求</vt:lpstr>
      <vt:lpstr>iOS安全需求</vt:lpstr>
      <vt:lpstr>iOS防逆向需求</vt:lpstr>
      <vt:lpstr>版本历史记录</vt:lpstr>
      <vt:lpstr>版本历史记录(中文)</vt:lpstr>
      <vt:lpstr>Android安全需求!_FilterDatabase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Microsoft Office User</cp:lastModifiedBy>
  <cp:revision>2</cp:revision>
  <dcterms:created xsi:type="dcterms:W3CDTF">2017-01-25T17:37:15Z</dcterms:created>
  <dcterms:modified xsi:type="dcterms:W3CDTF">2020-12-08T07:03:55Z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