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BE-410\Heat Exchanger\"/>
    </mc:Choice>
  </mc:AlternateContent>
  <xr:revisionPtr revIDLastSave="0" documentId="13_ncr:1_{319F2096-A3D4-488C-819B-7987A0398DD5}" xr6:coauthVersionLast="45" xr6:coauthVersionMax="45" xr10:uidLastSave="{00000000-0000-0000-0000-000000000000}"/>
  <bookViews>
    <workbookView xWindow="-96" yWindow="-96" windowWidth="19392" windowHeight="10392" activeTab="1" xr2:uid="{7A9ADAC6-A817-46EB-99C4-6A09C8E670C4}"/>
  </bookViews>
  <sheets>
    <sheet name="Raw Data" sheetId="2" r:id="rId1"/>
    <sheet name="Raw Data - Error" sheetId="6" r:id="rId2"/>
    <sheet name="Parameters" sheetId="3" r:id="rId3"/>
    <sheet name="Fluid Properties" sheetId="4" r:id="rId4"/>
    <sheet name="Fluid Properties (Curve Fits)" sheetId="5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6" l="1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4" i="6"/>
  <c r="BK25" i="6"/>
  <c r="AN25" i="6"/>
  <c r="AY25" i="6" s="1"/>
  <c r="X25" i="6"/>
  <c r="W25" i="6"/>
  <c r="L25" i="6"/>
  <c r="AU25" i="6" s="1"/>
  <c r="K25" i="6"/>
  <c r="AT25" i="6" s="1"/>
  <c r="BK24" i="6"/>
  <c r="AN24" i="6"/>
  <c r="X24" i="6"/>
  <c r="W24" i="6"/>
  <c r="L24" i="6"/>
  <c r="AU24" i="6" s="1"/>
  <c r="K24" i="6"/>
  <c r="BK23" i="6"/>
  <c r="AN23" i="6"/>
  <c r="AY23" i="6" s="1"/>
  <c r="X23" i="6"/>
  <c r="W23" i="6"/>
  <c r="L23" i="6"/>
  <c r="AQ23" i="6" s="1"/>
  <c r="K23" i="6"/>
  <c r="AP23" i="6" s="1"/>
  <c r="BK22" i="6"/>
  <c r="AN22" i="6"/>
  <c r="X22" i="6"/>
  <c r="W22" i="6"/>
  <c r="L22" i="6"/>
  <c r="AU22" i="6" s="1"/>
  <c r="K22" i="6"/>
  <c r="BK21" i="6"/>
  <c r="AN21" i="6"/>
  <c r="AY21" i="6" s="1"/>
  <c r="X21" i="6"/>
  <c r="W21" i="6"/>
  <c r="L21" i="6"/>
  <c r="AU21" i="6" s="1"/>
  <c r="K21" i="6"/>
  <c r="AT21" i="6" s="1"/>
  <c r="BK20" i="6"/>
  <c r="AN20" i="6"/>
  <c r="X20" i="6"/>
  <c r="W20" i="6"/>
  <c r="L20" i="6"/>
  <c r="K20" i="6"/>
  <c r="BK19" i="6"/>
  <c r="AN19" i="6"/>
  <c r="AY19" i="6" s="1"/>
  <c r="X19" i="6"/>
  <c r="W19" i="6"/>
  <c r="L19" i="6"/>
  <c r="AU19" i="6" s="1"/>
  <c r="K19" i="6"/>
  <c r="AP19" i="6" s="1"/>
  <c r="BK18" i="6"/>
  <c r="AN18" i="6"/>
  <c r="X18" i="6"/>
  <c r="W18" i="6"/>
  <c r="L18" i="6"/>
  <c r="K18" i="6"/>
  <c r="BK17" i="6"/>
  <c r="AN17" i="6"/>
  <c r="AY17" i="6" s="1"/>
  <c r="X17" i="6"/>
  <c r="W17" i="6"/>
  <c r="L17" i="6"/>
  <c r="AQ17" i="6" s="1"/>
  <c r="K17" i="6"/>
  <c r="BK16" i="6"/>
  <c r="AN16" i="6"/>
  <c r="AX16" i="6" s="1"/>
  <c r="X16" i="6"/>
  <c r="W16" i="6"/>
  <c r="AB16" i="6" s="1"/>
  <c r="L16" i="6"/>
  <c r="K16" i="6"/>
  <c r="AT16" i="6" s="1"/>
  <c r="BK15" i="6"/>
  <c r="AN15" i="6"/>
  <c r="AX15" i="6" s="1"/>
  <c r="X15" i="6"/>
  <c r="W15" i="6"/>
  <c r="L15" i="6"/>
  <c r="AU15" i="6" s="1"/>
  <c r="K15" i="6"/>
  <c r="BW14" i="6"/>
  <c r="BK14" i="6"/>
  <c r="AN14" i="6"/>
  <c r="AY14" i="6" s="1"/>
  <c r="X14" i="6"/>
  <c r="W14" i="6"/>
  <c r="L14" i="6"/>
  <c r="AU14" i="6" s="1"/>
  <c r="K14" i="6"/>
  <c r="AT14" i="6" s="1"/>
  <c r="BW13" i="6"/>
  <c r="BK13" i="6"/>
  <c r="AN13" i="6"/>
  <c r="AY13" i="6" s="1"/>
  <c r="X13" i="6"/>
  <c r="W13" i="6"/>
  <c r="L13" i="6"/>
  <c r="K13" i="6"/>
  <c r="AT13" i="6" s="1"/>
  <c r="BW12" i="6"/>
  <c r="BK12" i="6"/>
  <c r="AN12" i="6"/>
  <c r="X12" i="6"/>
  <c r="W12" i="6"/>
  <c r="L12" i="6"/>
  <c r="K12" i="6"/>
  <c r="BW11" i="6"/>
  <c r="BK11" i="6"/>
  <c r="AN11" i="6"/>
  <c r="AX11" i="6" s="1"/>
  <c r="X11" i="6"/>
  <c r="W11" i="6"/>
  <c r="L11" i="6"/>
  <c r="AU11" i="6" s="1"/>
  <c r="K11" i="6"/>
  <c r="BK10" i="6"/>
  <c r="AN10" i="6"/>
  <c r="AX10" i="6" s="1"/>
  <c r="X10" i="6"/>
  <c r="W10" i="6"/>
  <c r="L10" i="6"/>
  <c r="K10" i="6"/>
  <c r="AT10" i="6" s="1"/>
  <c r="BK9" i="6"/>
  <c r="AN9" i="6"/>
  <c r="AX9" i="6" s="1"/>
  <c r="X9" i="6"/>
  <c r="W9" i="6"/>
  <c r="L9" i="6"/>
  <c r="AU9" i="6" s="1"/>
  <c r="K9" i="6"/>
  <c r="AT9" i="6" s="1"/>
  <c r="BK8" i="6"/>
  <c r="AN8" i="6"/>
  <c r="AX8" i="6" s="1"/>
  <c r="X8" i="6"/>
  <c r="W8" i="6"/>
  <c r="L8" i="6"/>
  <c r="K8" i="6"/>
  <c r="AT8" i="6" s="1"/>
  <c r="BK7" i="6"/>
  <c r="AN7" i="6"/>
  <c r="AX7" i="6" s="1"/>
  <c r="X7" i="6"/>
  <c r="W7" i="6"/>
  <c r="L7" i="6"/>
  <c r="AU7" i="6" s="1"/>
  <c r="K7" i="6"/>
  <c r="AT7" i="6" s="1"/>
  <c r="BK6" i="6"/>
  <c r="AN6" i="6"/>
  <c r="AX6" i="6" s="1"/>
  <c r="X6" i="6"/>
  <c r="W6" i="6"/>
  <c r="L6" i="6"/>
  <c r="K6" i="6"/>
  <c r="AT6" i="6" s="1"/>
  <c r="BK5" i="6"/>
  <c r="AN5" i="6"/>
  <c r="AX5" i="6" s="1"/>
  <c r="X5" i="6"/>
  <c r="W5" i="6"/>
  <c r="L5" i="6"/>
  <c r="AU5" i="6" s="1"/>
  <c r="K5" i="6"/>
  <c r="AT5" i="6" s="1"/>
  <c r="BK4" i="6"/>
  <c r="AN4" i="6"/>
  <c r="AX4" i="6" s="1"/>
  <c r="X4" i="6"/>
  <c r="W4" i="6"/>
  <c r="L4" i="6"/>
  <c r="K4" i="6"/>
  <c r="AT4" i="6" s="1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4" i="2"/>
  <c r="AB4" i="6" l="1"/>
  <c r="AB6" i="6"/>
  <c r="AA8" i="6"/>
  <c r="AB13" i="6"/>
  <c r="AA16" i="6"/>
  <c r="AB18" i="6"/>
  <c r="AA20" i="6"/>
  <c r="AB22" i="6"/>
  <c r="AA24" i="6"/>
  <c r="AB14" i="6"/>
  <c r="AB10" i="6"/>
  <c r="AA5" i="6"/>
  <c r="AB12" i="6"/>
  <c r="AA17" i="6"/>
  <c r="AA21" i="6"/>
  <c r="AA25" i="6"/>
  <c r="AB5" i="6"/>
  <c r="AB7" i="6"/>
  <c r="AB9" i="6"/>
  <c r="AB11" i="6"/>
  <c r="AB15" i="6"/>
  <c r="AB17" i="6"/>
  <c r="AB19" i="6"/>
  <c r="AB21" i="6"/>
  <c r="AC21" i="6" s="1"/>
  <c r="AB23" i="6"/>
  <c r="AB25" i="6"/>
  <c r="AB8" i="6"/>
  <c r="AB24" i="6"/>
  <c r="AC24" i="6" s="1"/>
  <c r="AB20" i="6"/>
  <c r="AA14" i="6"/>
  <c r="AC14" i="6" s="1"/>
  <c r="AC17" i="6"/>
  <c r="AA9" i="6"/>
  <c r="AA6" i="6"/>
  <c r="AC6" i="6" s="1"/>
  <c r="AA10" i="6"/>
  <c r="AA18" i="6"/>
  <c r="AC18" i="6" s="1"/>
  <c r="Z5" i="6"/>
  <c r="AA7" i="6"/>
  <c r="Z9" i="6"/>
  <c r="Z15" i="6"/>
  <c r="AA19" i="6"/>
  <c r="AA23" i="6"/>
  <c r="AA13" i="6"/>
  <c r="AC20" i="6"/>
  <c r="AC16" i="6"/>
  <c r="AA12" i="6"/>
  <c r="AC12" i="6" s="1"/>
  <c r="AA4" i="6"/>
  <c r="AC4" i="6" s="1"/>
  <c r="AA15" i="6"/>
  <c r="AA11" i="6"/>
  <c r="Z22" i="6"/>
  <c r="AA22" i="6"/>
  <c r="N19" i="6"/>
  <c r="R19" i="6" s="1"/>
  <c r="Z25" i="6"/>
  <c r="N7" i="6"/>
  <c r="R7" i="6" s="1"/>
  <c r="AQ7" i="6"/>
  <c r="AW7" i="6" s="1"/>
  <c r="Z11" i="6"/>
  <c r="N14" i="6"/>
  <c r="R14" i="6" s="1"/>
  <c r="AP14" i="6"/>
  <c r="AV14" i="6" s="1"/>
  <c r="AT19" i="6"/>
  <c r="AV19" i="6" s="1"/>
  <c r="AQ19" i="6"/>
  <c r="AW19" i="6" s="1"/>
  <c r="Z7" i="6"/>
  <c r="AQ9" i="6"/>
  <c r="AW9" i="6" s="1"/>
  <c r="AQ14" i="6"/>
  <c r="AW14" i="6" s="1"/>
  <c r="Z18" i="6"/>
  <c r="AX21" i="6"/>
  <c r="N5" i="6"/>
  <c r="R5" i="6" s="1"/>
  <c r="Z21" i="6"/>
  <c r="AQ5" i="6"/>
  <c r="AW5" i="6" s="1"/>
  <c r="N11" i="6"/>
  <c r="AP13" i="6"/>
  <c r="AV13" i="6" s="1"/>
  <c r="Z14" i="6"/>
  <c r="M25" i="6"/>
  <c r="AP25" i="6"/>
  <c r="AV25" i="6" s="1"/>
  <c r="N9" i="6"/>
  <c r="AQ11" i="6"/>
  <c r="AW11" i="6" s="1"/>
  <c r="M14" i="6"/>
  <c r="N17" i="6"/>
  <c r="M21" i="6"/>
  <c r="Q21" i="6" s="1"/>
  <c r="AP21" i="6"/>
  <c r="AV21" i="6" s="1"/>
  <c r="AY4" i="6"/>
  <c r="AY6" i="6"/>
  <c r="AY8" i="6"/>
  <c r="AY10" i="6"/>
  <c r="AX14" i="6"/>
  <c r="AY16" i="6"/>
  <c r="AX17" i="6"/>
  <c r="AX25" i="6"/>
  <c r="AP4" i="6"/>
  <c r="AV4" i="6" s="1"/>
  <c r="AP6" i="6"/>
  <c r="AV6" i="6" s="1"/>
  <c r="AP8" i="6"/>
  <c r="AV8" i="6" s="1"/>
  <c r="AP10" i="6"/>
  <c r="AV10" i="6" s="1"/>
  <c r="M13" i="6"/>
  <c r="N15" i="6"/>
  <c r="AQ15" i="6"/>
  <c r="AW15" i="6" s="1"/>
  <c r="AP16" i="6"/>
  <c r="AV16" i="6" s="1"/>
  <c r="Z19" i="6"/>
  <c r="N21" i="6"/>
  <c r="AQ21" i="6"/>
  <c r="AW21" i="6" s="1"/>
  <c r="Z23" i="6"/>
  <c r="AU23" i="6"/>
  <c r="AW23" i="6" s="1"/>
  <c r="N25" i="6"/>
  <c r="AQ25" i="6"/>
  <c r="AW25" i="6" s="1"/>
  <c r="AT23" i="6"/>
  <c r="AV23" i="6" s="1"/>
  <c r="M4" i="6"/>
  <c r="Q4" i="6" s="1"/>
  <c r="AY5" i="6"/>
  <c r="M6" i="6"/>
  <c r="AY7" i="6"/>
  <c r="M8" i="6"/>
  <c r="AY9" i="6"/>
  <c r="M10" i="6"/>
  <c r="AY11" i="6"/>
  <c r="AX13" i="6"/>
  <c r="M16" i="6"/>
  <c r="Q16" i="6" s="1"/>
  <c r="Z17" i="6"/>
  <c r="M19" i="6"/>
  <c r="Q19" i="6" s="1"/>
  <c r="AX19" i="6"/>
  <c r="M23" i="6"/>
  <c r="AX23" i="6"/>
  <c r="Z4" i="6"/>
  <c r="Z6" i="6"/>
  <c r="Z8" i="6"/>
  <c r="Z10" i="6"/>
  <c r="Z12" i="6"/>
  <c r="AU17" i="6"/>
  <c r="AW17" i="6" s="1"/>
  <c r="Z20" i="6"/>
  <c r="N23" i="6"/>
  <c r="Z24" i="6"/>
  <c r="AU10" i="6"/>
  <c r="AQ10" i="6"/>
  <c r="N10" i="6"/>
  <c r="R10" i="6" s="1"/>
  <c r="AU6" i="6"/>
  <c r="AQ6" i="6"/>
  <c r="N6" i="6"/>
  <c r="R6" i="6" s="1"/>
  <c r="AU4" i="6"/>
  <c r="AQ4" i="6"/>
  <c r="N4" i="6"/>
  <c r="R4" i="6" s="1"/>
  <c r="AU8" i="6"/>
  <c r="AQ8" i="6"/>
  <c r="N8" i="6"/>
  <c r="R8" i="6" s="1"/>
  <c r="AU12" i="6"/>
  <c r="AQ12" i="6"/>
  <c r="N12" i="6"/>
  <c r="R12" i="6" s="1"/>
  <c r="AY12" i="6"/>
  <c r="AX12" i="6"/>
  <c r="AT15" i="6"/>
  <c r="AP15" i="6"/>
  <c r="M15" i="6"/>
  <c r="Q15" i="6" s="1"/>
  <c r="AY15" i="6"/>
  <c r="M17" i="6"/>
  <c r="Q17" i="6" s="1"/>
  <c r="AP17" i="6"/>
  <c r="AY24" i="6"/>
  <c r="AX24" i="6"/>
  <c r="AT11" i="6"/>
  <c r="AP11" i="6"/>
  <c r="M11" i="6"/>
  <c r="Q11" i="6" s="1"/>
  <c r="AT12" i="6"/>
  <c r="AP12" i="6"/>
  <c r="M12" i="6"/>
  <c r="Q12" i="6" s="1"/>
  <c r="M5" i="6"/>
  <c r="Q5" i="6" s="1"/>
  <c r="AP5" i="6"/>
  <c r="AV5" i="6" s="1"/>
  <c r="M7" i="6"/>
  <c r="Q7" i="6" s="1"/>
  <c r="AP7" i="6"/>
  <c r="AV7" i="6" s="1"/>
  <c r="M9" i="6"/>
  <c r="Q9" i="6" s="1"/>
  <c r="AP9" i="6"/>
  <c r="AV9" i="6" s="1"/>
  <c r="AU13" i="6"/>
  <c r="AQ13" i="6"/>
  <c r="N13" i="6"/>
  <c r="R13" i="6" s="1"/>
  <c r="Z13" i="6"/>
  <c r="AU16" i="6"/>
  <c r="AQ16" i="6"/>
  <c r="N16" i="6"/>
  <c r="R16" i="6" s="1"/>
  <c r="Z16" i="6"/>
  <c r="AT17" i="6"/>
  <c r="AT20" i="6"/>
  <c r="AP20" i="6"/>
  <c r="M20" i="6"/>
  <c r="Q20" i="6" s="1"/>
  <c r="AY22" i="6"/>
  <c r="AX22" i="6"/>
  <c r="AT18" i="6"/>
  <c r="AP18" i="6"/>
  <c r="M18" i="6"/>
  <c r="Q18" i="6" s="1"/>
  <c r="AU20" i="6"/>
  <c r="AQ20" i="6"/>
  <c r="N20" i="6"/>
  <c r="R20" i="6" s="1"/>
  <c r="AY20" i="6"/>
  <c r="AX20" i="6"/>
  <c r="AT22" i="6"/>
  <c r="AP22" i="6"/>
  <c r="M22" i="6"/>
  <c r="Q22" i="6" s="1"/>
  <c r="AU18" i="6"/>
  <c r="AQ18" i="6"/>
  <c r="N18" i="6"/>
  <c r="R18" i="6" s="1"/>
  <c r="AY18" i="6"/>
  <c r="AX18" i="6"/>
  <c r="AT24" i="6"/>
  <c r="AP24" i="6"/>
  <c r="M24" i="6"/>
  <c r="Q24" i="6" s="1"/>
  <c r="N22" i="6"/>
  <c r="R22" i="6" s="1"/>
  <c r="AQ22" i="6"/>
  <c r="AW22" i="6" s="1"/>
  <c r="N24" i="6"/>
  <c r="R24" i="6" s="1"/>
  <c r="AQ24" i="6"/>
  <c r="AW24" i="6" s="1"/>
  <c r="B22" i="3"/>
  <c r="AE5" i="2"/>
  <c r="AP5" i="2" s="1"/>
  <c r="AE6" i="2"/>
  <c r="AP6" i="2" s="1"/>
  <c r="AE7" i="2"/>
  <c r="AO7" i="2" s="1"/>
  <c r="AE8" i="2"/>
  <c r="AP8" i="2" s="1"/>
  <c r="AE9" i="2"/>
  <c r="AP9" i="2" s="1"/>
  <c r="AE10" i="2"/>
  <c r="AP10" i="2" s="1"/>
  <c r="AE11" i="2"/>
  <c r="AO11" i="2" s="1"/>
  <c r="AE12" i="2"/>
  <c r="AO12" i="2" s="1"/>
  <c r="AE13" i="2"/>
  <c r="AP13" i="2" s="1"/>
  <c r="AE14" i="2"/>
  <c r="AP14" i="2" s="1"/>
  <c r="AE15" i="2"/>
  <c r="AO15" i="2" s="1"/>
  <c r="AE16" i="2"/>
  <c r="AP16" i="2" s="1"/>
  <c r="AE17" i="2"/>
  <c r="AP17" i="2" s="1"/>
  <c r="AE18" i="2"/>
  <c r="AP18" i="2" s="1"/>
  <c r="AE19" i="2"/>
  <c r="AO19" i="2" s="1"/>
  <c r="AE20" i="2"/>
  <c r="AO20" i="2" s="1"/>
  <c r="AE21" i="2"/>
  <c r="AP21" i="2" s="1"/>
  <c r="AE22" i="2"/>
  <c r="AP22" i="2" s="1"/>
  <c r="AE23" i="2"/>
  <c r="AO23" i="2" s="1"/>
  <c r="AE24" i="2"/>
  <c r="AP24" i="2" s="1"/>
  <c r="AE25" i="2"/>
  <c r="AP25" i="2" s="1"/>
  <c r="AE4" i="2"/>
  <c r="AP4" i="2" s="1"/>
  <c r="BR12" i="2"/>
  <c r="AC25" i="6" l="1"/>
  <c r="AC10" i="6"/>
  <c r="AC8" i="6"/>
  <c r="AC22" i="6"/>
  <c r="AC13" i="6"/>
  <c r="AC19" i="6"/>
  <c r="AC9" i="6"/>
  <c r="AC5" i="6"/>
  <c r="AV15" i="6"/>
  <c r="AC11" i="6"/>
  <c r="AC7" i="6"/>
  <c r="P14" i="6"/>
  <c r="T14" i="6" s="1"/>
  <c r="O16" i="6"/>
  <c r="S16" i="6" s="1"/>
  <c r="AD16" i="6" s="1"/>
  <c r="AC15" i="6"/>
  <c r="AC23" i="6"/>
  <c r="O4" i="6"/>
  <c r="V4" i="6" s="1"/>
  <c r="AF4" i="6" s="1"/>
  <c r="P19" i="6"/>
  <c r="T19" i="6" s="1"/>
  <c r="AE19" i="6" s="1"/>
  <c r="O19" i="6"/>
  <c r="O6" i="6"/>
  <c r="Q6" i="6"/>
  <c r="O23" i="6"/>
  <c r="Q23" i="6"/>
  <c r="P25" i="6"/>
  <c r="T25" i="6" s="1"/>
  <c r="AE25" i="6" s="1"/>
  <c r="R25" i="6"/>
  <c r="P9" i="6"/>
  <c r="T9" i="6" s="1"/>
  <c r="AE9" i="6" s="1"/>
  <c r="R9" i="6"/>
  <c r="O21" i="6"/>
  <c r="AW20" i="6"/>
  <c r="AV18" i="6"/>
  <c r="P7" i="6"/>
  <c r="T7" i="6" s="1"/>
  <c r="AE7" i="6" s="1"/>
  <c r="P5" i="6"/>
  <c r="T5" i="6" s="1"/>
  <c r="AE5" i="6" s="1"/>
  <c r="O8" i="6"/>
  <c r="Q8" i="6"/>
  <c r="O13" i="6"/>
  <c r="Q13" i="6"/>
  <c r="P17" i="6"/>
  <c r="T17" i="6" s="1"/>
  <c r="AE17" i="6" s="1"/>
  <c r="R17" i="6"/>
  <c r="P11" i="6"/>
  <c r="T11" i="6" s="1"/>
  <c r="AE11" i="6" s="1"/>
  <c r="R11" i="6"/>
  <c r="O10" i="6"/>
  <c r="Q10" i="6"/>
  <c r="P21" i="6"/>
  <c r="T21" i="6" s="1"/>
  <c r="AE21" i="6" s="1"/>
  <c r="R21" i="6"/>
  <c r="P15" i="6"/>
  <c r="T15" i="6" s="1"/>
  <c r="AE15" i="6" s="1"/>
  <c r="R15" i="6"/>
  <c r="P23" i="6"/>
  <c r="T23" i="6" s="1"/>
  <c r="AE23" i="6" s="1"/>
  <c r="R23" i="6"/>
  <c r="O14" i="6"/>
  <c r="Q14" i="6"/>
  <c r="O25" i="6"/>
  <c r="Q25" i="6"/>
  <c r="AV24" i="6"/>
  <c r="AE14" i="6"/>
  <c r="AV12" i="6"/>
  <c r="AW16" i="6"/>
  <c r="AW13" i="6"/>
  <c r="AW8" i="6"/>
  <c r="AW6" i="6"/>
  <c r="AW10" i="6"/>
  <c r="AO25" i="6"/>
  <c r="AO21" i="6"/>
  <c r="AO13" i="6"/>
  <c r="AO11" i="6"/>
  <c r="AO9" i="6"/>
  <c r="AO7" i="6"/>
  <c r="AO5" i="6"/>
  <c r="AO16" i="6"/>
  <c r="AO10" i="6"/>
  <c r="AO4" i="6"/>
  <c r="AO22" i="6"/>
  <c r="AO18" i="6"/>
  <c r="AO17" i="6"/>
  <c r="AO14" i="6"/>
  <c r="AO20" i="6"/>
  <c r="AO8" i="6"/>
  <c r="AO23" i="6"/>
  <c r="AO19" i="6"/>
  <c r="AO24" i="6"/>
  <c r="AO15" i="6"/>
  <c r="AO12" i="6"/>
  <c r="AO6" i="6"/>
  <c r="AW18" i="6"/>
  <c r="AV22" i="6"/>
  <c r="AV20" i="6"/>
  <c r="AV17" i="6"/>
  <c r="AW4" i="6"/>
  <c r="P18" i="6"/>
  <c r="T18" i="6" s="1"/>
  <c r="AE18" i="6" s="1"/>
  <c r="O22" i="6"/>
  <c r="O20" i="6"/>
  <c r="P13" i="6"/>
  <c r="T13" i="6" s="1"/>
  <c r="AE13" i="6" s="1"/>
  <c r="O7" i="6"/>
  <c r="O15" i="6"/>
  <c r="P6" i="6"/>
  <c r="T6" i="6" s="1"/>
  <c r="AE6" i="6" s="1"/>
  <c r="P22" i="6"/>
  <c r="T22" i="6" s="1"/>
  <c r="AE22" i="6" s="1"/>
  <c r="O9" i="6"/>
  <c r="O17" i="6"/>
  <c r="P4" i="6"/>
  <c r="T4" i="6" s="1"/>
  <c r="AE4" i="6" s="1"/>
  <c r="P24" i="6"/>
  <c r="T24" i="6" s="1"/>
  <c r="AE24" i="6" s="1"/>
  <c r="O11" i="6"/>
  <c r="P12" i="6"/>
  <c r="T12" i="6" s="1"/>
  <c r="AE12" i="6" s="1"/>
  <c r="O24" i="6"/>
  <c r="P20" i="6"/>
  <c r="T20" i="6" s="1"/>
  <c r="AE20" i="6" s="1"/>
  <c r="O18" i="6"/>
  <c r="P16" i="6"/>
  <c r="T16" i="6" s="1"/>
  <c r="AE16" i="6" s="1"/>
  <c r="O5" i="6"/>
  <c r="O12" i="6"/>
  <c r="AV11" i="6"/>
  <c r="AW12" i="6"/>
  <c r="P8" i="6"/>
  <c r="T8" i="6" s="1"/>
  <c r="AE8" i="6" s="1"/>
  <c r="P10" i="6"/>
  <c r="T10" i="6" s="1"/>
  <c r="AE10" i="6" s="1"/>
  <c r="AO24" i="2"/>
  <c r="AO10" i="2"/>
  <c r="AO8" i="2"/>
  <c r="AO4" i="2"/>
  <c r="AP20" i="2"/>
  <c r="AO18" i="2"/>
  <c r="AO16" i="2"/>
  <c r="AP12" i="2"/>
  <c r="AO13" i="2"/>
  <c r="AO22" i="2"/>
  <c r="AO17" i="2"/>
  <c r="AO6" i="2"/>
  <c r="AO21" i="2"/>
  <c r="AO5" i="2"/>
  <c r="AO25" i="2"/>
  <c r="AO14" i="2"/>
  <c r="AO9" i="2"/>
  <c r="AP23" i="2"/>
  <c r="AP11" i="2"/>
  <c r="AP19" i="2"/>
  <c r="AP15" i="2"/>
  <c r="AP7" i="2"/>
  <c r="U5" i="2"/>
  <c r="U6" i="2"/>
  <c r="U7" i="2"/>
  <c r="U8" i="2"/>
  <c r="U9" i="2"/>
  <c r="U10" i="2"/>
  <c r="U11" i="2"/>
  <c r="U12" i="2"/>
  <c r="U13" i="2"/>
  <c r="U14" i="2"/>
  <c r="U4" i="2"/>
  <c r="T5" i="2"/>
  <c r="T6" i="2"/>
  <c r="T7" i="2"/>
  <c r="T8" i="2"/>
  <c r="T9" i="2"/>
  <c r="T10" i="2"/>
  <c r="T11" i="2"/>
  <c r="T12" i="2"/>
  <c r="T13" i="2"/>
  <c r="T14" i="2"/>
  <c r="T4" i="2"/>
  <c r="U16" i="2"/>
  <c r="U17" i="2"/>
  <c r="U18" i="2"/>
  <c r="U19" i="2"/>
  <c r="U20" i="2"/>
  <c r="U21" i="2"/>
  <c r="U22" i="2"/>
  <c r="U23" i="2"/>
  <c r="U24" i="2"/>
  <c r="U25" i="2"/>
  <c r="U15" i="2"/>
  <c r="T16" i="2"/>
  <c r="T17" i="2"/>
  <c r="T18" i="2"/>
  <c r="T19" i="2"/>
  <c r="T20" i="2"/>
  <c r="T21" i="2"/>
  <c r="T22" i="2"/>
  <c r="T23" i="2"/>
  <c r="T24" i="2"/>
  <c r="T25" i="2"/>
  <c r="T15" i="2"/>
  <c r="S4" i="6" l="1"/>
  <c r="AD4" i="6" s="1"/>
  <c r="V16" i="6"/>
  <c r="AF16" i="6" s="1"/>
  <c r="S22" i="6"/>
  <c r="AD22" i="6" s="1"/>
  <c r="V22" i="6"/>
  <c r="AF22" i="6" s="1"/>
  <c r="S23" i="6"/>
  <c r="AD23" i="6" s="1"/>
  <c r="V23" i="6"/>
  <c r="AF23" i="6" s="1"/>
  <c r="S9" i="6"/>
  <c r="AD9" i="6" s="1"/>
  <c r="V9" i="6"/>
  <c r="AF9" i="6" s="1"/>
  <c r="S7" i="6"/>
  <c r="AD7" i="6" s="1"/>
  <c r="V7" i="6"/>
  <c r="AF7" i="6" s="1"/>
  <c r="S14" i="6"/>
  <c r="V14" i="6"/>
  <c r="AF14" i="6" s="1"/>
  <c r="S10" i="6"/>
  <c r="AD10" i="6" s="1"/>
  <c r="V10" i="6"/>
  <c r="AF10" i="6" s="1"/>
  <c r="S8" i="6"/>
  <c r="AD8" i="6" s="1"/>
  <c r="V8" i="6"/>
  <c r="AF8" i="6" s="1"/>
  <c r="S12" i="6"/>
  <c r="AD12" i="6" s="1"/>
  <c r="V12" i="6"/>
  <c r="AF12" i="6" s="1"/>
  <c r="S11" i="6"/>
  <c r="AD11" i="6" s="1"/>
  <c r="V11" i="6"/>
  <c r="AF11" i="6" s="1"/>
  <c r="S24" i="6"/>
  <c r="U24" i="6" s="1"/>
  <c r="V24" i="6"/>
  <c r="AF24" i="6" s="1"/>
  <c r="S15" i="6"/>
  <c r="U15" i="6" s="1"/>
  <c r="V15" i="6"/>
  <c r="AF15" i="6" s="1"/>
  <c r="S21" i="6"/>
  <c r="AD21" i="6" s="1"/>
  <c r="V21" i="6"/>
  <c r="AF21" i="6" s="1"/>
  <c r="S6" i="6"/>
  <c r="AD6" i="6" s="1"/>
  <c r="V6" i="6"/>
  <c r="AF6" i="6" s="1"/>
  <c r="S5" i="6"/>
  <c r="U5" i="6" s="1"/>
  <c r="V5" i="6"/>
  <c r="AF5" i="6" s="1"/>
  <c r="S18" i="6"/>
  <c r="U18" i="6" s="1"/>
  <c r="V18" i="6"/>
  <c r="AF18" i="6" s="1"/>
  <c r="S17" i="6"/>
  <c r="U17" i="6" s="1"/>
  <c r="V17" i="6"/>
  <c r="AF17" i="6" s="1"/>
  <c r="S20" i="6"/>
  <c r="AD20" i="6" s="1"/>
  <c r="V20" i="6"/>
  <c r="AF20" i="6" s="1"/>
  <c r="S25" i="6"/>
  <c r="AD25" i="6" s="1"/>
  <c r="V25" i="6"/>
  <c r="AF25" i="6" s="1"/>
  <c r="S13" i="6"/>
  <c r="AD13" i="6" s="1"/>
  <c r="V13" i="6"/>
  <c r="AF13" i="6" s="1"/>
  <c r="S19" i="6"/>
  <c r="V19" i="6"/>
  <c r="AF19" i="6" s="1"/>
  <c r="V24" i="2"/>
  <c r="V20" i="2"/>
  <c r="V16" i="2"/>
  <c r="V4" i="2"/>
  <c r="V11" i="2"/>
  <c r="V7" i="2"/>
  <c r="U4" i="6"/>
  <c r="U16" i="6"/>
  <c r="AD18" i="6"/>
  <c r="U9" i="6"/>
  <c r="V19" i="2"/>
  <c r="V14" i="2"/>
  <c r="V6" i="2"/>
  <c r="V18" i="2"/>
  <c r="V5" i="2"/>
  <c r="V23" i="2"/>
  <c r="V10" i="2"/>
  <c r="V15" i="2"/>
  <c r="V22" i="2"/>
  <c r="V13" i="2"/>
  <c r="V9" i="2"/>
  <c r="V25" i="2"/>
  <c r="V21" i="2"/>
  <c r="V17" i="2"/>
  <c r="V12" i="2"/>
  <c r="V8" i="2"/>
  <c r="BR14" i="2"/>
  <c r="BR13" i="2"/>
  <c r="BR11" i="2"/>
  <c r="J10" i="5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4" i="2"/>
  <c r="K18" i="2"/>
  <c r="K19" i="2"/>
  <c r="K20" i="2"/>
  <c r="K21" i="2"/>
  <c r="K22" i="2"/>
  <c r="K23" i="2"/>
  <c r="K24" i="2"/>
  <c r="K2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4" i="2"/>
  <c r="U8" i="6" l="1"/>
  <c r="U11" i="6"/>
  <c r="AD15" i="6"/>
  <c r="U22" i="6"/>
  <c r="U13" i="6"/>
  <c r="AD17" i="6"/>
  <c r="AD24" i="6"/>
  <c r="AD5" i="6"/>
  <c r="U7" i="6"/>
  <c r="U10" i="6"/>
  <c r="U23" i="6"/>
  <c r="U20" i="6"/>
  <c r="U12" i="6"/>
  <c r="U25" i="6"/>
  <c r="U21" i="6"/>
  <c r="U6" i="6"/>
  <c r="U19" i="6"/>
  <c r="AD19" i="6"/>
  <c r="AD14" i="6"/>
  <c r="U14" i="6"/>
  <c r="AG4" i="2"/>
  <c r="AK4" i="2"/>
  <c r="AG14" i="2"/>
  <c r="AK14" i="2"/>
  <c r="AG10" i="2"/>
  <c r="AK10" i="2"/>
  <c r="AG6" i="2"/>
  <c r="AK6" i="2"/>
  <c r="AG23" i="2"/>
  <c r="AK23" i="2"/>
  <c r="AG19" i="2"/>
  <c r="AK19" i="2"/>
  <c r="AH24" i="2"/>
  <c r="AL24" i="2"/>
  <c r="AH20" i="2"/>
  <c r="AL20" i="2"/>
  <c r="AH16" i="2"/>
  <c r="AL16" i="2"/>
  <c r="AH12" i="2"/>
  <c r="AL12" i="2"/>
  <c r="AH8" i="2"/>
  <c r="AL8" i="2"/>
  <c r="AG17" i="2"/>
  <c r="AK17" i="2"/>
  <c r="AG13" i="2"/>
  <c r="AK13" i="2"/>
  <c r="AG9" i="2"/>
  <c r="AK9" i="2"/>
  <c r="AG5" i="2"/>
  <c r="AK5" i="2"/>
  <c r="AG22" i="2"/>
  <c r="AK22" i="2"/>
  <c r="AG18" i="2"/>
  <c r="AK18" i="2"/>
  <c r="AH23" i="2"/>
  <c r="AL23" i="2"/>
  <c r="AH19" i="2"/>
  <c r="AL19" i="2"/>
  <c r="AH15" i="2"/>
  <c r="AL15" i="2"/>
  <c r="AH11" i="2"/>
  <c r="AL11" i="2"/>
  <c r="AH7" i="2"/>
  <c r="AL7" i="2"/>
  <c r="AG16" i="2"/>
  <c r="AK16" i="2"/>
  <c r="AG12" i="2"/>
  <c r="AK12" i="2"/>
  <c r="AG8" i="2"/>
  <c r="AK8" i="2"/>
  <c r="AG25" i="2"/>
  <c r="AK25" i="2"/>
  <c r="AG21" i="2"/>
  <c r="AK21" i="2"/>
  <c r="AH4" i="2"/>
  <c r="AL4" i="2"/>
  <c r="AH22" i="2"/>
  <c r="AL22" i="2"/>
  <c r="AH18" i="2"/>
  <c r="AL18" i="2"/>
  <c r="AH14" i="2"/>
  <c r="AL14" i="2"/>
  <c r="AH10" i="2"/>
  <c r="AL10" i="2"/>
  <c r="AH6" i="2"/>
  <c r="AL6" i="2"/>
  <c r="AG15" i="2"/>
  <c r="AK15" i="2"/>
  <c r="AG11" i="2"/>
  <c r="AK11" i="2"/>
  <c r="AG7" i="2"/>
  <c r="AK7" i="2"/>
  <c r="AG24" i="2"/>
  <c r="AK24" i="2"/>
  <c r="AG20" i="2"/>
  <c r="AK20" i="2"/>
  <c r="AH25" i="2"/>
  <c r="AL25" i="2"/>
  <c r="AH21" i="2"/>
  <c r="AL21" i="2"/>
  <c r="AH17" i="2"/>
  <c r="AL17" i="2"/>
  <c r="AH13" i="2"/>
  <c r="AL13" i="2"/>
  <c r="AH9" i="2"/>
  <c r="AL9" i="2"/>
  <c r="AH5" i="2"/>
  <c r="AL5" i="2"/>
  <c r="M12" i="2"/>
  <c r="M25" i="2"/>
  <c r="N4" i="2"/>
  <c r="N22" i="2"/>
  <c r="N14" i="2"/>
  <c r="N10" i="2"/>
  <c r="N6" i="2"/>
  <c r="M11" i="2"/>
  <c r="M7" i="2"/>
  <c r="M20" i="2"/>
  <c r="N21" i="2"/>
  <c r="N9" i="2"/>
  <c r="M14" i="2"/>
  <c r="M10" i="2"/>
  <c r="M23" i="2"/>
  <c r="N24" i="2"/>
  <c r="N20" i="2"/>
  <c r="N16" i="2"/>
  <c r="N12" i="2"/>
  <c r="N8" i="2"/>
  <c r="M16" i="2"/>
  <c r="M8" i="2"/>
  <c r="M21" i="2"/>
  <c r="N18" i="2"/>
  <c r="M15" i="2"/>
  <c r="M24" i="2"/>
  <c r="N25" i="2"/>
  <c r="N17" i="2"/>
  <c r="N13" i="2"/>
  <c r="N5" i="2"/>
  <c r="M4" i="2"/>
  <c r="M6" i="2"/>
  <c r="M19" i="2"/>
  <c r="M17" i="2"/>
  <c r="M13" i="2"/>
  <c r="M9" i="2"/>
  <c r="M5" i="2"/>
  <c r="M22" i="2"/>
  <c r="M18" i="2"/>
  <c r="N23" i="2"/>
  <c r="N19" i="2"/>
  <c r="N15" i="2"/>
  <c r="N11" i="2"/>
  <c r="N7" i="2"/>
  <c r="B26" i="3"/>
  <c r="B25" i="3"/>
  <c r="B10" i="3"/>
  <c r="B9" i="3"/>
  <c r="J13" i="5"/>
  <c r="J12" i="5"/>
  <c r="J11" i="5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AK4" i="6" l="1"/>
  <c r="AK17" i="6"/>
  <c r="AK14" i="6"/>
  <c r="AK16" i="6"/>
  <c r="AK8" i="6"/>
  <c r="AK12" i="6"/>
  <c r="AK23" i="6"/>
  <c r="AK11" i="6"/>
  <c r="AK19" i="6"/>
  <c r="AK18" i="6"/>
  <c r="AK7" i="6"/>
  <c r="AK21" i="6"/>
  <c r="AK6" i="6"/>
  <c r="AK15" i="6"/>
  <c r="AK24" i="6"/>
  <c r="AK25" i="6"/>
  <c r="AK22" i="6"/>
  <c r="AK13" i="6"/>
  <c r="AK10" i="6"/>
  <c r="AK5" i="6"/>
  <c r="AK9" i="6"/>
  <c r="AK20" i="6"/>
  <c r="AG24" i="6"/>
  <c r="AG17" i="6"/>
  <c r="AG9" i="6"/>
  <c r="AH19" i="6"/>
  <c r="AH17" i="6"/>
  <c r="AH5" i="6"/>
  <c r="AH7" i="6"/>
  <c r="AH15" i="6"/>
  <c r="AH14" i="6"/>
  <c r="AH25" i="6"/>
  <c r="AH21" i="6"/>
  <c r="AH23" i="6"/>
  <c r="AH9" i="6"/>
  <c r="AH11" i="6"/>
  <c r="AH10" i="6"/>
  <c r="AH4" i="6"/>
  <c r="AH18" i="6"/>
  <c r="AH22" i="6"/>
  <c r="AH24" i="6"/>
  <c r="AH12" i="6"/>
  <c r="AH6" i="6"/>
  <c r="AH8" i="6"/>
  <c r="AH16" i="6"/>
  <c r="AH13" i="6"/>
  <c r="AH20" i="6"/>
  <c r="AL22" i="6"/>
  <c r="AR22" i="6" s="1"/>
  <c r="BB22" i="6" s="1"/>
  <c r="BC22" i="6" s="1"/>
  <c r="BD22" i="6" s="1"/>
  <c r="BI22" i="6" s="1"/>
  <c r="AL18" i="6"/>
  <c r="AR18" i="6" s="1"/>
  <c r="BB18" i="6" s="1"/>
  <c r="BC18" i="6" s="1"/>
  <c r="BD18" i="6" s="1"/>
  <c r="BI18" i="6" s="1"/>
  <c r="AL17" i="6"/>
  <c r="AR17" i="6" s="1"/>
  <c r="BB17" i="6" s="1"/>
  <c r="BC17" i="6" s="1"/>
  <c r="BD17" i="6" s="1"/>
  <c r="BI17" i="6" s="1"/>
  <c r="AL14" i="6"/>
  <c r="AR14" i="6" s="1"/>
  <c r="BB14" i="6" s="1"/>
  <c r="BC14" i="6" s="1"/>
  <c r="BD14" i="6" s="1"/>
  <c r="BI14" i="6" s="1"/>
  <c r="AL11" i="6"/>
  <c r="AR11" i="6" s="1"/>
  <c r="BB11" i="6" s="1"/>
  <c r="BC11" i="6" s="1"/>
  <c r="BD11" i="6" s="1"/>
  <c r="BI11" i="6" s="1"/>
  <c r="AL23" i="6"/>
  <c r="AR23" i="6" s="1"/>
  <c r="BB23" i="6" s="1"/>
  <c r="BC23" i="6" s="1"/>
  <c r="BD23" i="6" s="1"/>
  <c r="BI23" i="6" s="1"/>
  <c r="AL19" i="6"/>
  <c r="AR19" i="6" s="1"/>
  <c r="BB19" i="6" s="1"/>
  <c r="BC19" i="6" s="1"/>
  <c r="BD19" i="6" s="1"/>
  <c r="BI19" i="6" s="1"/>
  <c r="AL21" i="6"/>
  <c r="AR21" i="6" s="1"/>
  <c r="BB21" i="6" s="1"/>
  <c r="BC21" i="6" s="1"/>
  <c r="BD21" i="6" s="1"/>
  <c r="BI21" i="6" s="1"/>
  <c r="AL13" i="6"/>
  <c r="AR13" i="6" s="1"/>
  <c r="BB13" i="6" s="1"/>
  <c r="BC13" i="6" s="1"/>
  <c r="BD13" i="6" s="1"/>
  <c r="BI13" i="6" s="1"/>
  <c r="AL5" i="6"/>
  <c r="AR5" i="6" s="1"/>
  <c r="BB5" i="6" s="1"/>
  <c r="BC5" i="6" s="1"/>
  <c r="BD5" i="6" s="1"/>
  <c r="BI5" i="6" s="1"/>
  <c r="AL24" i="6"/>
  <c r="AR24" i="6" s="1"/>
  <c r="BB24" i="6" s="1"/>
  <c r="BC24" i="6" s="1"/>
  <c r="BD24" i="6" s="1"/>
  <c r="BI24" i="6" s="1"/>
  <c r="AL20" i="6"/>
  <c r="AR20" i="6" s="1"/>
  <c r="BB20" i="6" s="1"/>
  <c r="BC20" i="6" s="1"/>
  <c r="BD20" i="6" s="1"/>
  <c r="BI20" i="6" s="1"/>
  <c r="AL16" i="6"/>
  <c r="AR16" i="6" s="1"/>
  <c r="BB16" i="6" s="1"/>
  <c r="BC16" i="6" s="1"/>
  <c r="BD16" i="6" s="1"/>
  <c r="BI16" i="6" s="1"/>
  <c r="AL15" i="6"/>
  <c r="AR15" i="6" s="1"/>
  <c r="BB15" i="6" s="1"/>
  <c r="BC15" i="6" s="1"/>
  <c r="BD15" i="6" s="1"/>
  <c r="BI15" i="6" s="1"/>
  <c r="AL12" i="6"/>
  <c r="AR12" i="6" s="1"/>
  <c r="BB12" i="6" s="1"/>
  <c r="BC12" i="6" s="1"/>
  <c r="BD12" i="6" s="1"/>
  <c r="BI12" i="6" s="1"/>
  <c r="AL10" i="6"/>
  <c r="AR10" i="6" s="1"/>
  <c r="BB10" i="6" s="1"/>
  <c r="BC10" i="6" s="1"/>
  <c r="BD10" i="6" s="1"/>
  <c r="BI10" i="6" s="1"/>
  <c r="AL8" i="6"/>
  <c r="AR8" i="6" s="1"/>
  <c r="BB8" i="6" s="1"/>
  <c r="BC8" i="6" s="1"/>
  <c r="BD8" i="6" s="1"/>
  <c r="BI8" i="6" s="1"/>
  <c r="AL6" i="6"/>
  <c r="AR6" i="6" s="1"/>
  <c r="BB6" i="6" s="1"/>
  <c r="BC6" i="6" s="1"/>
  <c r="BD6" i="6" s="1"/>
  <c r="BI6" i="6" s="1"/>
  <c r="AL4" i="6"/>
  <c r="AR4" i="6" s="1"/>
  <c r="BB4" i="6" s="1"/>
  <c r="BC4" i="6" s="1"/>
  <c r="BD4" i="6" s="1"/>
  <c r="BI4" i="6" s="1"/>
  <c r="AL25" i="6"/>
  <c r="AR25" i="6" s="1"/>
  <c r="BB25" i="6" s="1"/>
  <c r="BC25" i="6" s="1"/>
  <c r="BD25" i="6" s="1"/>
  <c r="BI25" i="6" s="1"/>
  <c r="AL9" i="6"/>
  <c r="AR9" i="6" s="1"/>
  <c r="BB9" i="6" s="1"/>
  <c r="BC9" i="6" s="1"/>
  <c r="BD9" i="6" s="1"/>
  <c r="BI9" i="6" s="1"/>
  <c r="AL7" i="6"/>
  <c r="AR7" i="6" s="1"/>
  <c r="BB7" i="6" s="1"/>
  <c r="BC7" i="6" s="1"/>
  <c r="BD7" i="6" s="1"/>
  <c r="BI7" i="6" s="1"/>
  <c r="AG5" i="6"/>
  <c r="AG20" i="6"/>
  <c r="AG15" i="6"/>
  <c r="AM23" i="6"/>
  <c r="AS23" i="6" s="1"/>
  <c r="AM19" i="6"/>
  <c r="AS19" i="6" s="1"/>
  <c r="AM24" i="6"/>
  <c r="AS24" i="6" s="1"/>
  <c r="AM20" i="6"/>
  <c r="AS20" i="6" s="1"/>
  <c r="AM16" i="6"/>
  <c r="AS16" i="6" s="1"/>
  <c r="AM15" i="6"/>
  <c r="AS15" i="6" s="1"/>
  <c r="AM12" i="6"/>
  <c r="AS12" i="6" s="1"/>
  <c r="AM10" i="6"/>
  <c r="AS10" i="6" s="1"/>
  <c r="AM8" i="6"/>
  <c r="AS8" i="6" s="1"/>
  <c r="AM6" i="6"/>
  <c r="AS6" i="6" s="1"/>
  <c r="AM4" i="6"/>
  <c r="AS4" i="6" s="1"/>
  <c r="AM22" i="6"/>
  <c r="AS22" i="6" s="1"/>
  <c r="AM25" i="6"/>
  <c r="AS25" i="6" s="1"/>
  <c r="AM21" i="6"/>
  <c r="AS21" i="6" s="1"/>
  <c r="AM13" i="6"/>
  <c r="AS13" i="6" s="1"/>
  <c r="AM11" i="6"/>
  <c r="AS11" i="6" s="1"/>
  <c r="AM9" i="6"/>
  <c r="AS9" i="6" s="1"/>
  <c r="AM7" i="6"/>
  <c r="AS7" i="6" s="1"/>
  <c r="AM5" i="6"/>
  <c r="AS5" i="6" s="1"/>
  <c r="AM18" i="6"/>
  <c r="AS18" i="6" s="1"/>
  <c r="AM17" i="6"/>
  <c r="AS17" i="6" s="1"/>
  <c r="AM14" i="6"/>
  <c r="AS14" i="6" s="1"/>
  <c r="AG22" i="6"/>
  <c r="AG12" i="6"/>
  <c r="AJ25" i="6"/>
  <c r="AJ23" i="6"/>
  <c r="AJ8" i="6"/>
  <c r="AJ6" i="6"/>
  <c r="AJ19" i="6"/>
  <c r="AJ10" i="6"/>
  <c r="AJ4" i="6"/>
  <c r="AJ13" i="6"/>
  <c r="AJ14" i="6"/>
  <c r="AJ16" i="6"/>
  <c r="AJ21" i="6"/>
  <c r="AG8" i="6"/>
  <c r="AG13" i="6"/>
  <c r="AG10" i="6"/>
  <c r="AJ24" i="6"/>
  <c r="AJ11" i="6"/>
  <c r="AJ17" i="6"/>
  <c r="AJ20" i="6"/>
  <c r="AG6" i="6"/>
  <c r="AG4" i="6"/>
  <c r="AJ9" i="6"/>
  <c r="AJ15" i="6"/>
  <c r="AJ7" i="6"/>
  <c r="AG21" i="6"/>
  <c r="AG25" i="6"/>
  <c r="AJ5" i="6"/>
  <c r="AJ22" i="6"/>
  <c r="AG19" i="6"/>
  <c r="AG23" i="6"/>
  <c r="AG14" i="6"/>
  <c r="AG16" i="6"/>
  <c r="AJ12" i="6"/>
  <c r="AJ18" i="6"/>
  <c r="AG11" i="6"/>
  <c r="AG18" i="6"/>
  <c r="AG7" i="6"/>
  <c r="AN9" i="2"/>
  <c r="AN17" i="2"/>
  <c r="AN25" i="2"/>
  <c r="AM24" i="2"/>
  <c r="AM11" i="2"/>
  <c r="AN6" i="2"/>
  <c r="AN14" i="2"/>
  <c r="AN22" i="2"/>
  <c r="AM21" i="2"/>
  <c r="AM8" i="2"/>
  <c r="AM16" i="2"/>
  <c r="AN11" i="2"/>
  <c r="AN19" i="2"/>
  <c r="AM18" i="2"/>
  <c r="AM5" i="2"/>
  <c r="AM13" i="2"/>
  <c r="AN8" i="2"/>
  <c r="AN16" i="2"/>
  <c r="AN24" i="2"/>
  <c r="AM23" i="2"/>
  <c r="AN13" i="2"/>
  <c r="AM7" i="2"/>
  <c r="AN10" i="2"/>
  <c r="AN4" i="2"/>
  <c r="AM12" i="2"/>
  <c r="AN15" i="2"/>
  <c r="AM22" i="2"/>
  <c r="AM17" i="2"/>
  <c r="AN20" i="2"/>
  <c r="AM19" i="2"/>
  <c r="AM14" i="2"/>
  <c r="AN5" i="2"/>
  <c r="AN21" i="2"/>
  <c r="AM20" i="2"/>
  <c r="AM15" i="2"/>
  <c r="AN18" i="2"/>
  <c r="AM25" i="2"/>
  <c r="AN7" i="2"/>
  <c r="AN23" i="2"/>
  <c r="AM9" i="2"/>
  <c r="AN12" i="2"/>
  <c r="AM6" i="2"/>
  <c r="AM10" i="2"/>
  <c r="AM4" i="2"/>
  <c r="AD5" i="2"/>
  <c r="AD9" i="2"/>
  <c r="AD13" i="2"/>
  <c r="AD17" i="2"/>
  <c r="AD21" i="2"/>
  <c r="AD25" i="2"/>
  <c r="AD6" i="2"/>
  <c r="AD10" i="2"/>
  <c r="AD14" i="2"/>
  <c r="AD18" i="2"/>
  <c r="AD22" i="2"/>
  <c r="AD4" i="2"/>
  <c r="AD7" i="2"/>
  <c r="AD11" i="2"/>
  <c r="AD15" i="2"/>
  <c r="AD19" i="2"/>
  <c r="AD23" i="2"/>
  <c r="AD20" i="2"/>
  <c r="AD8" i="2"/>
  <c r="AD24" i="2"/>
  <c r="AD12" i="2"/>
  <c r="AD16" i="2"/>
  <c r="P7" i="2"/>
  <c r="R7" i="2" s="1"/>
  <c r="X7" i="2" s="1"/>
  <c r="Z7" i="2" s="1"/>
  <c r="P15" i="2"/>
  <c r="R15" i="2" s="1"/>
  <c r="X15" i="2" s="1"/>
  <c r="Z15" i="2" s="1"/>
  <c r="P23" i="2"/>
  <c r="R23" i="2" s="1"/>
  <c r="O22" i="2"/>
  <c r="Q22" i="2" s="1"/>
  <c r="AB22" i="2" s="1"/>
  <c r="O9" i="2"/>
  <c r="Q9" i="2" s="1"/>
  <c r="O17" i="2"/>
  <c r="Q17" i="2" s="1"/>
  <c r="AB17" i="2" s="1"/>
  <c r="O6" i="2"/>
  <c r="Q6" i="2" s="1"/>
  <c r="AB6" i="2" s="1"/>
  <c r="P5" i="2"/>
  <c r="R5" i="2" s="1"/>
  <c r="X5" i="2" s="1"/>
  <c r="Z5" i="2" s="1"/>
  <c r="P17" i="2"/>
  <c r="R17" i="2" s="1"/>
  <c r="X17" i="2" s="1"/>
  <c r="Z17" i="2" s="1"/>
  <c r="O24" i="2"/>
  <c r="Q24" i="2" s="1"/>
  <c r="AB24" i="2" s="1"/>
  <c r="P18" i="2"/>
  <c r="R18" i="2" s="1"/>
  <c r="X18" i="2" s="1"/>
  <c r="Z18" i="2" s="1"/>
  <c r="O8" i="2"/>
  <c r="Q8" i="2" s="1"/>
  <c r="AB8" i="2" s="1"/>
  <c r="P8" i="2"/>
  <c r="R8" i="2" s="1"/>
  <c r="X8" i="2" s="1"/>
  <c r="Z8" i="2" s="1"/>
  <c r="P16" i="2"/>
  <c r="R16" i="2" s="1"/>
  <c r="X16" i="2" s="1"/>
  <c r="Z16" i="2" s="1"/>
  <c r="P24" i="2"/>
  <c r="R24" i="2" s="1"/>
  <c r="X24" i="2" s="1"/>
  <c r="Z24" i="2" s="1"/>
  <c r="O10" i="2"/>
  <c r="Q10" i="2" s="1"/>
  <c r="AB10" i="2" s="1"/>
  <c r="P9" i="2"/>
  <c r="R9" i="2" s="1"/>
  <c r="X9" i="2" s="1"/>
  <c r="Z9" i="2" s="1"/>
  <c r="O20" i="2"/>
  <c r="Q20" i="2" s="1"/>
  <c r="AB20" i="2" s="1"/>
  <c r="O11" i="2"/>
  <c r="Q11" i="2" s="1"/>
  <c r="AB11" i="2" s="1"/>
  <c r="P10" i="2"/>
  <c r="R10" i="2" s="1"/>
  <c r="X10" i="2" s="1"/>
  <c r="Z10" i="2" s="1"/>
  <c r="P22" i="2"/>
  <c r="R22" i="2" s="1"/>
  <c r="X22" i="2" s="1"/>
  <c r="Z22" i="2" s="1"/>
  <c r="O25" i="2"/>
  <c r="Q25" i="2" s="1"/>
  <c r="AB25" i="2" s="1"/>
  <c r="B21" i="3"/>
  <c r="AC7" i="2"/>
  <c r="AI7" i="2" s="1"/>
  <c r="AS7" i="2" s="1"/>
  <c r="AT7" i="2" s="1"/>
  <c r="AU7" i="2" s="1"/>
  <c r="AZ7" i="2" s="1"/>
  <c r="AC11" i="2"/>
  <c r="AI11" i="2" s="1"/>
  <c r="AS11" i="2" s="1"/>
  <c r="AC15" i="2"/>
  <c r="AI15" i="2" s="1"/>
  <c r="AS15" i="2" s="1"/>
  <c r="AC19" i="2"/>
  <c r="AI19" i="2" s="1"/>
  <c r="AS19" i="2" s="1"/>
  <c r="AC23" i="2"/>
  <c r="AI23" i="2" s="1"/>
  <c r="AS23" i="2" s="1"/>
  <c r="AC8" i="2"/>
  <c r="AI8" i="2" s="1"/>
  <c r="AS8" i="2" s="1"/>
  <c r="AC12" i="2"/>
  <c r="AI12" i="2" s="1"/>
  <c r="AS12" i="2" s="1"/>
  <c r="AC16" i="2"/>
  <c r="AI16" i="2" s="1"/>
  <c r="AS16" i="2" s="1"/>
  <c r="AC20" i="2"/>
  <c r="AI20" i="2" s="1"/>
  <c r="AS20" i="2" s="1"/>
  <c r="AT20" i="2" s="1"/>
  <c r="AU20" i="2" s="1"/>
  <c r="AZ20" i="2" s="1"/>
  <c r="AC24" i="2"/>
  <c r="AI24" i="2" s="1"/>
  <c r="AS24" i="2" s="1"/>
  <c r="AC5" i="2"/>
  <c r="AI5" i="2" s="1"/>
  <c r="AS5" i="2" s="1"/>
  <c r="AC9" i="2"/>
  <c r="AI9" i="2" s="1"/>
  <c r="AS9" i="2" s="1"/>
  <c r="AC13" i="2"/>
  <c r="AI13" i="2" s="1"/>
  <c r="AS13" i="2" s="1"/>
  <c r="AC17" i="2"/>
  <c r="AI17" i="2" s="1"/>
  <c r="AS17" i="2" s="1"/>
  <c r="AC21" i="2"/>
  <c r="AI21" i="2" s="1"/>
  <c r="AS21" i="2" s="1"/>
  <c r="AC25" i="2"/>
  <c r="AI25" i="2" s="1"/>
  <c r="AS25" i="2" s="1"/>
  <c r="AT25" i="2" s="1"/>
  <c r="AU25" i="2" s="1"/>
  <c r="AZ25" i="2" s="1"/>
  <c r="AC14" i="2"/>
  <c r="AI14" i="2" s="1"/>
  <c r="AS14" i="2" s="1"/>
  <c r="AC18" i="2"/>
  <c r="AI18" i="2" s="1"/>
  <c r="AS18" i="2" s="1"/>
  <c r="AC6" i="2"/>
  <c r="AI6" i="2" s="1"/>
  <c r="AS6" i="2" s="1"/>
  <c r="AC22" i="2"/>
  <c r="AI22" i="2" s="1"/>
  <c r="AS22" i="2" s="1"/>
  <c r="AC10" i="2"/>
  <c r="AI10" i="2" s="1"/>
  <c r="AS10" i="2" s="1"/>
  <c r="AC4" i="2"/>
  <c r="AI4" i="2" s="1"/>
  <c r="AS4" i="2" s="1"/>
  <c r="P11" i="2"/>
  <c r="R11" i="2" s="1"/>
  <c r="X11" i="2" s="1"/>
  <c r="Z11" i="2" s="1"/>
  <c r="P19" i="2"/>
  <c r="R19" i="2" s="1"/>
  <c r="X19" i="2" s="1"/>
  <c r="Z19" i="2" s="1"/>
  <c r="O18" i="2"/>
  <c r="Q18" i="2" s="1"/>
  <c r="AB18" i="2" s="1"/>
  <c r="O5" i="2"/>
  <c r="Q5" i="2" s="1"/>
  <c r="O13" i="2"/>
  <c r="Q13" i="2" s="1"/>
  <c r="AB13" i="2" s="1"/>
  <c r="O19" i="2"/>
  <c r="Q19" i="2" s="1"/>
  <c r="O4" i="2"/>
  <c r="Q4" i="2" s="1"/>
  <c r="P13" i="2"/>
  <c r="R13" i="2" s="1"/>
  <c r="X13" i="2" s="1"/>
  <c r="Z13" i="2" s="1"/>
  <c r="P25" i="2"/>
  <c r="R25" i="2" s="1"/>
  <c r="X25" i="2" s="1"/>
  <c r="Z25" i="2" s="1"/>
  <c r="O15" i="2"/>
  <c r="Q15" i="2" s="1"/>
  <c r="AB15" i="2" s="1"/>
  <c r="O21" i="2"/>
  <c r="Q21" i="2" s="1"/>
  <c r="AB21" i="2" s="1"/>
  <c r="O16" i="2"/>
  <c r="Q16" i="2" s="1"/>
  <c r="P12" i="2"/>
  <c r="R12" i="2" s="1"/>
  <c r="X12" i="2" s="1"/>
  <c r="Z12" i="2" s="1"/>
  <c r="P20" i="2"/>
  <c r="R20" i="2" s="1"/>
  <c r="X20" i="2" s="1"/>
  <c r="Z20" i="2" s="1"/>
  <c r="O23" i="2"/>
  <c r="Q23" i="2" s="1"/>
  <c r="O14" i="2"/>
  <c r="Q14" i="2" s="1"/>
  <c r="AB14" i="2" s="1"/>
  <c r="P21" i="2"/>
  <c r="R21" i="2" s="1"/>
  <c r="X21" i="2" s="1"/>
  <c r="Z21" i="2" s="1"/>
  <c r="O7" i="2"/>
  <c r="Q7" i="2" s="1"/>
  <c r="P6" i="2"/>
  <c r="R6" i="2" s="1"/>
  <c r="X6" i="2" s="1"/>
  <c r="Z6" i="2" s="1"/>
  <c r="P14" i="2"/>
  <c r="R14" i="2" s="1"/>
  <c r="X14" i="2" s="1"/>
  <c r="Z14" i="2" s="1"/>
  <c r="P4" i="2"/>
  <c r="R4" i="2" s="1"/>
  <c r="X4" i="2" s="1"/>
  <c r="Z4" i="2" s="1"/>
  <c r="O12" i="2"/>
  <c r="Q12" i="2" s="1"/>
  <c r="AB12" i="2" s="1"/>
  <c r="AI24" i="6" l="1"/>
  <c r="AI9" i="6"/>
  <c r="AI17" i="6"/>
  <c r="AT5" i="2"/>
  <c r="AU5" i="2" s="1"/>
  <c r="AZ5" i="2" s="1"/>
  <c r="AT15" i="2"/>
  <c r="AU15" i="2" s="1"/>
  <c r="AZ15" i="2" s="1"/>
  <c r="AI14" i="6"/>
  <c r="AI23" i="6"/>
  <c r="AI13" i="6"/>
  <c r="AI19" i="6"/>
  <c r="AI4" i="6"/>
  <c r="AI12" i="6"/>
  <c r="AI15" i="6"/>
  <c r="AI18" i="6"/>
  <c r="AI6" i="6"/>
  <c r="AI20" i="6"/>
  <c r="AI16" i="6"/>
  <c r="AI11" i="6"/>
  <c r="AI10" i="6"/>
  <c r="AI7" i="6"/>
  <c r="AI21" i="6"/>
  <c r="BE21" i="6"/>
  <c r="BF21" i="6" s="1"/>
  <c r="BG21" i="6" s="1"/>
  <c r="BH21" i="6" s="1"/>
  <c r="BJ21" i="6" s="1"/>
  <c r="BL21" i="6" s="1"/>
  <c r="BM21" i="6" s="1"/>
  <c r="AZ21" i="6"/>
  <c r="BA21" i="6" s="1"/>
  <c r="BE19" i="6"/>
  <c r="BF19" i="6" s="1"/>
  <c r="BG19" i="6" s="1"/>
  <c r="BH19" i="6" s="1"/>
  <c r="BJ19" i="6" s="1"/>
  <c r="AZ19" i="6"/>
  <c r="BA19" i="6" s="1"/>
  <c r="AI25" i="6"/>
  <c r="AZ17" i="6"/>
  <c r="BA17" i="6" s="1"/>
  <c r="BE17" i="6"/>
  <c r="BF17" i="6" s="1"/>
  <c r="BG17" i="6" s="1"/>
  <c r="BH17" i="6" s="1"/>
  <c r="BJ17" i="6" s="1"/>
  <c r="BL17" i="6" s="1"/>
  <c r="BM17" i="6" s="1"/>
  <c r="AZ9" i="6"/>
  <c r="BA9" i="6" s="1"/>
  <c r="BE9" i="6"/>
  <c r="BF9" i="6" s="1"/>
  <c r="BG9" i="6" s="1"/>
  <c r="BH9" i="6" s="1"/>
  <c r="BJ9" i="6" s="1"/>
  <c r="BL9" i="6" s="1"/>
  <c r="BM9" i="6" s="1"/>
  <c r="BE25" i="6"/>
  <c r="BF25" i="6" s="1"/>
  <c r="BG25" i="6" s="1"/>
  <c r="BH25" i="6" s="1"/>
  <c r="BJ25" i="6" s="1"/>
  <c r="AZ25" i="6"/>
  <c r="BA25" i="6" s="1"/>
  <c r="BE8" i="6"/>
  <c r="BF8" i="6" s="1"/>
  <c r="BG8" i="6" s="1"/>
  <c r="BH8" i="6" s="1"/>
  <c r="BJ8" i="6" s="1"/>
  <c r="BL8" i="6" s="1"/>
  <c r="BM8" i="6" s="1"/>
  <c r="AZ8" i="6"/>
  <c r="BA8" i="6" s="1"/>
  <c r="BE16" i="6"/>
  <c r="BF16" i="6" s="1"/>
  <c r="BG16" i="6" s="1"/>
  <c r="BH16" i="6" s="1"/>
  <c r="BJ16" i="6" s="1"/>
  <c r="BL16" i="6" s="1"/>
  <c r="BM16" i="6" s="1"/>
  <c r="AZ16" i="6"/>
  <c r="BA16" i="6" s="1"/>
  <c r="BE23" i="6"/>
  <c r="BF23" i="6" s="1"/>
  <c r="BG23" i="6" s="1"/>
  <c r="BH23" i="6" s="1"/>
  <c r="BJ23" i="6" s="1"/>
  <c r="BL23" i="6" s="1"/>
  <c r="BM23" i="6" s="1"/>
  <c r="AZ23" i="6"/>
  <c r="BA23" i="6" s="1"/>
  <c r="AI5" i="6"/>
  <c r="BL19" i="6"/>
  <c r="BM19" i="6" s="1"/>
  <c r="AZ7" i="6"/>
  <c r="BA7" i="6" s="1"/>
  <c r="BE7" i="6"/>
  <c r="BF7" i="6" s="1"/>
  <c r="BG7" i="6" s="1"/>
  <c r="BH7" i="6" s="1"/>
  <c r="BJ7" i="6" s="1"/>
  <c r="BL7" i="6" s="1"/>
  <c r="BM7" i="6" s="1"/>
  <c r="BE15" i="6"/>
  <c r="BF15" i="6" s="1"/>
  <c r="BG15" i="6" s="1"/>
  <c r="BH15" i="6" s="1"/>
  <c r="BJ15" i="6" s="1"/>
  <c r="BL15" i="6" s="1"/>
  <c r="BM15" i="6" s="1"/>
  <c r="AZ15" i="6"/>
  <c r="BA15" i="6" s="1"/>
  <c r="AT6" i="2"/>
  <c r="AU6" i="2" s="1"/>
  <c r="AZ6" i="2" s="1"/>
  <c r="AT21" i="2"/>
  <c r="AU21" i="2" s="1"/>
  <c r="AZ21" i="2" s="1"/>
  <c r="AT12" i="2"/>
  <c r="AU12" i="2" s="1"/>
  <c r="AZ12" i="2" s="1"/>
  <c r="AI8" i="6"/>
  <c r="AZ18" i="6"/>
  <c r="BA18" i="6" s="1"/>
  <c r="BE18" i="6"/>
  <c r="BF18" i="6" s="1"/>
  <c r="BG18" i="6" s="1"/>
  <c r="BH18" i="6" s="1"/>
  <c r="BJ18" i="6" s="1"/>
  <c r="BL18" i="6" s="1"/>
  <c r="BM18" i="6" s="1"/>
  <c r="BE11" i="6"/>
  <c r="BF11" i="6" s="1"/>
  <c r="BG11" i="6" s="1"/>
  <c r="BH11" i="6" s="1"/>
  <c r="BJ11" i="6" s="1"/>
  <c r="BL11" i="6" s="1"/>
  <c r="BM11" i="6" s="1"/>
  <c r="AZ11" i="6"/>
  <c r="BA11" i="6" s="1"/>
  <c r="BE22" i="6"/>
  <c r="BF22" i="6" s="1"/>
  <c r="BG22" i="6" s="1"/>
  <c r="BH22" i="6" s="1"/>
  <c r="BJ22" i="6" s="1"/>
  <c r="BL22" i="6" s="1"/>
  <c r="BM22" i="6" s="1"/>
  <c r="AZ22" i="6"/>
  <c r="BA22" i="6" s="1"/>
  <c r="AZ10" i="6"/>
  <c r="BA10" i="6" s="1"/>
  <c r="BE10" i="6"/>
  <c r="BF10" i="6" s="1"/>
  <c r="BG10" i="6" s="1"/>
  <c r="BH10" i="6" s="1"/>
  <c r="BJ10" i="6" s="1"/>
  <c r="BL10" i="6" s="1"/>
  <c r="BM10" i="6" s="1"/>
  <c r="AZ20" i="6"/>
  <c r="BA20" i="6" s="1"/>
  <c r="BE20" i="6"/>
  <c r="BF20" i="6" s="1"/>
  <c r="BG20" i="6" s="1"/>
  <c r="BH20" i="6" s="1"/>
  <c r="BJ20" i="6" s="1"/>
  <c r="BL20" i="6" s="1"/>
  <c r="BM20" i="6" s="1"/>
  <c r="BE14" i="6"/>
  <c r="BF14" i="6" s="1"/>
  <c r="BG14" i="6" s="1"/>
  <c r="BH14" i="6" s="1"/>
  <c r="BJ14" i="6" s="1"/>
  <c r="BL14" i="6" s="1"/>
  <c r="BM14" i="6" s="1"/>
  <c r="AZ14" i="6"/>
  <c r="BA14" i="6" s="1"/>
  <c r="BE6" i="6"/>
  <c r="BF6" i="6" s="1"/>
  <c r="BG6" i="6" s="1"/>
  <c r="BH6" i="6" s="1"/>
  <c r="BJ6" i="6" s="1"/>
  <c r="BL6" i="6" s="1"/>
  <c r="BM6" i="6" s="1"/>
  <c r="AZ6" i="6"/>
  <c r="BA6" i="6" s="1"/>
  <c r="BL25" i="6"/>
  <c r="BM25" i="6" s="1"/>
  <c r="AI22" i="6"/>
  <c r="BE5" i="6"/>
  <c r="BF5" i="6" s="1"/>
  <c r="BG5" i="6" s="1"/>
  <c r="BH5" i="6" s="1"/>
  <c r="BJ5" i="6" s="1"/>
  <c r="BL5" i="6" s="1"/>
  <c r="BM5" i="6" s="1"/>
  <c r="AZ5" i="6"/>
  <c r="BA5" i="6" s="1"/>
  <c r="BE13" i="6"/>
  <c r="BF13" i="6" s="1"/>
  <c r="BG13" i="6" s="1"/>
  <c r="BH13" i="6" s="1"/>
  <c r="BJ13" i="6" s="1"/>
  <c r="BL13" i="6" s="1"/>
  <c r="BM13" i="6" s="1"/>
  <c r="AZ13" i="6"/>
  <c r="BA13" i="6" s="1"/>
  <c r="BE4" i="6"/>
  <c r="BF4" i="6" s="1"/>
  <c r="BG4" i="6" s="1"/>
  <c r="BH4" i="6" s="1"/>
  <c r="BJ4" i="6" s="1"/>
  <c r="BL4" i="6" s="1"/>
  <c r="BM4" i="6" s="1"/>
  <c r="AZ4" i="6"/>
  <c r="BA4" i="6" s="1"/>
  <c r="BE12" i="6"/>
  <c r="BF12" i="6" s="1"/>
  <c r="BG12" i="6" s="1"/>
  <c r="BH12" i="6" s="1"/>
  <c r="BJ12" i="6" s="1"/>
  <c r="BL12" i="6" s="1"/>
  <c r="BM12" i="6" s="1"/>
  <c r="AZ12" i="6"/>
  <c r="BA12" i="6" s="1"/>
  <c r="BE24" i="6"/>
  <c r="BF24" i="6" s="1"/>
  <c r="BG24" i="6" s="1"/>
  <c r="BH24" i="6" s="1"/>
  <c r="BJ24" i="6" s="1"/>
  <c r="BL24" i="6" s="1"/>
  <c r="BM24" i="6" s="1"/>
  <c r="AZ24" i="6"/>
  <c r="BA24" i="6" s="1"/>
  <c r="W16" i="2"/>
  <c r="Y16" i="2" s="1"/>
  <c r="AA16" i="2" s="1"/>
  <c r="AB16" i="2"/>
  <c r="W5" i="2"/>
  <c r="Y5" i="2" s="1"/>
  <c r="AA5" i="2" s="1"/>
  <c r="AB5" i="2"/>
  <c r="W9" i="2"/>
  <c r="Y9" i="2" s="1"/>
  <c r="AB9" i="2"/>
  <c r="W23" i="2"/>
  <c r="Y23" i="2" s="1"/>
  <c r="AB23" i="2"/>
  <c r="W4" i="2"/>
  <c r="Y4" i="2" s="1"/>
  <c r="AA4" i="2" s="1"/>
  <c r="AB4" i="2"/>
  <c r="W7" i="2"/>
  <c r="Y7" i="2" s="1"/>
  <c r="AA7" i="2" s="1"/>
  <c r="AB7" i="2"/>
  <c r="W19" i="2"/>
  <c r="Y19" i="2" s="1"/>
  <c r="AA19" i="2" s="1"/>
  <c r="AB19" i="2"/>
  <c r="AT18" i="2"/>
  <c r="AU18" i="2" s="1"/>
  <c r="AZ18" i="2" s="1"/>
  <c r="AT8" i="2"/>
  <c r="AU8" i="2" s="1"/>
  <c r="AZ8" i="2" s="1"/>
  <c r="AT11" i="2"/>
  <c r="AU11" i="2" s="1"/>
  <c r="AZ11" i="2" s="1"/>
  <c r="AT14" i="2"/>
  <c r="AU14" i="2" s="1"/>
  <c r="AZ14" i="2" s="1"/>
  <c r="AT10" i="2"/>
  <c r="AU10" i="2" s="1"/>
  <c r="AZ10" i="2" s="1"/>
  <c r="AT22" i="2"/>
  <c r="AU22" i="2" s="1"/>
  <c r="AZ22" i="2" s="1"/>
  <c r="AT16" i="2"/>
  <c r="AU16" i="2" s="1"/>
  <c r="AZ16" i="2" s="1"/>
  <c r="AT19" i="2"/>
  <c r="AU19" i="2" s="1"/>
  <c r="AZ19" i="2" s="1"/>
  <c r="AT17" i="2"/>
  <c r="AU17" i="2" s="1"/>
  <c r="AZ17" i="2" s="1"/>
  <c r="AT24" i="2"/>
  <c r="AU24" i="2" s="1"/>
  <c r="AZ24" i="2" s="1"/>
  <c r="AT4" i="2"/>
  <c r="AU4" i="2" s="1"/>
  <c r="AZ4" i="2" s="1"/>
  <c r="AT13" i="2"/>
  <c r="AU13" i="2" s="1"/>
  <c r="AZ13" i="2" s="1"/>
  <c r="AT23" i="2"/>
  <c r="AU23" i="2" s="1"/>
  <c r="AZ23" i="2" s="1"/>
  <c r="AT9" i="2"/>
  <c r="AU9" i="2" s="1"/>
  <c r="AZ9" i="2" s="1"/>
  <c r="S4" i="2"/>
  <c r="S9" i="2"/>
  <c r="S20" i="2"/>
  <c r="S24" i="2"/>
  <c r="S15" i="2"/>
  <c r="S19" i="2"/>
  <c r="W20" i="2"/>
  <c r="Y20" i="2" s="1"/>
  <c r="AA20" i="2" s="1"/>
  <c r="W25" i="2"/>
  <c r="Y25" i="2" s="1"/>
  <c r="AA25" i="2" s="1"/>
  <c r="S25" i="2"/>
  <c r="S10" i="2"/>
  <c r="S8" i="2"/>
  <c r="W8" i="2"/>
  <c r="Y8" i="2" s="1"/>
  <c r="AA8" i="2" s="1"/>
  <c r="W11" i="2"/>
  <c r="Y11" i="2" s="1"/>
  <c r="AA11" i="2" s="1"/>
  <c r="S11" i="2"/>
  <c r="W6" i="2"/>
  <c r="Y6" i="2" s="1"/>
  <c r="AA6" i="2" s="1"/>
  <c r="S6" i="2"/>
  <c r="S23" i="2"/>
  <c r="X23" i="2"/>
  <c r="Z23" i="2" s="1"/>
  <c r="S7" i="2"/>
  <c r="W15" i="2"/>
  <c r="Y15" i="2" s="1"/>
  <c r="AA15" i="2" s="1"/>
  <c r="W24" i="2"/>
  <c r="Y24" i="2" s="1"/>
  <c r="AA24" i="2" s="1"/>
  <c r="W10" i="2"/>
  <c r="Y10" i="2" s="1"/>
  <c r="AA10" i="2" s="1"/>
  <c r="S5" i="2"/>
  <c r="W21" i="2"/>
  <c r="Y21" i="2" s="1"/>
  <c r="AA21" i="2" s="1"/>
  <c r="S21" i="2"/>
  <c r="W13" i="2"/>
  <c r="Y13" i="2" s="1"/>
  <c r="AA13" i="2" s="1"/>
  <c r="S13" i="2"/>
  <c r="W18" i="2"/>
  <c r="Y18" i="2" s="1"/>
  <c r="AA18" i="2" s="1"/>
  <c r="S18" i="2"/>
  <c r="W17" i="2"/>
  <c r="Y17" i="2" s="1"/>
  <c r="AA17" i="2" s="1"/>
  <c r="S17" i="2"/>
  <c r="S22" i="2"/>
  <c r="W22" i="2"/>
  <c r="Y22" i="2" s="1"/>
  <c r="AA22" i="2" s="1"/>
  <c r="S12" i="2"/>
  <c r="W12" i="2"/>
  <c r="Y12" i="2" s="1"/>
  <c r="AA12" i="2" s="1"/>
  <c r="W14" i="2"/>
  <c r="Y14" i="2" s="1"/>
  <c r="AA14" i="2" s="1"/>
  <c r="S14" i="2"/>
  <c r="S16" i="2"/>
  <c r="AF5" i="2"/>
  <c r="AF9" i="2"/>
  <c r="AF13" i="2"/>
  <c r="AF17" i="2"/>
  <c r="AF21" i="2"/>
  <c r="AF25" i="2"/>
  <c r="AF6" i="2"/>
  <c r="AF10" i="2"/>
  <c r="AF14" i="2"/>
  <c r="AF18" i="2"/>
  <c r="AF22" i="2"/>
  <c r="AF4" i="2"/>
  <c r="AF7" i="2"/>
  <c r="AF11" i="2"/>
  <c r="AF15" i="2"/>
  <c r="AF19" i="2"/>
  <c r="AF23" i="2"/>
  <c r="AF8" i="2"/>
  <c r="AF24" i="2"/>
  <c r="AF12" i="2"/>
  <c r="AF16" i="2"/>
  <c r="AF20" i="2"/>
  <c r="AA9" i="2"/>
  <c r="AA23" i="2" l="1"/>
  <c r="AJ23" i="2"/>
  <c r="AV23" i="2" s="1"/>
  <c r="AW23" i="2" s="1"/>
  <c r="AX23" i="2" s="1"/>
  <c r="AY23" i="2" s="1"/>
  <c r="AJ14" i="2"/>
  <c r="AV14" i="2" s="1"/>
  <c r="AW14" i="2" s="1"/>
  <c r="AX14" i="2" s="1"/>
  <c r="AY14" i="2" s="1"/>
  <c r="AJ5" i="2"/>
  <c r="AV5" i="2" s="1"/>
  <c r="AW5" i="2" s="1"/>
  <c r="AX5" i="2" s="1"/>
  <c r="AY5" i="2" s="1"/>
  <c r="AJ12" i="2"/>
  <c r="AV12" i="2" s="1"/>
  <c r="AW12" i="2" s="1"/>
  <c r="AX12" i="2" s="1"/>
  <c r="AY12" i="2" s="1"/>
  <c r="AJ19" i="2"/>
  <c r="AV19" i="2" s="1"/>
  <c r="AW19" i="2" s="1"/>
  <c r="AX19" i="2" s="1"/>
  <c r="AY19" i="2" s="1"/>
  <c r="AJ10" i="2"/>
  <c r="AV10" i="2" s="1"/>
  <c r="AW10" i="2" s="1"/>
  <c r="AX10" i="2" s="1"/>
  <c r="AY10" i="2" s="1"/>
  <c r="AJ17" i="2"/>
  <c r="AV17" i="2" s="1"/>
  <c r="AW17" i="2" s="1"/>
  <c r="AX17" i="2" s="1"/>
  <c r="AY17" i="2" s="1"/>
  <c r="AJ16" i="2"/>
  <c r="AJ7" i="2"/>
  <c r="AJ21" i="2"/>
  <c r="AJ24" i="2"/>
  <c r="AJ15" i="2"/>
  <c r="AJ22" i="2"/>
  <c r="AJ6" i="2"/>
  <c r="AJ13" i="2"/>
  <c r="AJ20" i="2"/>
  <c r="AJ8" i="2"/>
  <c r="AJ11" i="2"/>
  <c r="AJ18" i="2"/>
  <c r="AJ25" i="2"/>
  <c r="AJ9" i="2"/>
  <c r="AJ4" i="2"/>
  <c r="AQ14" i="2" l="1"/>
  <c r="AR14" i="2" s="1"/>
  <c r="BA10" i="2"/>
  <c r="BC10" i="2" s="1"/>
  <c r="BA17" i="2"/>
  <c r="BA19" i="2"/>
  <c r="BC19" i="2" s="1"/>
  <c r="BA14" i="2"/>
  <c r="BA5" i="2"/>
  <c r="BC5" i="2" s="1"/>
  <c r="BA12" i="2"/>
  <c r="BA23" i="2"/>
  <c r="BC23" i="2" s="1"/>
  <c r="AQ12" i="2"/>
  <c r="AR12" i="2" s="1"/>
  <c r="AQ10" i="2"/>
  <c r="AR10" i="2" s="1"/>
  <c r="AQ8" i="2"/>
  <c r="AR8" i="2" s="1"/>
  <c r="AV8" i="2"/>
  <c r="AW8" i="2" s="1"/>
  <c r="AX8" i="2" s="1"/>
  <c r="AY8" i="2" s="1"/>
  <c r="AQ25" i="2"/>
  <c r="AR25" i="2" s="1"/>
  <c r="AV25" i="2"/>
  <c r="AW25" i="2" s="1"/>
  <c r="AX25" i="2" s="1"/>
  <c r="AY25" i="2" s="1"/>
  <c r="AQ16" i="2"/>
  <c r="AR16" i="2" s="1"/>
  <c r="AV16" i="2"/>
  <c r="AW16" i="2" s="1"/>
  <c r="AX16" i="2" s="1"/>
  <c r="AY16" i="2" s="1"/>
  <c r="AQ9" i="2"/>
  <c r="AR9" i="2" s="1"/>
  <c r="AV9" i="2"/>
  <c r="AW9" i="2" s="1"/>
  <c r="AX9" i="2" s="1"/>
  <c r="AY9" i="2" s="1"/>
  <c r="AQ22" i="2"/>
  <c r="AR22" i="2" s="1"/>
  <c r="AV22" i="2"/>
  <c r="AW22" i="2" s="1"/>
  <c r="AX22" i="2" s="1"/>
  <c r="AY22" i="2" s="1"/>
  <c r="AQ7" i="2"/>
  <c r="AR7" i="2" s="1"/>
  <c r="AV7" i="2"/>
  <c r="AW7" i="2" s="1"/>
  <c r="AX7" i="2" s="1"/>
  <c r="AY7" i="2" s="1"/>
  <c r="AQ20" i="2"/>
  <c r="AR20" i="2" s="1"/>
  <c r="AV20" i="2"/>
  <c r="AW20" i="2" s="1"/>
  <c r="AX20" i="2" s="1"/>
  <c r="AY20" i="2" s="1"/>
  <c r="AQ15" i="2"/>
  <c r="AR15" i="2" s="1"/>
  <c r="AV15" i="2"/>
  <c r="AW15" i="2" s="1"/>
  <c r="AX15" i="2" s="1"/>
  <c r="AY15" i="2" s="1"/>
  <c r="AQ18" i="2"/>
  <c r="AR18" i="2" s="1"/>
  <c r="AV18" i="2"/>
  <c r="AW18" i="2" s="1"/>
  <c r="AX18" i="2" s="1"/>
  <c r="AY18" i="2" s="1"/>
  <c r="AQ13" i="2"/>
  <c r="AR13" i="2" s="1"/>
  <c r="AV13" i="2"/>
  <c r="AW13" i="2" s="1"/>
  <c r="AX13" i="2" s="1"/>
  <c r="AY13" i="2" s="1"/>
  <c r="AQ24" i="2"/>
  <c r="AR24" i="2" s="1"/>
  <c r="AV24" i="2"/>
  <c r="AW24" i="2" s="1"/>
  <c r="AX24" i="2" s="1"/>
  <c r="AY24" i="2" s="1"/>
  <c r="AQ17" i="2"/>
  <c r="AR17" i="2" s="1"/>
  <c r="AQ19" i="2"/>
  <c r="AR19" i="2" s="1"/>
  <c r="AQ5" i="2"/>
  <c r="AR5" i="2" s="1"/>
  <c r="AQ23" i="2"/>
  <c r="AR23" i="2" s="1"/>
  <c r="AQ4" i="2"/>
  <c r="AR4" i="2" s="1"/>
  <c r="AV4" i="2"/>
  <c r="AW4" i="2" s="1"/>
  <c r="AX4" i="2" s="1"/>
  <c r="AY4" i="2" s="1"/>
  <c r="AQ11" i="2"/>
  <c r="AR11" i="2" s="1"/>
  <c r="AV11" i="2"/>
  <c r="AW11" i="2" s="1"/>
  <c r="AX11" i="2" s="1"/>
  <c r="AY11" i="2" s="1"/>
  <c r="AQ6" i="2"/>
  <c r="AR6" i="2" s="1"/>
  <c r="AV6" i="2"/>
  <c r="AW6" i="2" s="1"/>
  <c r="AX6" i="2" s="1"/>
  <c r="AY6" i="2" s="1"/>
  <c r="AQ21" i="2"/>
  <c r="AR21" i="2" s="1"/>
  <c r="AV21" i="2"/>
  <c r="AW21" i="2" s="1"/>
  <c r="AX21" i="2" s="1"/>
  <c r="AY21" i="2" s="1"/>
  <c r="BC14" i="2" l="1"/>
  <c r="BD14" i="2" s="1"/>
  <c r="BC12" i="2"/>
  <c r="BD12" i="2" s="1"/>
  <c r="BC17" i="2"/>
  <c r="BD17" i="2" s="1"/>
  <c r="BD19" i="2"/>
  <c r="BD23" i="2"/>
  <c r="BD5" i="2"/>
  <c r="BD10" i="2"/>
  <c r="BA6" i="2"/>
  <c r="BC6" i="2" s="1"/>
  <c r="BA15" i="2"/>
  <c r="BA25" i="2"/>
  <c r="BC25" i="2" s="1"/>
  <c r="BA4" i="2"/>
  <c r="BC4" i="2" s="1"/>
  <c r="BA7" i="2"/>
  <c r="BC7" i="2" s="1"/>
  <c r="BA21" i="2"/>
  <c r="BA24" i="2"/>
  <c r="BA20" i="2"/>
  <c r="BA16" i="2"/>
  <c r="BA8" i="2"/>
  <c r="BA13" i="2"/>
  <c r="BA9" i="2"/>
  <c r="BA11" i="2"/>
  <c r="BA18" i="2"/>
  <c r="BA22" i="2"/>
  <c r="BC18" i="2" l="1"/>
  <c r="BD18" i="2" s="1"/>
  <c r="BC21" i="2"/>
  <c r="BD21" i="2" s="1"/>
  <c r="BC16" i="2"/>
  <c r="BD16" i="2" s="1"/>
  <c r="BC8" i="2"/>
  <c r="BD8" i="2" s="1"/>
  <c r="BC15" i="2"/>
  <c r="BD15" i="2" s="1"/>
  <c r="BC11" i="2"/>
  <c r="BD11" i="2" s="1"/>
  <c r="BC20" i="2"/>
  <c r="BD20" i="2" s="1"/>
  <c r="BC9" i="2"/>
  <c r="BD9" i="2" s="1"/>
  <c r="BC22" i="2"/>
  <c r="BD22" i="2" s="1"/>
  <c r="BC13" i="2"/>
  <c r="BD13" i="2" s="1"/>
  <c r="BC24" i="2"/>
  <c r="BD24" i="2" s="1"/>
  <c r="BD6" i="2"/>
  <c r="BD7" i="2"/>
  <c r="BD4" i="2"/>
  <c r="BD25" i="2"/>
</calcChain>
</file>

<file path=xl/sharedStrings.xml><?xml version="1.0" encoding="utf-8"?>
<sst xmlns="http://schemas.openxmlformats.org/spreadsheetml/2006/main" count="415" uniqueCount="150">
  <si>
    <t>Hot Reservoir</t>
  </si>
  <si>
    <t>Hot in</t>
  </si>
  <si>
    <t>Hot mid</t>
  </si>
  <si>
    <t>Hot out</t>
  </si>
  <si>
    <t>Cold in</t>
  </si>
  <si>
    <t>Cold mid</t>
  </si>
  <si>
    <t>Cold out</t>
  </si>
  <si>
    <t>Hot Flow</t>
  </si>
  <si>
    <t>Cold Flow</t>
  </si>
  <si>
    <t>ST-16</t>
  </si>
  <si>
    <t>ST-3</t>
  </si>
  <si>
    <t>ST-1</t>
  </si>
  <si>
    <t>ST-2</t>
  </si>
  <si>
    <t>ST-4</t>
  </si>
  <si>
    <t>ST-6</t>
  </si>
  <si>
    <t>ST-5</t>
  </si>
  <si>
    <t>SC-1</t>
  </si>
  <si>
    <t>SC-2</t>
  </si>
  <si>
    <t>C</t>
  </si>
  <si>
    <t>l/min</t>
  </si>
  <si>
    <t>Cp</t>
  </si>
  <si>
    <t>J/kgK</t>
  </si>
  <si>
    <t>density</t>
  </si>
  <si>
    <t>kg/ms</t>
  </si>
  <si>
    <t>m</t>
  </si>
  <si>
    <t>Sect h</t>
  </si>
  <si>
    <t>m2</t>
  </si>
  <si>
    <t>Sect c</t>
  </si>
  <si>
    <t>Kg/m3</t>
  </si>
  <si>
    <t>Do</t>
  </si>
  <si>
    <t>Di</t>
  </si>
  <si>
    <t>do</t>
  </si>
  <si>
    <t>di</t>
  </si>
  <si>
    <t>Ah</t>
  </si>
  <si>
    <t>Ac</t>
  </si>
  <si>
    <t>Heat Transfer area</t>
  </si>
  <si>
    <t>Length</t>
  </si>
  <si>
    <t>W/mK</t>
  </si>
  <si>
    <t>circle</t>
  </si>
  <si>
    <t>annulus</t>
  </si>
  <si>
    <t>Flow</t>
  </si>
  <si>
    <t>Direction</t>
  </si>
  <si>
    <t>Counter-Current</t>
  </si>
  <si>
    <t>Parallel</t>
  </si>
  <si>
    <t>Error</t>
  </si>
  <si>
    <t>how T dependent is the heat capacity of water?</t>
  </si>
  <si>
    <t>external tube (cold)</t>
  </si>
  <si>
    <t>internal tube (hot)</t>
  </si>
  <si>
    <t>?</t>
  </si>
  <si>
    <t>Hydraulic Diameters (for calculating Re)</t>
  </si>
  <si>
    <t>cross-sectional area of flow for  water</t>
  </si>
  <si>
    <t>how temperature dependent is the density?</t>
  </si>
  <si>
    <t>how temperature dependent is the viscosity?</t>
  </si>
  <si>
    <t>K(water)</t>
  </si>
  <si>
    <t>K(wall)</t>
  </si>
  <si>
    <t>Stainless steel wall</t>
  </si>
  <si>
    <t>how temperature dependent is the thermal conductivity of water?</t>
  </si>
  <si>
    <t>D(hot)</t>
  </si>
  <si>
    <t>D(cold)</t>
  </si>
  <si>
    <t>viscosity</t>
  </si>
  <si>
    <t>k [W/m*K]</t>
  </si>
  <si>
    <t>µ [kg/m*s]</t>
  </si>
  <si>
    <t>ρ [kg/m3]</t>
  </si>
  <si>
    <t>Cp [J/kg*K]</t>
  </si>
  <si>
    <t>Water Temp [C]</t>
  </si>
  <si>
    <t>Eqn Form</t>
  </si>
  <si>
    <t xml:space="preserve">f(x) = </t>
  </si>
  <si>
    <t>p1*x^2 +</t>
  </si>
  <si>
    <t>p2*x +</t>
  </si>
  <si>
    <t>p3</t>
  </si>
  <si>
    <t>p1</t>
  </si>
  <si>
    <t>p2</t>
  </si>
  <si>
    <t>Property</t>
  </si>
  <si>
    <t>constant at 4070 J/kg*K</t>
  </si>
  <si>
    <t>ρ [kg/m^3]</t>
  </si>
  <si>
    <t>Calculate Fluid Properties Given T [C] =</t>
  </si>
  <si>
    <t>Avg. Hot</t>
  </si>
  <si>
    <t>Avg. Cold</t>
  </si>
  <si>
    <t>rho, hot</t>
  </si>
  <si>
    <t>kg/m3</t>
  </si>
  <si>
    <t>rho, cold</t>
  </si>
  <si>
    <t>mass, hot</t>
  </si>
  <si>
    <t>kg/min</t>
  </si>
  <si>
    <t>mass, cold</t>
  </si>
  <si>
    <t>q, hot</t>
  </si>
  <si>
    <t xml:space="preserve">Cp = </t>
  </si>
  <si>
    <t>J/s = W</t>
  </si>
  <si>
    <t>q, cold</t>
  </si>
  <si>
    <t>q, loss</t>
  </si>
  <si>
    <t>deltaT_left</t>
  </si>
  <si>
    <t>deltaT_right</t>
  </si>
  <si>
    <t>deltaT_lm</t>
  </si>
  <si>
    <t xml:space="preserve">deltaT_left = </t>
  </si>
  <si>
    <t>Th,in - Tc,o</t>
  </si>
  <si>
    <t xml:space="preserve">deltaT_right = </t>
  </si>
  <si>
    <t>Th,o - Tc,i</t>
  </si>
  <si>
    <t>Th,i - Tc,i</t>
  </si>
  <si>
    <t>Th,o - Tc,o</t>
  </si>
  <si>
    <t>UAh_exp</t>
  </si>
  <si>
    <t>UAc_exp</t>
  </si>
  <si>
    <t>Uh</t>
  </si>
  <si>
    <t>Uc</t>
  </si>
  <si>
    <t>U_avg</t>
  </si>
  <si>
    <t>K</t>
  </si>
  <si>
    <t>W/K</t>
  </si>
  <si>
    <t>W/m2*K</t>
  </si>
  <si>
    <t>u,hot</t>
  </si>
  <si>
    <t>u,cold</t>
  </si>
  <si>
    <t>Dh, hot</t>
  </si>
  <si>
    <t>Dh, cold</t>
  </si>
  <si>
    <t>mu, hot</t>
  </si>
  <si>
    <t>mu, cold</t>
  </si>
  <si>
    <t>Re, hot</t>
  </si>
  <si>
    <t>Re, cold</t>
  </si>
  <si>
    <t>m/s</t>
  </si>
  <si>
    <t>kg/m*s</t>
  </si>
  <si>
    <t>k, hot</t>
  </si>
  <si>
    <t>k, cold</t>
  </si>
  <si>
    <t>W/m*K</t>
  </si>
  <si>
    <t>Pr, hot</t>
  </si>
  <si>
    <t>Pr, cold</t>
  </si>
  <si>
    <t>xfd,t, hot</t>
  </si>
  <si>
    <t>xfd,t, cold</t>
  </si>
  <si>
    <t>xfd,h, cold</t>
  </si>
  <si>
    <t>xfd,h, hot</t>
  </si>
  <si>
    <t>Nu, hot</t>
  </si>
  <si>
    <t>f, hot</t>
  </si>
  <si>
    <t>h, hot</t>
  </si>
  <si>
    <t>Nu, cold</t>
  </si>
  <si>
    <t>h, cold</t>
  </si>
  <si>
    <t>Nu,tube, cold</t>
  </si>
  <si>
    <t>(4) or (5)</t>
  </si>
  <si>
    <t>RePrD/L</t>
  </si>
  <si>
    <t>R, hot</t>
  </si>
  <si>
    <t>R, cold</t>
  </si>
  <si>
    <t>R, tube</t>
  </si>
  <si>
    <t>UA,theory</t>
  </si>
  <si>
    <t>U, theory</t>
  </si>
  <si>
    <t>U_exp</t>
  </si>
  <si>
    <t>W</t>
  </si>
  <si>
    <t>deltaT, error</t>
  </si>
  <si>
    <t>deltaT_lm, error</t>
  </si>
  <si>
    <t>UA_exp, error</t>
  </si>
  <si>
    <t>U, error</t>
  </si>
  <si>
    <t>kg/s</t>
  </si>
  <si>
    <t>mass_hot, error</t>
  </si>
  <si>
    <t>mass_cold, error</t>
  </si>
  <si>
    <t>q_hot, error</t>
  </si>
  <si>
    <t>df/dTl</t>
  </si>
  <si>
    <t>df/Tr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</si>
</sst>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en-US" baseline="0"/>
              <a:t>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Properties'!$B$3:$B$19</c:f>
              <c:numCache>
                <c:formatCode>General</c:formatCode>
                <c:ptCount val="1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</c:numCache>
            </c:numRef>
          </c:xVal>
          <c:yVal>
            <c:numRef>
              <c:f>'Fluid Properties'!$C$3:$C$19</c:f>
              <c:numCache>
                <c:formatCode>General</c:formatCode>
                <c:ptCount val="17"/>
                <c:pt idx="0">
                  <c:v>995.8</c:v>
                </c:pt>
                <c:pt idx="1">
                  <c:v>995.2</c:v>
                </c:pt>
                <c:pt idx="2">
                  <c:v>994.6</c:v>
                </c:pt>
                <c:pt idx="3">
                  <c:v>993.9</c:v>
                </c:pt>
                <c:pt idx="4">
                  <c:v>993.2</c:v>
                </c:pt>
                <c:pt idx="5">
                  <c:v>992.5</c:v>
                </c:pt>
                <c:pt idx="6">
                  <c:v>991.8</c:v>
                </c:pt>
                <c:pt idx="7">
                  <c:v>991</c:v>
                </c:pt>
                <c:pt idx="8">
                  <c:v>990.2</c:v>
                </c:pt>
                <c:pt idx="9">
                  <c:v>989.4</c:v>
                </c:pt>
                <c:pt idx="10">
                  <c:v>988.6</c:v>
                </c:pt>
                <c:pt idx="11">
                  <c:v>987.7</c:v>
                </c:pt>
                <c:pt idx="12">
                  <c:v>986.8</c:v>
                </c:pt>
                <c:pt idx="13">
                  <c:v>985.8</c:v>
                </c:pt>
                <c:pt idx="14">
                  <c:v>984.9</c:v>
                </c:pt>
                <c:pt idx="15">
                  <c:v>983.9</c:v>
                </c:pt>
                <c:pt idx="16">
                  <c:v>982.9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0-4FE6-A5D7-75715C77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78968"/>
        <c:axId val="345379624"/>
      </c:scatterChart>
      <c:valAx>
        <c:axId val="345378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79624"/>
        <c:crosses val="autoZero"/>
        <c:crossBetween val="midCat"/>
      </c:valAx>
      <c:valAx>
        <c:axId val="3453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7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Properties'!$B$3:$B$19</c:f>
              <c:numCache>
                <c:formatCode>General</c:formatCode>
                <c:ptCount val="1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</c:numCache>
            </c:numRef>
          </c:xVal>
          <c:yVal>
            <c:numRef>
              <c:f>'Fluid Properties'!$D$3:$D$19</c:f>
              <c:numCache>
                <c:formatCode>General</c:formatCode>
                <c:ptCount val="17"/>
                <c:pt idx="0">
                  <c:v>8.1189999999999995E-4</c:v>
                </c:pt>
                <c:pt idx="1">
                  <c:v>7.7729999999999997E-4</c:v>
                </c:pt>
                <c:pt idx="2">
                  <c:v>7.4509999999999995E-4</c:v>
                </c:pt>
                <c:pt idx="3">
                  <c:v>7.1489999999999998E-4</c:v>
                </c:pt>
                <c:pt idx="4">
                  <c:v>6.8670000000000005E-4</c:v>
                </c:pt>
                <c:pt idx="5">
                  <c:v>6.602E-4</c:v>
                </c:pt>
                <c:pt idx="6">
                  <c:v>6.3540000000000005E-4</c:v>
                </c:pt>
                <c:pt idx="7">
                  <c:v>6.1209999999999997E-4</c:v>
                </c:pt>
                <c:pt idx="8">
                  <c:v>5.9020000000000003E-4</c:v>
                </c:pt>
                <c:pt idx="9">
                  <c:v>5.6959999999999997E-4</c:v>
                </c:pt>
                <c:pt idx="10">
                  <c:v>5.5020000000000004E-4</c:v>
                </c:pt>
                <c:pt idx="11">
                  <c:v>5.3189999999999997E-4</c:v>
                </c:pt>
                <c:pt idx="12">
                  <c:v>5.1449999999999998E-4</c:v>
                </c:pt>
                <c:pt idx="13">
                  <c:v>4.9819999999999997E-4</c:v>
                </c:pt>
                <c:pt idx="14">
                  <c:v>4.8270000000000002E-4</c:v>
                </c:pt>
                <c:pt idx="15">
                  <c:v>4.6799999999999999E-4</c:v>
                </c:pt>
                <c:pt idx="16">
                  <c:v>4.5399999999999998E-4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2-4466-A52A-F061ABFE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71584"/>
        <c:axId val="344872568"/>
      </c:scatterChart>
      <c:valAx>
        <c:axId val="344871584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72568"/>
        <c:crosses val="autoZero"/>
        <c:crossBetween val="midCat"/>
      </c:valAx>
      <c:valAx>
        <c:axId val="344872568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Capacity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Properties'!$B$3:$B$19</c:f>
              <c:numCache>
                <c:formatCode>General</c:formatCode>
                <c:ptCount val="1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</c:numCache>
            </c:numRef>
          </c:xVal>
          <c:yVal>
            <c:numRef>
              <c:f>'Fluid Properties'!$E$3:$E$19</c:f>
              <c:numCache>
                <c:formatCode>General</c:formatCode>
                <c:ptCount val="17"/>
                <c:pt idx="0">
                  <c:v>4071</c:v>
                </c:pt>
                <c:pt idx="1">
                  <c:v>4070</c:v>
                </c:pt>
                <c:pt idx="2">
                  <c:v>4069</c:v>
                </c:pt>
                <c:pt idx="3">
                  <c:v>4069</c:v>
                </c:pt>
                <c:pt idx="4">
                  <c:v>4068</c:v>
                </c:pt>
                <c:pt idx="5">
                  <c:v>4068</c:v>
                </c:pt>
                <c:pt idx="6">
                  <c:v>4067</c:v>
                </c:pt>
                <c:pt idx="7">
                  <c:v>4067</c:v>
                </c:pt>
                <c:pt idx="8">
                  <c:v>4067</c:v>
                </c:pt>
                <c:pt idx="9">
                  <c:v>4066</c:v>
                </c:pt>
                <c:pt idx="10">
                  <c:v>4066</c:v>
                </c:pt>
                <c:pt idx="11">
                  <c:v>4066</c:v>
                </c:pt>
                <c:pt idx="12">
                  <c:v>4066</c:v>
                </c:pt>
                <c:pt idx="13">
                  <c:v>4066</c:v>
                </c:pt>
                <c:pt idx="14">
                  <c:v>4066</c:v>
                </c:pt>
                <c:pt idx="15">
                  <c:v>4066</c:v>
                </c:pt>
                <c:pt idx="16">
                  <c:v>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E-4641-BA10-7E9C95396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76984"/>
        <c:axId val="663879936"/>
      </c:scatterChart>
      <c:valAx>
        <c:axId val="663876984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9936"/>
        <c:crosses val="autoZero"/>
        <c:crossBetween val="midCat"/>
      </c:valAx>
      <c:valAx>
        <c:axId val="663879936"/>
        <c:scaling>
          <c:orientation val="minMax"/>
          <c:max val="4080"/>
          <c:min val="40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</a:t>
            </a:r>
            <a:r>
              <a:rPr lang="en-US" baseline="0"/>
              <a:t> vs.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Properties'!$B$3:$B$19</c:f>
              <c:numCache>
                <c:formatCode>General</c:formatCode>
                <c:ptCount val="1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</c:numCache>
            </c:numRef>
          </c:xVal>
          <c:yVal>
            <c:numRef>
              <c:f>'Fluid Properties'!$F$3:$F$19</c:f>
              <c:numCache>
                <c:formatCode>General</c:formatCode>
                <c:ptCount val="17"/>
                <c:pt idx="0">
                  <c:v>0.61660000000000004</c:v>
                </c:pt>
                <c:pt idx="1">
                  <c:v>0.61939999999999995</c:v>
                </c:pt>
                <c:pt idx="2">
                  <c:v>0.62219999999999998</c:v>
                </c:pt>
                <c:pt idx="3">
                  <c:v>0.62480000000000002</c:v>
                </c:pt>
                <c:pt idx="4">
                  <c:v>0.62739999999999996</c:v>
                </c:pt>
                <c:pt idx="5">
                  <c:v>0.63</c:v>
                </c:pt>
                <c:pt idx="6">
                  <c:v>0.63249999999999995</c:v>
                </c:pt>
                <c:pt idx="7">
                  <c:v>0.63490000000000002</c:v>
                </c:pt>
                <c:pt idx="8">
                  <c:v>0.63729999999999998</c:v>
                </c:pt>
                <c:pt idx="9">
                  <c:v>0.63959999999999995</c:v>
                </c:pt>
                <c:pt idx="10">
                  <c:v>0.64180000000000004</c:v>
                </c:pt>
                <c:pt idx="11">
                  <c:v>0.64400000000000002</c:v>
                </c:pt>
                <c:pt idx="12">
                  <c:v>0.64610000000000001</c:v>
                </c:pt>
                <c:pt idx="13">
                  <c:v>0.6482</c:v>
                </c:pt>
                <c:pt idx="14">
                  <c:v>0.6502</c:v>
                </c:pt>
                <c:pt idx="15">
                  <c:v>0.65210000000000001</c:v>
                </c:pt>
                <c:pt idx="16">
                  <c:v>0.65400000000000003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B-44D8-AAD8-8AE8ACA9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66160"/>
        <c:axId val="663869768"/>
      </c:scatterChart>
      <c:valAx>
        <c:axId val="663866160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69768"/>
        <c:crosses val="autoZero"/>
        <c:crossBetween val="midCat"/>
      </c:valAx>
      <c:valAx>
        <c:axId val="6638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0</xdr:row>
      <xdr:rowOff>177165</xdr:rowOff>
    </xdr:from>
    <xdr:to>
      <xdr:col>13</xdr:col>
      <xdr:colOff>266700</xdr:colOff>
      <xdr:row>15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76FF0-54A8-40DA-977A-64F1C3F8C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321945</xdr:colOff>
      <xdr:row>19</xdr:row>
      <xdr:rowOff>173355</xdr:rowOff>
    </xdr:from>
    <xdr:to>
      <xdr:col>7</xdr:col>
      <xdr:colOff>5715</xdr:colOff>
      <xdr:row>34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68D6-4D91-4B21-8A0B-CF856BE2A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19</xdr:row>
      <xdr:rowOff>97155</xdr:rowOff>
    </xdr:from>
    <xdr:to>
      <xdr:col>14</xdr:col>
      <xdr:colOff>272415</xdr:colOff>
      <xdr:row>34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B44AC-3A91-47BF-B8E6-7B34A63E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283845</xdr:colOff>
      <xdr:row>36</xdr:row>
      <xdr:rowOff>146685</xdr:rowOff>
    </xdr:from>
    <xdr:to>
      <xdr:col>6</xdr:col>
      <xdr:colOff>607695</xdr:colOff>
      <xdr:row>51</xdr:row>
      <xdr:rowOff>146685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D4C79-C10B-4D60-B617-883DFDF72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3528-C7C7-4D78-BD56-A9E627516971}">
  <dimension ref="A1:BR27"/>
  <sheetViews>
    <sheetView workbookViewId="0">
      <selection activeCell="AB1" sqref="AB1:AB1048576"/>
    </sheetView>
  </sheetViews>
  <sheetFormatPr defaultColWidth="8.89453125" defaultRowHeight="14.4" x14ac:dyDescent="0.55000000000000004"/>
  <cols>
    <col min="1" max="1" width="15.68359375" bestFit="1" customWidth="1"/>
    <col min="2" max="2" width="13.1015625" style="4" bestFit="1" customWidth="1"/>
    <col min="3" max="3" width="6.3125" style="4" bestFit="1" customWidth="1"/>
    <col min="4" max="4" width="8" style="4" bestFit="1" customWidth="1"/>
    <col min="5" max="5" width="7.5234375" style="4" bestFit="1" customWidth="1"/>
    <col min="6" max="6" width="8.41796875" style="4" bestFit="1" customWidth="1"/>
    <col min="7" max="7" width="8.89453125" style="4"/>
    <col min="8" max="8" width="7.1015625" style="4" bestFit="1" customWidth="1"/>
    <col min="9" max="9" width="8.89453125" style="4"/>
    <col min="10" max="10" width="9.68359375" style="4" bestFit="1" customWidth="1"/>
    <col min="20" max="20" width="9.1015625" bestFit="1" customWidth="1"/>
    <col min="21" max="21" width="10.15625" bestFit="1" customWidth="1"/>
    <col min="35" max="36" width="8.89453125" style="13"/>
    <col min="41" max="41" width="8.05078125" style="15" bestFit="1" customWidth="1"/>
    <col min="42" max="42" width="9.41796875" bestFit="1" customWidth="1"/>
    <col min="43" max="43" width="8.89453125" style="15"/>
    <col min="44" max="48" width="9.41796875" customWidth="1"/>
    <col min="49" max="49" width="11.20703125" bestFit="1" customWidth="1"/>
    <col min="50" max="53" width="9.41796875" customWidth="1"/>
    <col min="54" max="54" width="9.41796875" style="24" customWidth="1"/>
    <col min="55" max="55" width="9.05078125" style="15" bestFit="1" customWidth="1"/>
    <col min="56" max="56" width="9.41796875" style="15" customWidth="1"/>
    <col min="57" max="60" width="9.41796875" customWidth="1"/>
    <col min="63" max="63" width="11.9453125" bestFit="1" customWidth="1"/>
    <col min="64" max="64" width="9.26171875" bestFit="1" customWidth="1"/>
  </cols>
  <sheetData>
    <row r="1" spans="1:70" s="10" customFormat="1" x14ac:dyDescent="0.55000000000000004">
      <c r="B1" s="16" t="s">
        <v>0</v>
      </c>
      <c r="C1" s="16" t="s">
        <v>1</v>
      </c>
      <c r="D1" s="16" t="s">
        <v>2</v>
      </c>
      <c r="E1" s="16" t="s">
        <v>3</v>
      </c>
      <c r="F1" s="16" t="s">
        <v>6</v>
      </c>
      <c r="G1" s="16" t="s">
        <v>5</v>
      </c>
      <c r="H1" s="16" t="s">
        <v>4</v>
      </c>
      <c r="I1" s="16" t="s">
        <v>7</v>
      </c>
      <c r="J1" s="16" t="s">
        <v>8</v>
      </c>
      <c r="K1" s="16" t="s">
        <v>76</v>
      </c>
      <c r="L1" s="16" t="s">
        <v>77</v>
      </c>
      <c r="M1" s="16" t="s">
        <v>78</v>
      </c>
      <c r="N1" s="16" t="s">
        <v>80</v>
      </c>
      <c r="O1" s="16" t="s">
        <v>81</v>
      </c>
      <c r="P1" s="16" t="s">
        <v>83</v>
      </c>
      <c r="Q1" s="16" t="s">
        <v>84</v>
      </c>
      <c r="R1" s="16" t="s">
        <v>87</v>
      </c>
      <c r="S1" s="16" t="s">
        <v>88</v>
      </c>
      <c r="T1" s="16" t="s">
        <v>89</v>
      </c>
      <c r="U1" s="16" t="s">
        <v>90</v>
      </c>
      <c r="V1" s="16" t="s">
        <v>91</v>
      </c>
      <c r="W1" s="16" t="s">
        <v>98</v>
      </c>
      <c r="X1" s="16" t="s">
        <v>99</v>
      </c>
      <c r="Y1" s="16" t="s">
        <v>100</v>
      </c>
      <c r="Z1" s="16" t="s">
        <v>101</v>
      </c>
      <c r="AA1" s="16" t="s">
        <v>102</v>
      </c>
      <c r="AB1" s="16" t="s">
        <v>138</v>
      </c>
      <c r="AC1" s="10" t="s">
        <v>106</v>
      </c>
      <c r="AD1" s="10" t="s">
        <v>107</v>
      </c>
      <c r="AE1" s="10" t="s">
        <v>108</v>
      </c>
      <c r="AF1" s="10" t="s">
        <v>109</v>
      </c>
      <c r="AG1" s="10" t="s">
        <v>110</v>
      </c>
      <c r="AH1" s="10" t="s">
        <v>111</v>
      </c>
      <c r="AI1" s="17" t="s">
        <v>112</v>
      </c>
      <c r="AJ1" s="17" t="s">
        <v>113</v>
      </c>
      <c r="AK1" s="10" t="s">
        <v>116</v>
      </c>
      <c r="AL1" s="10" t="s">
        <v>117</v>
      </c>
      <c r="AM1" s="10" t="s">
        <v>119</v>
      </c>
      <c r="AN1" s="10" t="s">
        <v>120</v>
      </c>
      <c r="AO1" s="18" t="s">
        <v>124</v>
      </c>
      <c r="AP1" s="10" t="s">
        <v>121</v>
      </c>
      <c r="AQ1" s="18" t="s">
        <v>123</v>
      </c>
      <c r="AR1" s="10" t="s">
        <v>122</v>
      </c>
      <c r="AS1" s="18" t="s">
        <v>126</v>
      </c>
      <c r="AT1" s="10" t="s">
        <v>125</v>
      </c>
      <c r="AU1" s="18" t="s">
        <v>127</v>
      </c>
      <c r="AV1" s="18" t="s">
        <v>132</v>
      </c>
      <c r="AW1" s="18" t="s">
        <v>130</v>
      </c>
      <c r="AX1" s="10" t="s">
        <v>128</v>
      </c>
      <c r="AY1" s="18" t="s">
        <v>129</v>
      </c>
      <c r="AZ1" s="10" t="s">
        <v>133</v>
      </c>
      <c r="BA1" s="10" t="s">
        <v>134</v>
      </c>
      <c r="BB1" s="23" t="s">
        <v>135</v>
      </c>
      <c r="BC1" s="18" t="s">
        <v>136</v>
      </c>
      <c r="BD1" s="18" t="s">
        <v>137</v>
      </c>
    </row>
    <row r="2" spans="1:70" s="10" customFormat="1" x14ac:dyDescent="0.55000000000000004">
      <c r="A2" s="21" t="s">
        <v>40</v>
      </c>
      <c r="B2" s="16" t="s">
        <v>9</v>
      </c>
      <c r="C2" s="16" t="s">
        <v>11</v>
      </c>
      <c r="D2" s="16" t="s">
        <v>12</v>
      </c>
      <c r="E2" s="16" t="s">
        <v>10</v>
      </c>
      <c r="F2" s="16" t="s">
        <v>13</v>
      </c>
      <c r="G2" s="16" t="s">
        <v>15</v>
      </c>
      <c r="H2" s="16" t="s">
        <v>14</v>
      </c>
      <c r="I2" s="16" t="s">
        <v>16</v>
      </c>
      <c r="J2" s="16" t="s">
        <v>17</v>
      </c>
      <c r="AI2" s="17"/>
      <c r="AJ2" s="17"/>
      <c r="AO2" s="18"/>
      <c r="AQ2" s="18"/>
      <c r="AS2" s="10">
        <v>8.2100000000000009</v>
      </c>
      <c r="AT2" s="10">
        <v>8.6199999999999992</v>
      </c>
      <c r="AW2" s="10" t="s">
        <v>131</v>
      </c>
      <c r="AX2" s="10">
        <v>12</v>
      </c>
      <c r="BB2" s="23"/>
      <c r="BC2" s="18"/>
      <c r="BD2" s="18"/>
    </row>
    <row r="3" spans="1:70" s="10" customFormat="1" x14ac:dyDescent="0.55000000000000004">
      <c r="A3" s="22" t="s">
        <v>41</v>
      </c>
      <c r="B3" s="19" t="s">
        <v>18</v>
      </c>
      <c r="C3" s="19" t="s">
        <v>18</v>
      </c>
      <c r="D3" s="19" t="s">
        <v>18</v>
      </c>
      <c r="E3" s="19" t="s">
        <v>18</v>
      </c>
      <c r="F3" s="19" t="s">
        <v>18</v>
      </c>
      <c r="G3" s="19" t="s">
        <v>18</v>
      </c>
      <c r="H3" s="19" t="s">
        <v>18</v>
      </c>
      <c r="I3" s="19" t="s">
        <v>19</v>
      </c>
      <c r="J3" s="19" t="s">
        <v>19</v>
      </c>
      <c r="K3" s="20" t="s">
        <v>18</v>
      </c>
      <c r="L3" s="20" t="s">
        <v>18</v>
      </c>
      <c r="M3" s="20" t="s">
        <v>79</v>
      </c>
      <c r="N3" s="20" t="s">
        <v>79</v>
      </c>
      <c r="O3" s="20" t="s">
        <v>82</v>
      </c>
      <c r="P3" s="20" t="s">
        <v>82</v>
      </c>
      <c r="Q3" s="20" t="s">
        <v>86</v>
      </c>
      <c r="R3" s="20" t="s">
        <v>86</v>
      </c>
      <c r="S3" s="20" t="s">
        <v>86</v>
      </c>
      <c r="T3" s="20" t="s">
        <v>103</v>
      </c>
      <c r="U3" s="20" t="s">
        <v>103</v>
      </c>
      <c r="V3" s="20" t="s">
        <v>103</v>
      </c>
      <c r="W3" s="20" t="s">
        <v>104</v>
      </c>
      <c r="X3" s="20" t="s">
        <v>104</v>
      </c>
      <c r="Y3" s="20" t="s">
        <v>105</v>
      </c>
      <c r="Z3" s="20" t="s">
        <v>105</v>
      </c>
      <c r="AA3" s="20" t="s">
        <v>105</v>
      </c>
      <c r="AB3" s="20" t="s">
        <v>105</v>
      </c>
      <c r="AC3" s="20" t="s">
        <v>114</v>
      </c>
      <c r="AD3" s="20" t="s">
        <v>114</v>
      </c>
      <c r="AE3" s="20" t="s">
        <v>24</v>
      </c>
      <c r="AF3" s="20" t="s">
        <v>24</v>
      </c>
      <c r="AG3" s="20" t="s">
        <v>115</v>
      </c>
      <c r="AH3" s="20" t="s">
        <v>115</v>
      </c>
      <c r="AI3" s="17"/>
      <c r="AJ3" s="17"/>
      <c r="AK3" s="20" t="s">
        <v>118</v>
      </c>
      <c r="AL3" s="20" t="s">
        <v>118</v>
      </c>
      <c r="AO3" s="18" t="s">
        <v>24</v>
      </c>
      <c r="AP3" s="10" t="s">
        <v>24</v>
      </c>
      <c r="AQ3" s="18" t="s">
        <v>24</v>
      </c>
      <c r="AR3" s="10" t="s">
        <v>24</v>
      </c>
      <c r="AS3" s="18" t="s">
        <v>48</v>
      </c>
      <c r="AT3" s="10" t="s">
        <v>48</v>
      </c>
      <c r="AU3" s="18" t="s">
        <v>105</v>
      </c>
      <c r="AV3" s="18"/>
      <c r="AW3" s="18"/>
      <c r="AX3" s="10" t="s">
        <v>48</v>
      </c>
      <c r="AY3" s="18" t="s">
        <v>105</v>
      </c>
      <c r="BB3" s="23"/>
      <c r="BC3" s="18"/>
      <c r="BD3" s="18"/>
      <c r="BJ3" s="10" t="s">
        <v>65</v>
      </c>
      <c r="BK3" s="10" t="s">
        <v>66</v>
      </c>
      <c r="BL3" s="10" t="s">
        <v>67</v>
      </c>
      <c r="BM3" s="10" t="s">
        <v>68</v>
      </c>
      <c r="BN3" s="10" t="s">
        <v>69</v>
      </c>
    </row>
    <row r="4" spans="1:70" x14ac:dyDescent="0.55000000000000004">
      <c r="A4" t="s">
        <v>42</v>
      </c>
      <c r="B4" s="2">
        <v>44.9</v>
      </c>
      <c r="C4" s="2">
        <v>41</v>
      </c>
      <c r="D4" s="2">
        <v>39.700000000000003</v>
      </c>
      <c r="E4" s="2">
        <v>38.6</v>
      </c>
      <c r="F4" s="2">
        <v>31.4</v>
      </c>
      <c r="G4" s="2">
        <v>29.9</v>
      </c>
      <c r="H4" s="2">
        <v>29.5</v>
      </c>
      <c r="I4" s="3">
        <v>1.4</v>
      </c>
      <c r="J4" s="3">
        <v>2.2000000000000002</v>
      </c>
      <c r="K4">
        <f>AVERAGE(C4,E4)</f>
        <v>39.799999999999997</v>
      </c>
      <c r="L4">
        <f>AVERAGE(H4,F4)</f>
        <v>30.45</v>
      </c>
      <c r="M4">
        <f>$BL$6*K4^2+$BM$6*K4+$BN$6</f>
        <v>991.49983552000003</v>
      </c>
      <c r="N4">
        <f>$BL$6*L4^2+$BM$6*L4+$BN$6</f>
        <v>994.70308007000006</v>
      </c>
      <c r="O4">
        <f>M4*I4/1000/60</f>
        <v>2.3134996162133332E-2</v>
      </c>
      <c r="P4">
        <f>N4*J4/1000/60</f>
        <v>3.6472446269233336E-2</v>
      </c>
      <c r="Q4">
        <f>O4*$BM$15*(C4-E4)</f>
        <v>225.81607053935087</v>
      </c>
      <c r="R4">
        <f t="shared" ref="R4:R14" si="0">P4*$BM$15*(F4-H4)</f>
        <v>281.83353405624649</v>
      </c>
      <c r="S4">
        <f>ABS(Q4-R4)</f>
        <v>56.017463516895617</v>
      </c>
      <c r="T4">
        <f>(C4-F4)</f>
        <v>9.6000000000000014</v>
      </c>
      <c r="U4">
        <f>(E4-H4)</f>
        <v>9.1000000000000014</v>
      </c>
      <c r="V4">
        <f>(T4-U4)/(LN((T4)/(U4)))</f>
        <v>9.3477714110595471</v>
      </c>
      <c r="W4">
        <f>Q4/V4</f>
        <v>24.157209307898039</v>
      </c>
      <c r="X4">
        <f>R4/V4</f>
        <v>30.149810223515228</v>
      </c>
      <c r="Y4">
        <f>W4/Parameters!$B$25</f>
        <v>480.59240908218959</v>
      </c>
      <c r="Z4">
        <f>X4/Parameters!$B$26</f>
        <v>533.16570337277903</v>
      </c>
      <c r="AA4">
        <f>AVERAGE(Y4,Z4)</f>
        <v>506.87905622748428</v>
      </c>
      <c r="AB4">
        <f>Q4/(V4*AVERAGE(Parameters!$B$25,Parameters!$B$26))</f>
        <v>452.32226737147261</v>
      </c>
      <c r="AC4">
        <f>I4/60000*1/Parameters!$B$9</f>
        <v>0.11605047933784035</v>
      </c>
      <c r="AD4">
        <f>J4/60000*1/Parameters!$B$10</f>
        <v>0.13262911924324616</v>
      </c>
      <c r="AE4">
        <f>Parameters!$B$18</f>
        <v>1.6E-2</v>
      </c>
      <c r="AF4">
        <f>Parameters!$B$22</f>
        <v>8.0000000000000002E-3</v>
      </c>
      <c r="AG4" s="1">
        <f>$BL$7*K4^2+$BM$7*K4+$BN$7</f>
        <v>6.3979146799999988E-4</v>
      </c>
      <c r="AH4" s="1">
        <f>$BL$7*L4^2+$BM$7*L4+$BN$7</f>
        <v>7.7021765674999999E-4</v>
      </c>
      <c r="AI4" s="13">
        <f>M4*AC4*AE4/AG4</f>
        <v>2877.5383713115948</v>
      </c>
      <c r="AJ4" s="13">
        <f>N4*AD4*AF4/AH4</f>
        <v>1370.2785674886129</v>
      </c>
      <c r="AK4" s="1">
        <f>$BL$9*K4^2+$BM$9*K4+$BN$9</f>
        <v>0.63222002715999992</v>
      </c>
      <c r="AL4" s="1">
        <f>$BL$9*L4^2+$BM$9*L4+$BN$9</f>
        <v>0.6200126694975</v>
      </c>
      <c r="AM4" s="15">
        <f>AG4*$BM$15/AK4</f>
        <v>4.1157062234244703</v>
      </c>
      <c r="AN4" s="15">
        <f>AH4*$BM$15/AL4</f>
        <v>5.0522761293588063</v>
      </c>
      <c r="AO4" s="15">
        <f>50*AE4</f>
        <v>0.8</v>
      </c>
      <c r="AP4" s="15">
        <f>10*AE4</f>
        <v>0.16</v>
      </c>
      <c r="AQ4" s="15">
        <f t="shared" ref="AQ4:AQ25" si="1">0.05*AF4*AJ4</f>
        <v>0.54811142699544524</v>
      </c>
      <c r="AR4" s="15">
        <f t="shared" ref="AR4:AR25" si="2">AQ4*AN4</f>
        <v>2.7692102788378801</v>
      </c>
      <c r="AS4" s="15">
        <f>(0.79*LN(AI4)-1.64)^(-2)</f>
        <v>4.6206268182647163E-2</v>
      </c>
      <c r="AT4" s="15">
        <f>((AS4/8)*(AI4-1000)*AM4)/(1+12.7*(AS4/8)^(1/2)*(AM4^(2/3)-1))</f>
        <v>17.756096645936577</v>
      </c>
      <c r="AU4" s="15">
        <f>AT4*AK4/AE4</f>
        <v>701.60999398435035</v>
      </c>
      <c r="AV4" s="15">
        <f>AJ4*AN4*AF4/1</f>
        <v>55.384205576757594</v>
      </c>
      <c r="AW4" s="15">
        <f>1.953*(AV4)^(1/3)</f>
        <v>7.4444203362259289</v>
      </c>
      <c r="AX4" s="15">
        <f>AW4*(0.86*(Parameters!$B$14/Parameters!$B$17)^(0.16))</f>
        <v>6.7901829056912772</v>
      </c>
      <c r="AY4" s="15">
        <f>AX4*AL4/AF4</f>
        <v>526.24992871674249</v>
      </c>
      <c r="AZ4" s="15">
        <f>1/(AU4*Parameters!$B$25)</f>
        <v>2.8355308586055672E-2</v>
      </c>
      <c r="BA4" s="15">
        <f>1/(AY4*Parameters!$B$26)</f>
        <v>3.3603581873898204E-2</v>
      </c>
      <c r="BB4" s="24">
        <f>LN(Parameters!$B$17/Parameters!$B$18)/(2*PI()*Parameters!$B$6*1)</f>
        <v>1.2497168224721593E-3</v>
      </c>
      <c r="BC4" s="15">
        <f>(AZ4+BA4+BB4)^(-1)</f>
        <v>15.82063017987158</v>
      </c>
      <c r="BD4" s="15">
        <f>BC4/(AVERAGE(Parameters!$B$25, Parameters!$B$26))</f>
        <v>296.22723481828041</v>
      </c>
      <c r="BE4" s="15"/>
      <c r="BF4" s="15"/>
      <c r="BG4" s="15"/>
      <c r="BH4" s="15"/>
    </row>
    <row r="5" spans="1:70" x14ac:dyDescent="0.55000000000000004">
      <c r="A5" t="s">
        <v>42</v>
      </c>
      <c r="B5" s="2">
        <v>49.8</v>
      </c>
      <c r="C5" s="2">
        <v>45.4</v>
      </c>
      <c r="D5" s="2">
        <v>43.3</v>
      </c>
      <c r="E5" s="2">
        <v>41.8</v>
      </c>
      <c r="F5" s="2">
        <v>32.1</v>
      </c>
      <c r="G5" s="2">
        <v>30.2</v>
      </c>
      <c r="H5" s="2">
        <v>29.5</v>
      </c>
      <c r="I5" s="3">
        <v>1.4</v>
      </c>
      <c r="J5" s="3">
        <v>2.2000000000000002</v>
      </c>
      <c r="K5">
        <f t="shared" ref="K5:K25" si="3">AVERAGE(C5,E5)</f>
        <v>43.599999999999994</v>
      </c>
      <c r="L5">
        <f t="shared" ref="L5:L25" si="4">AVERAGE(H5,F5)</f>
        <v>30.8</v>
      </c>
      <c r="M5">
        <f t="shared" ref="M5:M25" si="5">$BL$6*K5^2+$BM$6*K5+$BN$6</f>
        <v>990.02748448</v>
      </c>
      <c r="N5">
        <f t="shared" ref="N5:N25" si="6">$BL$6*L5^2+$BM$6*L5+$BN$6</f>
        <v>994.59392032000005</v>
      </c>
      <c r="O5">
        <f t="shared" ref="O5:O25" si="7">M5*I5/1000/60</f>
        <v>2.3100641304533334E-2</v>
      </c>
      <c r="P5">
        <f t="shared" ref="P5:P25" si="8">N5*J5/1000/60</f>
        <v>3.6468443745066671E-2</v>
      </c>
      <c r="Q5">
        <f t="shared" ref="Q5:Q25" si="9">O5*$BM$15*(C5-E5)</f>
        <v>338.22110946793356</v>
      </c>
      <c r="R5">
        <f t="shared" si="0"/>
        <v>385.62461784908419</v>
      </c>
      <c r="S5">
        <f t="shared" ref="S5:S25" si="10">ABS(Q5-R5)</f>
        <v>47.40350838115063</v>
      </c>
      <c r="T5">
        <f t="shared" ref="T5:T14" si="11">(C5-F5)</f>
        <v>13.299999999999997</v>
      </c>
      <c r="U5">
        <f t="shared" ref="U5:U14" si="12">(E5-H5)</f>
        <v>12.299999999999997</v>
      </c>
      <c r="V5">
        <f t="shared" ref="V5:V25" si="13">(T5-U5)/(LN((T5)/(U5)))</f>
        <v>12.793486932118572</v>
      </c>
      <c r="W5">
        <f t="shared" ref="W5:W25" si="14">Q5/V5</f>
        <v>26.436976194411521</v>
      </c>
      <c r="X5">
        <f t="shared" ref="X5:X25" si="15">R5/V5</f>
        <v>30.142260659285768</v>
      </c>
      <c r="Y5">
        <f>W5/Parameters!$B$25</f>
        <v>525.94693021791966</v>
      </c>
      <c r="Z5">
        <f>X5/Parameters!$B$26</f>
        <v>533.03219776552248</v>
      </c>
      <c r="AA5">
        <f t="shared" ref="AA5:AA25" si="16">AVERAGE(Y5,Z5)</f>
        <v>529.48956399172107</v>
      </c>
      <c r="AB5">
        <f>Q5/(V5*AVERAGE(Parameters!$B$25,Parameters!$B$26))</f>
        <v>495.00887549921856</v>
      </c>
      <c r="AC5">
        <f>I5/60000*1/Parameters!$B$9</f>
        <v>0.11605047933784035</v>
      </c>
      <c r="AD5">
        <f>J5/60000*1/Parameters!$B$10</f>
        <v>0.13262911924324616</v>
      </c>
      <c r="AE5">
        <f>Parameters!$B$18</f>
        <v>1.6E-2</v>
      </c>
      <c r="AF5">
        <f>Parameters!$B$22</f>
        <v>8.0000000000000002E-3</v>
      </c>
      <c r="AG5" s="1">
        <f t="shared" ref="AG5:AG25" si="17">$BL$7*K5^2+$BM$7*K5+$BN$7</f>
        <v>5.9511403199999998E-4</v>
      </c>
      <c r="AH5" s="1">
        <f t="shared" ref="AH5:AH25" si="18">$BL$7*L5^2+$BM$7*L5+$BN$7</f>
        <v>7.6481028799999992E-4</v>
      </c>
      <c r="AI5" s="13">
        <f t="shared" ref="AI5:AI25" si="19">M5*AC5*AE5/AG5</f>
        <v>3088.972074690796</v>
      </c>
      <c r="AJ5" s="13">
        <f t="shared" ref="AJ5:AJ25" si="20">N5*AD5*AF5/AH5</f>
        <v>1379.8152846681267</v>
      </c>
      <c r="AK5" s="1">
        <f t="shared" ref="AK5:AK25" si="21">$BL$9*K5^2+$BM$9*K5+$BN$9</f>
        <v>0.63679548783999995</v>
      </c>
      <c r="AL5" s="1">
        <f t="shared" ref="AL5:AL25" si="22">$BL$9*L5^2+$BM$9*L5+$BN$9</f>
        <v>0.62049395056000001</v>
      </c>
      <c r="AM5" s="15">
        <f t="shared" ref="AM5:AM25" si="23">AG5*$BM$15/AK5</f>
        <v>3.8007944691218154</v>
      </c>
      <c r="AN5" s="15">
        <f t="shared" ref="AN5:AN25" si="24">AH5*$BM$15/AL5</f>
        <v>5.0129150147052473</v>
      </c>
      <c r="AO5" s="15">
        <f t="shared" ref="AO5:AO25" si="25">50*AE5</f>
        <v>0.8</v>
      </c>
      <c r="AP5" s="15">
        <f t="shared" ref="AP5:AP25" si="26">10*AE5</f>
        <v>0.16</v>
      </c>
      <c r="AQ5" s="15">
        <f t="shared" si="1"/>
        <v>0.55192611386725066</v>
      </c>
      <c r="AR5" s="15">
        <f t="shared" si="2"/>
        <v>2.7667587032130587</v>
      </c>
      <c r="AS5" s="15">
        <f t="shared" ref="AS5:AS25" si="27">(0.79*LN(AI5)-1.64)^(-2)</f>
        <v>4.5113356456734033E-2</v>
      </c>
      <c r="AT5" s="15">
        <f t="shared" ref="AT5:AT25" si="28">((AS5/8)*(AI5-1000)*AM5)/(1+12.7*(AS5/8)^(1/2)*(AM5^(2/3)-1))</f>
        <v>18.899740325017014</v>
      </c>
      <c r="AU5" s="15">
        <f t="shared" ref="AU5:AU25" si="29">AT5*AK5/AE5</f>
        <v>752.20433501990806</v>
      </c>
      <c r="AV5" s="15">
        <f t="shared" ref="AV5:AV25" si="30">AJ5*AN5*AF5/1</f>
        <v>55.335174064261174</v>
      </c>
      <c r="AW5" s="15">
        <f t="shared" ref="AW5:AW14" si="31">1.953*(AV5)^(1/3)</f>
        <v>7.4422228447661727</v>
      </c>
      <c r="AX5" s="15">
        <f>AW5*(0.86*(Parameters!$B$14/Parameters!$B$17)^(0.16))</f>
        <v>6.7881785362076217</v>
      </c>
      <c r="AY5" s="15">
        <f t="shared" ref="AY5:AY25" si="32">AX5*AL5/AF5</f>
        <v>526.50296462975825</v>
      </c>
      <c r="AZ5" s="15">
        <f>1/(AU5*Parameters!$B$25)</f>
        <v>2.6448089914239043E-2</v>
      </c>
      <c r="BA5" s="15">
        <f>1/(AY5*Parameters!$B$26)</f>
        <v>3.3587432082555546E-2</v>
      </c>
      <c r="BB5" s="24">
        <f>LN(Parameters!$B$17/Parameters!$B$18)/(2*PI()*Parameters!$B$6*1)</f>
        <v>1.2497168224721593E-3</v>
      </c>
      <c r="BC5" s="15">
        <f t="shared" ref="BC5:BC25" si="33">(AZ5+BA5+BB5)^(-1)</f>
        <v>16.317142908572983</v>
      </c>
      <c r="BD5" s="15">
        <f>BC5/(AVERAGE(Parameters!$B$25, Parameters!$B$26))</f>
        <v>305.52399423955961</v>
      </c>
      <c r="BE5" s="15"/>
      <c r="BF5" s="15"/>
      <c r="BG5" s="15"/>
      <c r="BH5" s="15"/>
      <c r="BK5" t="s">
        <v>72</v>
      </c>
      <c r="BL5" t="s">
        <v>70</v>
      </c>
      <c r="BM5" t="s">
        <v>71</v>
      </c>
      <c r="BN5" t="s">
        <v>69</v>
      </c>
    </row>
    <row r="6" spans="1:70" x14ac:dyDescent="0.55000000000000004">
      <c r="A6" t="s">
        <v>42</v>
      </c>
      <c r="B6" s="2">
        <v>54.6</v>
      </c>
      <c r="C6" s="2">
        <v>49.4</v>
      </c>
      <c r="D6" s="2">
        <v>46.8</v>
      </c>
      <c r="E6" s="2">
        <v>44.8</v>
      </c>
      <c r="F6" s="2">
        <v>32.799999999999997</v>
      </c>
      <c r="G6" s="2">
        <v>30.5</v>
      </c>
      <c r="H6" s="2">
        <v>29.5</v>
      </c>
      <c r="I6" s="3">
        <v>1.4</v>
      </c>
      <c r="J6" s="3">
        <v>2.2000000000000002</v>
      </c>
      <c r="K6">
        <f t="shared" si="3"/>
        <v>47.099999999999994</v>
      </c>
      <c r="L6">
        <f t="shared" si="4"/>
        <v>31.15</v>
      </c>
      <c r="M6">
        <f t="shared" si="5"/>
        <v>988.58419507999997</v>
      </c>
      <c r="N6">
        <f t="shared" si="6"/>
        <v>994.48392463000005</v>
      </c>
      <c r="O6">
        <f t="shared" si="7"/>
        <v>2.3066964551866666E-2</v>
      </c>
      <c r="P6">
        <f t="shared" si="8"/>
        <v>3.6464410569766674E-2</v>
      </c>
      <c r="Q6">
        <f t="shared" si="9"/>
        <v>431.5413862292321</v>
      </c>
      <c r="R6">
        <f t="shared" si="0"/>
        <v>489.39250069789506</v>
      </c>
      <c r="S6">
        <f t="shared" si="10"/>
        <v>57.851114468662956</v>
      </c>
      <c r="T6">
        <f t="shared" si="11"/>
        <v>16.600000000000001</v>
      </c>
      <c r="U6">
        <f t="shared" si="12"/>
        <v>15.299999999999997</v>
      </c>
      <c r="V6">
        <f t="shared" si="13"/>
        <v>15.941166410144639</v>
      </c>
      <c r="W6">
        <f t="shared" si="14"/>
        <v>27.070878951154278</v>
      </c>
      <c r="X6">
        <f t="shared" si="15"/>
        <v>30.699917942419539</v>
      </c>
      <c r="Y6">
        <f>W6/Parameters!$B$25</f>
        <v>538.55802486481832</v>
      </c>
      <c r="Z6">
        <f>X6/Parameters!$B$26</f>
        <v>542.8937436724043</v>
      </c>
      <c r="AA6">
        <f t="shared" si="16"/>
        <v>540.72588426861125</v>
      </c>
      <c r="AB6">
        <f>Q6/(V6*AVERAGE(Parameters!$B$25,Parameters!$B$26))</f>
        <v>506.87814104924081</v>
      </c>
      <c r="AC6">
        <f>I6/60000*1/Parameters!$B$9</f>
        <v>0.11605047933784035</v>
      </c>
      <c r="AD6">
        <f>J6/60000*1/Parameters!$B$10</f>
        <v>0.13262911924324616</v>
      </c>
      <c r="AE6">
        <f>Parameters!$B$18</f>
        <v>1.6E-2</v>
      </c>
      <c r="AF6">
        <f>Parameters!$B$22</f>
        <v>8.0000000000000002E-3</v>
      </c>
      <c r="AG6" s="1">
        <f t="shared" si="17"/>
        <v>5.5822294699999994E-4</v>
      </c>
      <c r="AH6" s="1">
        <f t="shared" si="18"/>
        <v>7.5944376074999994E-4</v>
      </c>
      <c r="AI6" s="13">
        <f t="shared" si="19"/>
        <v>3288.3111042684413</v>
      </c>
      <c r="AJ6" s="13">
        <f t="shared" si="20"/>
        <v>1389.411923221136</v>
      </c>
      <c r="AK6" s="1">
        <f t="shared" si="21"/>
        <v>0.64081245638999995</v>
      </c>
      <c r="AL6" s="1">
        <f t="shared" si="22"/>
        <v>0.62097333997749993</v>
      </c>
      <c r="AM6" s="15">
        <f t="shared" si="23"/>
        <v>3.5428348853245364</v>
      </c>
      <c r="AN6" s="15">
        <f t="shared" si="24"/>
        <v>4.9738975510320023</v>
      </c>
      <c r="AO6" s="15">
        <f t="shared" si="25"/>
        <v>0.8</v>
      </c>
      <c r="AP6" s="15">
        <f t="shared" si="26"/>
        <v>0.16</v>
      </c>
      <c r="AQ6" s="15">
        <f t="shared" si="1"/>
        <v>0.55576476928845442</v>
      </c>
      <c r="AR6" s="15">
        <f t="shared" si="2"/>
        <v>2.764317024913709</v>
      </c>
      <c r="AS6" s="15">
        <f t="shared" si="27"/>
        <v>4.4181285970698668E-2</v>
      </c>
      <c r="AT6" s="15">
        <f t="shared" si="28"/>
        <v>19.902792655740217</v>
      </c>
      <c r="AU6" s="15">
        <f t="shared" si="29"/>
        <v>797.12234067160864</v>
      </c>
      <c r="AV6" s="15">
        <f t="shared" si="30"/>
        <v>55.286340498274186</v>
      </c>
      <c r="AW6" s="15">
        <f t="shared" si="31"/>
        <v>7.4400329342276539</v>
      </c>
      <c r="AX6" s="15">
        <f>AW6*(0.86*(Parameters!$B$14/Parameters!$B$17)^(0.16))</f>
        <v>6.7861810814116739</v>
      </c>
      <c r="AY6" s="15">
        <f t="shared" si="32"/>
        <v>526.75469147704121</v>
      </c>
      <c r="AZ6" s="15">
        <f>1/(AU6*Parameters!$B$25)</f>
        <v>2.4957734680632695E-2</v>
      </c>
      <c r="BA6" s="15">
        <f>1/(AY6*Parameters!$B$26)</f>
        <v>3.3571381236643258E-2</v>
      </c>
      <c r="BB6" s="24">
        <f>LN(Parameters!$B$17/Parameters!$B$18)/(2*PI()*Parameters!$B$6*1)</f>
        <v>1.2497168224721593E-3</v>
      </c>
      <c r="BC6" s="15">
        <f t="shared" si="33"/>
        <v>16.728329312711395</v>
      </c>
      <c r="BD6" s="15">
        <f>BC6/(AVERAGE(Parameters!$B$25, Parameters!$B$26))</f>
        <v>313.22309409259611</v>
      </c>
      <c r="BE6" s="15"/>
      <c r="BF6" s="15"/>
      <c r="BG6" s="15"/>
      <c r="BH6" s="15"/>
      <c r="BK6" s="11" t="s">
        <v>74</v>
      </c>
      <c r="BL6">
        <v>-3.4120000000000001E-3</v>
      </c>
      <c r="BM6">
        <v>-0.10290000000000001</v>
      </c>
      <c r="BN6">
        <v>1001</v>
      </c>
    </row>
    <row r="7" spans="1:70" x14ac:dyDescent="0.55000000000000004">
      <c r="A7" t="s">
        <v>42</v>
      </c>
      <c r="B7" s="2">
        <v>59.7</v>
      </c>
      <c r="C7" s="2">
        <v>54.1</v>
      </c>
      <c r="D7" s="2">
        <v>50.6</v>
      </c>
      <c r="E7" s="2">
        <v>48.2</v>
      </c>
      <c r="F7" s="2">
        <v>33.700000000000003</v>
      </c>
      <c r="G7" s="2">
        <v>31</v>
      </c>
      <c r="H7" s="2">
        <v>29.5</v>
      </c>
      <c r="I7" s="3">
        <v>1.4</v>
      </c>
      <c r="J7" s="3">
        <v>2.2000000000000002</v>
      </c>
      <c r="K7">
        <f t="shared" si="3"/>
        <v>51.150000000000006</v>
      </c>
      <c r="L7">
        <f t="shared" si="4"/>
        <v>31.6</v>
      </c>
      <c r="M7">
        <f t="shared" si="5"/>
        <v>986.80977263</v>
      </c>
      <c r="N7">
        <f t="shared" si="6"/>
        <v>994.34127328</v>
      </c>
      <c r="O7">
        <f t="shared" si="7"/>
        <v>2.3025561361366666E-2</v>
      </c>
      <c r="P7">
        <f t="shared" si="8"/>
        <v>3.6459180020266671E-2</v>
      </c>
      <c r="Q7">
        <f t="shared" si="9"/>
        <v>552.50525253440151</v>
      </c>
      <c r="R7">
        <f t="shared" si="0"/>
        <v>622.7738375981836</v>
      </c>
      <c r="S7">
        <f t="shared" si="10"/>
        <v>70.268585063782098</v>
      </c>
      <c r="T7">
        <f t="shared" si="11"/>
        <v>20.399999999999999</v>
      </c>
      <c r="U7">
        <f t="shared" si="12"/>
        <v>18.700000000000003</v>
      </c>
      <c r="V7">
        <f t="shared" si="13"/>
        <v>19.537674943388282</v>
      </c>
      <c r="W7">
        <f t="shared" si="14"/>
        <v>28.278966362953749</v>
      </c>
      <c r="X7">
        <f t="shared" si="15"/>
        <v>31.875534801490577</v>
      </c>
      <c r="Y7">
        <f>W7/Parameters!$B$25</f>
        <v>562.59216027419075</v>
      </c>
      <c r="Z7">
        <f>X7/Parameters!$B$26</f>
        <v>563.68321415055141</v>
      </c>
      <c r="AA7">
        <f t="shared" si="16"/>
        <v>563.13768721237102</v>
      </c>
      <c r="AB7">
        <f>Q7/(V7*AVERAGE(Parameters!$B$25,Parameters!$B$26))</f>
        <v>529.49850378747374</v>
      </c>
      <c r="AC7">
        <f>I7/60000*1/Parameters!$B$9</f>
        <v>0.11605047933784035</v>
      </c>
      <c r="AD7">
        <f>J7/60000*1/Parameters!$B$10</f>
        <v>0.13262911924324616</v>
      </c>
      <c r="AE7">
        <f>Parameters!$B$18</f>
        <v>1.6E-2</v>
      </c>
      <c r="AF7">
        <f>Parameters!$B$22</f>
        <v>8.0000000000000002E-3</v>
      </c>
      <c r="AG7" s="1">
        <f t="shared" si="17"/>
        <v>5.2063196074999987E-4</v>
      </c>
      <c r="AH7" s="1">
        <f t="shared" si="18"/>
        <v>7.526039519999999E-4</v>
      </c>
      <c r="AI7" s="13">
        <f t="shared" si="19"/>
        <v>3519.4073591334518</v>
      </c>
      <c r="AJ7" s="13">
        <f t="shared" si="20"/>
        <v>1401.8380525573891</v>
      </c>
      <c r="AK7" s="1">
        <f t="shared" si="21"/>
        <v>0.64522457397749999</v>
      </c>
      <c r="AL7" s="1">
        <f t="shared" si="22"/>
        <v>0.62158691824000001</v>
      </c>
      <c r="AM7" s="15">
        <f t="shared" si="23"/>
        <v>3.2816638884620146</v>
      </c>
      <c r="AN7" s="15">
        <f t="shared" si="24"/>
        <v>4.9242353449951199</v>
      </c>
      <c r="AO7" s="15">
        <f t="shared" si="25"/>
        <v>0.8</v>
      </c>
      <c r="AP7" s="15">
        <f t="shared" si="26"/>
        <v>0.16</v>
      </c>
      <c r="AQ7" s="15">
        <f t="shared" si="1"/>
        <v>0.5607352210229557</v>
      </c>
      <c r="AR7" s="15">
        <f t="shared" si="2"/>
        <v>2.761192194544889</v>
      </c>
      <c r="AS7" s="15">
        <f t="shared" si="27"/>
        <v>4.3201336273595438E-2</v>
      </c>
      <c r="AT7" s="15">
        <f t="shared" si="28"/>
        <v>20.984125080616106</v>
      </c>
      <c r="AU7" s="15">
        <f t="shared" si="29"/>
        <v>846.21707283944363</v>
      </c>
      <c r="AV7" s="15">
        <f t="shared" si="30"/>
        <v>55.223843890897776</v>
      </c>
      <c r="AW7" s="15">
        <f t="shared" si="31"/>
        <v>7.4372284311686956</v>
      </c>
      <c r="AX7" s="15">
        <f>AW7*(0.86*(Parameters!$B$14/Parameters!$B$17)^(0.16))</f>
        <v>6.783623046283374</v>
      </c>
      <c r="AY7" s="15">
        <f t="shared" si="32"/>
        <v>527.07641798014038</v>
      </c>
      <c r="AZ7" s="15">
        <f>1/(AU7*Parameters!$B$25)</f>
        <v>2.3509768976572705E-2</v>
      </c>
      <c r="BA7" s="15">
        <f>1/(AY7*Parameters!$B$26)</f>
        <v>3.3550889325563528E-2</v>
      </c>
      <c r="BB7" s="24">
        <f>LN(Parameters!$B$17/Parameters!$B$18)/(2*PI()*Parameters!$B$6*1)</f>
        <v>1.2497168224721593E-3</v>
      </c>
      <c r="BC7" s="15">
        <f t="shared" si="33"/>
        <v>17.149606701432038</v>
      </c>
      <c r="BD7" s="15">
        <f>BC7/(AVERAGE(Parameters!$B$25, Parameters!$B$26))</f>
        <v>321.11113866056508</v>
      </c>
      <c r="BE7" s="15"/>
      <c r="BF7" s="15"/>
      <c r="BG7" s="15"/>
      <c r="BH7" s="15"/>
      <c r="BK7" s="11" t="s">
        <v>61</v>
      </c>
      <c r="BL7" s="1">
        <v>1.667E-7</v>
      </c>
      <c r="BM7" s="1">
        <v>-2.5660000000000002E-5</v>
      </c>
      <c r="BN7">
        <v>1.397E-3</v>
      </c>
    </row>
    <row r="8" spans="1:70" x14ac:dyDescent="0.55000000000000004">
      <c r="A8" t="s">
        <v>42</v>
      </c>
      <c r="B8" s="2">
        <v>59.7</v>
      </c>
      <c r="C8" s="2">
        <v>53.8</v>
      </c>
      <c r="D8" s="2">
        <v>49.2</v>
      </c>
      <c r="E8" s="2">
        <v>47.7</v>
      </c>
      <c r="F8" s="2">
        <v>33.200000000000003</v>
      </c>
      <c r="G8" s="2">
        <v>30.6</v>
      </c>
      <c r="H8" s="2">
        <v>29.5</v>
      </c>
      <c r="I8" s="3">
        <v>1</v>
      </c>
      <c r="J8" s="3">
        <v>2.2000000000000002</v>
      </c>
      <c r="K8">
        <f t="shared" si="3"/>
        <v>50.75</v>
      </c>
      <c r="L8">
        <f t="shared" si="4"/>
        <v>31.35</v>
      </c>
      <c r="M8">
        <f t="shared" si="5"/>
        <v>986.99000575000002</v>
      </c>
      <c r="N8">
        <f t="shared" si="6"/>
        <v>994.42069462999996</v>
      </c>
      <c r="O8">
        <f t="shared" si="7"/>
        <v>1.6449833429166668E-2</v>
      </c>
      <c r="P8">
        <f t="shared" si="8"/>
        <v>3.6462092136433338E-2</v>
      </c>
      <c r="Q8">
        <f t="shared" si="9"/>
        <v>408.09898259416673</v>
      </c>
      <c r="R8">
        <f t="shared" si="0"/>
        <v>548.67791625983568</v>
      </c>
      <c r="S8">
        <f t="shared" si="10"/>
        <v>140.57893366566896</v>
      </c>
      <c r="T8">
        <f t="shared" si="11"/>
        <v>20.599999999999994</v>
      </c>
      <c r="U8">
        <f t="shared" si="12"/>
        <v>18.200000000000003</v>
      </c>
      <c r="V8">
        <f t="shared" si="13"/>
        <v>19.375232436709815</v>
      </c>
      <c r="W8">
        <f t="shared" si="14"/>
        <v>21.062920608939422</v>
      </c>
      <c r="X8">
        <f t="shared" si="15"/>
        <v>28.318520464315466</v>
      </c>
      <c r="Y8">
        <f>W8/Parameters!$B$25</f>
        <v>419.03349135810788</v>
      </c>
      <c r="Z8">
        <f>X8/Parameters!$B$26</f>
        <v>500.78139032720026</v>
      </c>
      <c r="AA8">
        <f t="shared" si="16"/>
        <v>459.90744084265407</v>
      </c>
      <c r="AB8">
        <f>Q8/(V8*AVERAGE(Parameters!$B$25,Parameters!$B$26))</f>
        <v>394.38446245468975</v>
      </c>
      <c r="AC8">
        <f>I8/60000*1/Parameters!$B$9</f>
        <v>8.2893199527028838E-2</v>
      </c>
      <c r="AD8">
        <f>J8/60000*1/Parameters!$B$10</f>
        <v>0.13262911924324616</v>
      </c>
      <c r="AE8">
        <f>Parameters!$B$18</f>
        <v>1.6E-2</v>
      </c>
      <c r="AF8">
        <f>Parameters!$B$22</f>
        <v>8.0000000000000002E-3</v>
      </c>
      <c r="AG8" s="1">
        <f t="shared" si="17"/>
        <v>5.2410126875000003E-4</v>
      </c>
      <c r="AH8" s="1">
        <f t="shared" si="18"/>
        <v>7.5639551074999989E-4</v>
      </c>
      <c r="AI8" s="13">
        <f t="shared" si="19"/>
        <v>2497.6778910823605</v>
      </c>
      <c r="AJ8" s="13">
        <f t="shared" si="20"/>
        <v>1394.922513543318</v>
      </c>
      <c r="AK8" s="1">
        <f t="shared" si="21"/>
        <v>0.64480008193749994</v>
      </c>
      <c r="AL8" s="1">
        <f t="shared" si="22"/>
        <v>0.62124642747749992</v>
      </c>
      <c r="AM8" s="15">
        <f t="shared" si="23"/>
        <v>3.3057065588475796</v>
      </c>
      <c r="AN8" s="15">
        <f t="shared" si="24"/>
        <v>4.9517557062035005</v>
      </c>
      <c r="AO8" s="15">
        <f t="shared" si="25"/>
        <v>0.8</v>
      </c>
      <c r="AP8" s="15">
        <f t="shared" si="26"/>
        <v>0.16</v>
      </c>
      <c r="AQ8" s="15">
        <f t="shared" si="1"/>
        <v>0.55796900541732719</v>
      </c>
      <c r="AR8" s="15">
        <f t="shared" si="2"/>
        <v>2.7629262064599418</v>
      </c>
      <c r="AS8" s="15">
        <f t="shared" si="27"/>
        <v>4.8510765495024769E-2</v>
      </c>
      <c r="AT8" s="15">
        <f t="shared" si="28"/>
        <v>13.611224196815911</v>
      </c>
      <c r="AU8" s="15">
        <f t="shared" si="29"/>
        <v>548.53240483603633</v>
      </c>
      <c r="AV8" s="15">
        <f t="shared" si="30"/>
        <v>55.25852412919884</v>
      </c>
      <c r="AW8" s="15">
        <f t="shared" si="31"/>
        <v>7.438784950135898</v>
      </c>
      <c r="AX8" s="15">
        <f>AW8*(0.86*(Parameters!$B$14/Parameters!$B$17)^(0.16))</f>
        <v>6.7850427738116617</v>
      </c>
      <c r="AY8" s="15">
        <f t="shared" si="32"/>
        <v>526.89794793906515</v>
      </c>
      <c r="AZ8" s="15">
        <f>1/(AU8*Parameters!$B$25)</f>
        <v>3.6268354815671484E-2</v>
      </c>
      <c r="BA8" s="15">
        <f>1/(AY8*Parameters!$B$26)</f>
        <v>3.356225362982674E-2</v>
      </c>
      <c r="BB8" s="24">
        <f>LN(Parameters!$B$17/Parameters!$B$18)/(2*PI()*Parameters!$B$6*1)</f>
        <v>1.2497168224721593E-3</v>
      </c>
      <c r="BC8" s="15">
        <f t="shared" si="33"/>
        <v>14.068590657541794</v>
      </c>
      <c r="BD8" s="15">
        <f>BC8/(AVERAGE(Parameters!$B$25, Parameters!$B$26))</f>
        <v>263.42185240991</v>
      </c>
      <c r="BE8" s="15"/>
      <c r="BF8" s="15"/>
      <c r="BG8" s="15"/>
      <c r="BH8" s="15"/>
      <c r="BK8" s="11" t="s">
        <v>63</v>
      </c>
      <c r="BL8" s="25" t="s">
        <v>73</v>
      </c>
      <c r="BM8" s="25"/>
      <c r="BN8" s="25"/>
    </row>
    <row r="9" spans="1:70" x14ac:dyDescent="0.55000000000000004">
      <c r="A9" t="s">
        <v>42</v>
      </c>
      <c r="B9" s="2">
        <v>59.9</v>
      </c>
      <c r="C9" s="2">
        <v>54.1</v>
      </c>
      <c r="D9" s="2">
        <v>50.2</v>
      </c>
      <c r="E9" s="2">
        <v>48.1</v>
      </c>
      <c r="F9" s="2">
        <v>33.5</v>
      </c>
      <c r="G9" s="2">
        <v>30.8</v>
      </c>
      <c r="H9" s="2">
        <v>29.5</v>
      </c>
      <c r="I9" s="3">
        <v>1.2</v>
      </c>
      <c r="J9" s="3">
        <v>2.2000000000000002</v>
      </c>
      <c r="K9">
        <f t="shared" si="3"/>
        <v>51.1</v>
      </c>
      <c r="L9">
        <f t="shared" si="4"/>
        <v>31.5</v>
      </c>
      <c r="M9">
        <f t="shared" si="5"/>
        <v>986.83236148000003</v>
      </c>
      <c r="N9">
        <f t="shared" si="6"/>
        <v>994.37309300000004</v>
      </c>
      <c r="O9">
        <f t="shared" si="7"/>
        <v>1.9736647229599998E-2</v>
      </c>
      <c r="P9">
        <f t="shared" si="8"/>
        <v>3.6460346743333337E-2</v>
      </c>
      <c r="Q9">
        <f t="shared" si="9"/>
        <v>481.61366569669917</v>
      </c>
      <c r="R9">
        <f t="shared" si="0"/>
        <v>593.13692082054672</v>
      </c>
      <c r="S9">
        <f t="shared" si="10"/>
        <v>111.52325512384755</v>
      </c>
      <c r="T9">
        <f t="shared" si="11"/>
        <v>20.6</v>
      </c>
      <c r="U9">
        <f t="shared" si="12"/>
        <v>18.600000000000001</v>
      </c>
      <c r="V9">
        <f t="shared" si="13"/>
        <v>19.582981375794102</v>
      </c>
      <c r="W9">
        <f t="shared" si="14"/>
        <v>24.593480249744118</v>
      </c>
      <c r="X9">
        <f t="shared" si="15"/>
        <v>30.288387117280536</v>
      </c>
      <c r="Y9">
        <f>W9/Parameters!$B$25</f>
        <v>489.27174369745961</v>
      </c>
      <c r="Z9">
        <f>X9/Parameters!$B$26</f>
        <v>535.61628088845339</v>
      </c>
      <c r="AA9">
        <f t="shared" si="16"/>
        <v>512.44401229295647</v>
      </c>
      <c r="AB9">
        <f>Q9/(V9*AVERAGE(Parameters!$B$25,Parameters!$B$26))</f>
        <v>460.49105289172678</v>
      </c>
      <c r="AC9">
        <f>I9/60000*1/Parameters!$B$9</f>
        <v>9.9471839432434581E-2</v>
      </c>
      <c r="AD9">
        <f>J9/60000*1/Parameters!$B$10</f>
        <v>0.13262911924324616</v>
      </c>
      <c r="AE9">
        <f>Parameters!$B$18</f>
        <v>1.6E-2</v>
      </c>
      <c r="AF9">
        <f>Parameters!$B$22</f>
        <v>8.0000000000000002E-3</v>
      </c>
      <c r="AG9" s="1">
        <f t="shared" si="17"/>
        <v>5.2106270699999986E-4</v>
      </c>
      <c r="AH9" s="1">
        <f t="shared" si="18"/>
        <v>7.5411807499999994E-4</v>
      </c>
      <c r="AI9" s="13">
        <f t="shared" si="19"/>
        <v>3014.2101175663324</v>
      </c>
      <c r="AJ9" s="13">
        <f t="shared" si="20"/>
        <v>1399.068203199055</v>
      </c>
      <c r="AK9" s="1">
        <f t="shared" si="21"/>
        <v>0.64517164759000001</v>
      </c>
      <c r="AL9" s="1">
        <f t="shared" si="22"/>
        <v>0.62145083774999998</v>
      </c>
      <c r="AM9" s="15">
        <f t="shared" si="23"/>
        <v>3.2846484145498365</v>
      </c>
      <c r="AN9" s="15">
        <f t="shared" si="24"/>
        <v>4.9352225867604433</v>
      </c>
      <c r="AO9" s="15">
        <f t="shared" si="25"/>
        <v>0.8</v>
      </c>
      <c r="AP9" s="15">
        <f t="shared" si="26"/>
        <v>0.16</v>
      </c>
      <c r="AQ9" s="15">
        <f t="shared" si="1"/>
        <v>0.55962728127962202</v>
      </c>
      <c r="AR9" s="15">
        <f t="shared" si="2"/>
        <v>2.7618851987385304</v>
      </c>
      <c r="AS9" s="15">
        <f t="shared" si="27"/>
        <v>4.5486585483990323E-2</v>
      </c>
      <c r="AT9" s="15">
        <f t="shared" si="28"/>
        <v>17.428172279447747</v>
      </c>
      <c r="AU9" s="15">
        <f t="shared" si="29"/>
        <v>702.76016400085427</v>
      </c>
      <c r="AV9" s="15">
        <f t="shared" si="30"/>
        <v>55.237703974770611</v>
      </c>
      <c r="AW9" s="15">
        <f t="shared" si="31"/>
        <v>7.4378505778119504</v>
      </c>
      <c r="AX9" s="15">
        <f>AW9*(0.86*(Parameters!$B$14/Parameters!$B$17)^(0.16))</f>
        <v>6.7841905168601366</v>
      </c>
      <c r="AY9" s="15">
        <f t="shared" si="32"/>
        <v>527.00511001979214</v>
      </c>
      <c r="AZ9" s="15">
        <f>1/(AU9*Parameters!$B$25)</f>
        <v>2.8308900967333052E-2</v>
      </c>
      <c r="BA9" s="15">
        <f>1/(AY9*Parameters!$B$26)</f>
        <v>3.3555429026299224E-2</v>
      </c>
      <c r="BB9" s="24">
        <f>LN(Parameters!$B$17/Parameters!$B$18)/(2*PI()*Parameters!$B$6*1)</f>
        <v>1.2497168224721593E-3</v>
      </c>
      <c r="BC9" s="15">
        <f t="shared" si="33"/>
        <v>15.844333400355431</v>
      </c>
      <c r="BD9" s="15">
        <f>BC9/(AVERAGE(Parameters!$B$25, Parameters!$B$26))</f>
        <v>296.67105654853947</v>
      </c>
      <c r="BE9" s="15"/>
      <c r="BF9" s="15"/>
      <c r="BG9" s="15"/>
      <c r="BH9" s="15"/>
      <c r="BK9" s="11" t="s">
        <v>60</v>
      </c>
      <c r="BL9" s="1">
        <v>-7.7209999999999994E-6</v>
      </c>
      <c r="BM9">
        <v>1.848E-3</v>
      </c>
      <c r="BN9">
        <v>0.57089999999999996</v>
      </c>
    </row>
    <row r="10" spans="1:70" x14ac:dyDescent="0.55000000000000004">
      <c r="A10" t="s">
        <v>42</v>
      </c>
      <c r="B10" s="2">
        <v>59.4</v>
      </c>
      <c r="C10" s="2">
        <v>54.3</v>
      </c>
      <c r="D10" s="2">
        <v>50.8</v>
      </c>
      <c r="E10" s="2">
        <v>48.3</v>
      </c>
      <c r="F10" s="2">
        <v>33.799999999999997</v>
      </c>
      <c r="G10" s="2">
        <v>30.9</v>
      </c>
      <c r="H10" s="2">
        <v>29.5</v>
      </c>
      <c r="I10" s="3">
        <v>1.4</v>
      </c>
      <c r="J10" s="3">
        <v>2.2000000000000002</v>
      </c>
      <c r="K10">
        <f t="shared" si="3"/>
        <v>51.3</v>
      </c>
      <c r="L10">
        <f t="shared" si="4"/>
        <v>31.65</v>
      </c>
      <c r="M10">
        <f t="shared" si="5"/>
        <v>986.74190371999998</v>
      </c>
      <c r="N10">
        <f t="shared" si="6"/>
        <v>994.32533782999997</v>
      </c>
      <c r="O10">
        <f t="shared" si="7"/>
        <v>2.3023977753466665E-2</v>
      </c>
      <c r="P10">
        <f t="shared" si="8"/>
        <v>3.6458595720433334E-2</v>
      </c>
      <c r="Q10">
        <f t="shared" si="9"/>
        <v>561.83110514009354</v>
      </c>
      <c r="R10">
        <f t="shared" si="0"/>
        <v>637.5915678185097</v>
      </c>
      <c r="S10">
        <f t="shared" si="10"/>
        <v>75.760462678416161</v>
      </c>
      <c r="T10">
        <f t="shared" si="11"/>
        <v>20.5</v>
      </c>
      <c r="U10">
        <f t="shared" si="12"/>
        <v>18.799999999999997</v>
      </c>
      <c r="V10">
        <f t="shared" si="13"/>
        <v>19.637737729169647</v>
      </c>
      <c r="W10">
        <f t="shared" si="14"/>
        <v>28.609767219039529</v>
      </c>
      <c r="X10">
        <f t="shared" si="15"/>
        <v>32.467668965322787</v>
      </c>
      <c r="Y10">
        <f>W10/Parameters!$B$25</f>
        <v>569.17323420232606</v>
      </c>
      <c r="Z10">
        <f>X10/Parameters!$B$26</f>
        <v>574.15444516693833</v>
      </c>
      <c r="AA10">
        <f t="shared" si="16"/>
        <v>571.66383968463219</v>
      </c>
      <c r="AB10">
        <f>Q10/(V10*AVERAGE(Parameters!$B$25,Parameters!$B$26))</f>
        <v>535.6924557198364</v>
      </c>
      <c r="AC10">
        <f>I10/60000*1/Parameters!$B$9</f>
        <v>0.11605047933784035</v>
      </c>
      <c r="AD10">
        <f>J10/60000*1/Parameters!$B$10</f>
        <v>0.13262911924324616</v>
      </c>
      <c r="AE10">
        <f>Parameters!$B$18</f>
        <v>1.6E-2</v>
      </c>
      <c r="AF10">
        <f>Parameters!$B$22</f>
        <v>8.0000000000000002E-3</v>
      </c>
      <c r="AG10" s="1">
        <f t="shared" si="17"/>
        <v>5.1934472299999986E-4</v>
      </c>
      <c r="AH10" s="1">
        <f t="shared" si="18"/>
        <v>7.5184814075000004E-4</v>
      </c>
      <c r="AI10" s="13">
        <f t="shared" si="19"/>
        <v>3527.8878429097394</v>
      </c>
      <c r="AJ10" s="13">
        <f t="shared" si="20"/>
        <v>1403.2247912838757</v>
      </c>
      <c r="AK10" s="1">
        <f t="shared" si="21"/>
        <v>0.64538312150999999</v>
      </c>
      <c r="AL10" s="1">
        <f t="shared" si="22"/>
        <v>0.62165490057749995</v>
      </c>
      <c r="AM10" s="15">
        <f t="shared" si="23"/>
        <v>3.2727459365518468</v>
      </c>
      <c r="AN10" s="15">
        <f t="shared" si="24"/>
        <v>4.9187521655337569</v>
      </c>
      <c r="AO10" s="15">
        <f t="shared" si="25"/>
        <v>0.8</v>
      </c>
      <c r="AP10" s="15">
        <f t="shared" si="26"/>
        <v>0.16</v>
      </c>
      <c r="AQ10" s="15">
        <f t="shared" si="1"/>
        <v>0.56128991651355031</v>
      </c>
      <c r="AR10" s="15">
        <f t="shared" si="2"/>
        <v>2.7608459923432873</v>
      </c>
      <c r="AS10" s="15">
        <f t="shared" si="27"/>
        <v>4.3167211180591324E-2</v>
      </c>
      <c r="AT10" s="15">
        <f t="shared" si="28"/>
        <v>21.022250889831948</v>
      </c>
      <c r="AU10" s="15">
        <f t="shared" si="29"/>
        <v>847.96286877788236</v>
      </c>
      <c r="AV10" s="15">
        <f t="shared" si="30"/>
        <v>55.216919846865743</v>
      </c>
      <c r="AW10" s="15">
        <f t="shared" si="31"/>
        <v>7.4369175880868132</v>
      </c>
      <c r="AX10" s="15">
        <f>AW10*(0.86*(Parameters!$B$14/Parameters!$B$17)^(0.16))</f>
        <v>6.7833395210005953</v>
      </c>
      <c r="AY10" s="15">
        <f t="shared" si="32"/>
        <v>527.11203193888139</v>
      </c>
      <c r="AZ10" s="15">
        <f>1/(AU10*Parameters!$B$25)</f>
        <v>2.3461366787391844E-2</v>
      </c>
      <c r="BA10" s="15">
        <f>1/(AY10*Parameters!$B$26)</f>
        <v>3.3548622483002999E-2</v>
      </c>
      <c r="BB10" s="24">
        <f>LN(Parameters!$B$17/Parameters!$B$18)/(2*PI()*Parameters!$B$6*1)</f>
        <v>1.2497168224721593E-3</v>
      </c>
      <c r="BC10" s="15">
        <f t="shared" si="33"/>
        <v>17.164521880800127</v>
      </c>
      <c r="BD10" s="15">
        <f>BC10/(AVERAGE(Parameters!$B$25, Parameters!$B$26))</f>
        <v>321.39041213392198</v>
      </c>
      <c r="BE10" s="15"/>
      <c r="BF10" s="15"/>
      <c r="BG10" s="15"/>
      <c r="BH10" s="15"/>
    </row>
    <row r="11" spans="1:70" x14ac:dyDescent="0.55000000000000004">
      <c r="A11" t="s">
        <v>42</v>
      </c>
      <c r="B11" s="2">
        <v>59.9</v>
      </c>
      <c r="C11" s="2">
        <v>54.4</v>
      </c>
      <c r="D11" s="2">
        <v>50.9</v>
      </c>
      <c r="E11" s="2">
        <v>48.5</v>
      </c>
      <c r="F11" s="2">
        <v>34</v>
      </c>
      <c r="G11" s="2">
        <v>31.1</v>
      </c>
      <c r="H11" s="2">
        <v>29.4</v>
      </c>
      <c r="I11" s="3">
        <v>1.4</v>
      </c>
      <c r="J11" s="3">
        <v>2</v>
      </c>
      <c r="K11">
        <f t="shared" si="3"/>
        <v>51.45</v>
      </c>
      <c r="L11">
        <f t="shared" si="4"/>
        <v>31.7</v>
      </c>
      <c r="M11">
        <f t="shared" si="5"/>
        <v>986.67388127000004</v>
      </c>
      <c r="N11">
        <f t="shared" si="6"/>
        <v>994.30938532000005</v>
      </c>
      <c r="O11">
        <f t="shared" si="7"/>
        <v>2.3022390562966667E-2</v>
      </c>
      <c r="P11">
        <f t="shared" si="8"/>
        <v>3.3143646177333334E-2</v>
      </c>
      <c r="Q11">
        <f t="shared" si="9"/>
        <v>552.42916827555393</v>
      </c>
      <c r="R11">
        <f t="shared" si="0"/>
        <v>620.05796141478766</v>
      </c>
      <c r="S11">
        <f t="shared" si="10"/>
        <v>67.628793139233721</v>
      </c>
      <c r="T11">
        <f t="shared" si="11"/>
        <v>20.399999999999999</v>
      </c>
      <c r="U11">
        <f t="shared" si="12"/>
        <v>19.100000000000001</v>
      </c>
      <c r="V11">
        <f t="shared" si="13"/>
        <v>19.742867137463531</v>
      </c>
      <c r="W11">
        <f t="shared" si="14"/>
        <v>27.981202751817101</v>
      </c>
      <c r="X11">
        <f t="shared" si="15"/>
        <v>31.406682580473959</v>
      </c>
      <c r="Y11">
        <f>W11/Parameters!$B$25</f>
        <v>556.66834145102951</v>
      </c>
      <c r="Z11">
        <f>X11/Parameters!$B$26</f>
        <v>555.39208653339495</v>
      </c>
      <c r="AA11">
        <f t="shared" si="16"/>
        <v>556.03021399221223</v>
      </c>
      <c r="AB11">
        <f>Q11/(V11*AVERAGE(Parameters!$B$25,Parameters!$B$26))</f>
        <v>523.92314489508669</v>
      </c>
      <c r="AC11">
        <f>I11/60000*1/Parameters!$B$9</f>
        <v>0.11605047933784035</v>
      </c>
      <c r="AD11">
        <f>J11/60000*1/Parameters!$B$10</f>
        <v>0.12057192658476923</v>
      </c>
      <c r="AE11">
        <f>Parameters!$B$18</f>
        <v>1.6E-2</v>
      </c>
      <c r="AF11">
        <f>Parameters!$B$22</f>
        <v>8.0000000000000002E-3</v>
      </c>
      <c r="AG11" s="1">
        <f t="shared" si="17"/>
        <v>5.1806498675000001E-4</v>
      </c>
      <c r="AH11" s="1">
        <f t="shared" si="18"/>
        <v>7.5109316299999999E-4</v>
      </c>
      <c r="AI11" s="13">
        <f t="shared" si="19"/>
        <v>3536.3587132906623</v>
      </c>
      <c r="AJ11" s="13">
        <f t="shared" si="20"/>
        <v>1276.9206709911173</v>
      </c>
      <c r="AK11" s="1">
        <f t="shared" si="21"/>
        <v>0.6455413215975</v>
      </c>
      <c r="AL11" s="1">
        <f t="shared" si="22"/>
        <v>0.62172284430999991</v>
      </c>
      <c r="AM11" s="15">
        <f t="shared" si="23"/>
        <v>3.2638813823694499</v>
      </c>
      <c r="AN11" s="15">
        <f t="shared" si="24"/>
        <v>4.9132759426125974</v>
      </c>
      <c r="AO11" s="15">
        <f t="shared" si="25"/>
        <v>0.8</v>
      </c>
      <c r="AP11" s="15">
        <f t="shared" si="26"/>
        <v>0.16</v>
      </c>
      <c r="AQ11" s="15">
        <f t="shared" si="1"/>
        <v>0.51076826839644696</v>
      </c>
      <c r="AR11" s="15">
        <f t="shared" si="2"/>
        <v>2.5095454453621571</v>
      </c>
      <c r="AS11" s="15">
        <f t="shared" si="27"/>
        <v>4.3133246769135547E-2</v>
      </c>
      <c r="AT11" s="15">
        <f t="shared" si="28"/>
        <v>21.060227182861379</v>
      </c>
      <c r="AU11" s="15">
        <f t="shared" si="29"/>
        <v>849.70293054799549</v>
      </c>
      <c r="AV11" s="15">
        <f t="shared" si="30"/>
        <v>50.190908907243141</v>
      </c>
      <c r="AW11" s="15">
        <f t="shared" si="31"/>
        <v>7.2040590408035019</v>
      </c>
      <c r="AX11" s="15">
        <f>AW11*(0.86*(Parameters!$B$14/Parameters!$B$17)^(0.16))</f>
        <v>6.5709452638529884</v>
      </c>
      <c r="AY11" s="15">
        <f t="shared" si="32"/>
        <v>510.66334740600036</v>
      </c>
      <c r="AZ11" s="15">
        <f>1/(AU11*Parameters!$B$25)</f>
        <v>2.3413321493026416E-2</v>
      </c>
      <c r="BA11" s="15">
        <f>1/(AY11*Parameters!$B$26)</f>
        <v>3.4629237942363361E-2</v>
      </c>
      <c r="BB11" s="24">
        <f>LN(Parameters!$B$17/Parameters!$B$18)/(2*PI()*Parameters!$B$6*1)</f>
        <v>1.2497168224721593E-3</v>
      </c>
      <c r="BC11" s="15">
        <f t="shared" si="33"/>
        <v>16.865603129335142</v>
      </c>
      <c r="BD11" s="15">
        <f>BC11/(AVERAGE(Parameters!$B$25, Parameters!$B$26))</f>
        <v>315.79342426586197</v>
      </c>
      <c r="BE11" s="15"/>
      <c r="BF11" s="15"/>
      <c r="BG11" s="15"/>
      <c r="BH11" s="15"/>
      <c r="BQ11" s="11" t="s">
        <v>74</v>
      </c>
      <c r="BR11">
        <f>$D$5*$G$11^2+$E$5*$G$11+$F$5</f>
        <v>43212.273000000001</v>
      </c>
    </row>
    <row r="12" spans="1:70" x14ac:dyDescent="0.55000000000000004">
      <c r="A12" t="s">
        <v>42</v>
      </c>
      <c r="B12" s="2">
        <v>59.9</v>
      </c>
      <c r="C12" s="2">
        <v>54.4</v>
      </c>
      <c r="D12" s="2">
        <v>51.1</v>
      </c>
      <c r="E12" s="2">
        <v>48.6</v>
      </c>
      <c r="F12" s="2">
        <v>34.5</v>
      </c>
      <c r="G12" s="2">
        <v>31.3</v>
      </c>
      <c r="H12" s="2">
        <v>29.4</v>
      </c>
      <c r="I12" s="3">
        <v>1.4</v>
      </c>
      <c r="J12" s="3">
        <v>1.8</v>
      </c>
      <c r="K12">
        <f t="shared" si="3"/>
        <v>51.5</v>
      </c>
      <c r="L12">
        <f t="shared" si="4"/>
        <v>31.95</v>
      </c>
      <c r="M12">
        <f t="shared" si="5"/>
        <v>986.65117299999997</v>
      </c>
      <c r="N12">
        <f t="shared" si="6"/>
        <v>994.22936687000004</v>
      </c>
      <c r="O12">
        <f t="shared" si="7"/>
        <v>2.3021860703333331E-2</v>
      </c>
      <c r="P12">
        <f t="shared" si="8"/>
        <v>2.9826881006100002E-2</v>
      </c>
      <c r="Q12">
        <f t="shared" si="9"/>
        <v>543.05346338664833</v>
      </c>
      <c r="R12">
        <f t="shared" si="0"/>
        <v>618.66021776422463</v>
      </c>
      <c r="S12">
        <f t="shared" si="10"/>
        <v>75.606754377576294</v>
      </c>
      <c r="T12">
        <f t="shared" si="11"/>
        <v>19.899999999999999</v>
      </c>
      <c r="U12">
        <f t="shared" si="12"/>
        <v>19.200000000000003</v>
      </c>
      <c r="V12">
        <f t="shared" si="13"/>
        <v>19.54791115990157</v>
      </c>
      <c r="W12">
        <f t="shared" si="14"/>
        <v>27.780639012755916</v>
      </c>
      <c r="X12">
        <f t="shared" si="15"/>
        <v>31.648405433378272</v>
      </c>
      <c r="Y12">
        <f>W12/Parameters!$B$25</f>
        <v>552.67825264145688</v>
      </c>
      <c r="Z12">
        <f>X12/Parameters!$B$26</f>
        <v>559.66668507761676</v>
      </c>
      <c r="AA12">
        <f t="shared" si="16"/>
        <v>556.17246885953682</v>
      </c>
      <c r="AB12">
        <f>Q12/(V12*AVERAGE(Parameters!$B$25,Parameters!$B$26))</f>
        <v>520.16776719195946</v>
      </c>
      <c r="AC12">
        <f>I12/60000*1/Parameters!$B$9</f>
        <v>0.11605047933784035</v>
      </c>
      <c r="AD12">
        <f>J12/60000*1/Parameters!$B$10</f>
        <v>0.10851473392629231</v>
      </c>
      <c r="AE12">
        <f>Parameters!$B$18</f>
        <v>1.6E-2</v>
      </c>
      <c r="AF12">
        <f>Parameters!$B$22</f>
        <v>8.0000000000000002E-3</v>
      </c>
      <c r="AG12" s="1">
        <f t="shared" si="17"/>
        <v>5.1764007500000001E-4</v>
      </c>
      <c r="AH12" s="1">
        <f t="shared" si="18"/>
        <v>7.4733077674999997E-4</v>
      </c>
      <c r="AI12" s="13">
        <f t="shared" si="19"/>
        <v>3539.1801244412522</v>
      </c>
      <c r="AJ12" s="13">
        <f t="shared" si="20"/>
        <v>1154.9213661644278</v>
      </c>
      <c r="AK12" s="1">
        <f t="shared" si="21"/>
        <v>0.64559397774999994</v>
      </c>
      <c r="AL12" s="1">
        <f t="shared" si="22"/>
        <v>0.6220619838975</v>
      </c>
      <c r="AM12" s="15">
        <f t="shared" si="23"/>
        <v>3.2609383878736158</v>
      </c>
      <c r="AN12" s="15">
        <f t="shared" si="24"/>
        <v>4.885999060735184</v>
      </c>
      <c r="AO12" s="15">
        <f t="shared" si="25"/>
        <v>0.8</v>
      </c>
      <c r="AP12" s="15">
        <f t="shared" si="26"/>
        <v>0.16</v>
      </c>
      <c r="AQ12" s="15">
        <f t="shared" si="1"/>
        <v>0.46196854646577112</v>
      </c>
      <c r="AR12" s="15">
        <f t="shared" si="2"/>
        <v>2.257177884120956</v>
      </c>
      <c r="AS12" s="15">
        <f t="shared" si="27"/>
        <v>4.3121961109298203E-2</v>
      </c>
      <c r="AT12" s="15">
        <f t="shared" si="28"/>
        <v>21.072852501036454</v>
      </c>
      <c r="AU12" s="15">
        <f t="shared" si="29"/>
        <v>850.28166679269748</v>
      </c>
      <c r="AV12" s="15">
        <f t="shared" si="30"/>
        <v>45.143557682419114</v>
      </c>
      <c r="AW12" s="15">
        <f t="shared" si="31"/>
        <v>6.9539917424063109</v>
      </c>
      <c r="AX12" s="15">
        <f>AW12*(0.86*(Parameters!$B$14/Parameters!$B$17)^(0.16))</f>
        <v>6.342854610966798</v>
      </c>
      <c r="AY12" s="15">
        <f t="shared" si="32"/>
        <v>493.20609035892647</v>
      </c>
      <c r="AZ12" s="15">
        <f>1/(AU12*Parameters!$B$25)</f>
        <v>2.3397385435263363E-2</v>
      </c>
      <c r="BA12" s="15">
        <f>1/(AY12*Parameters!$B$26)</f>
        <v>3.5854955791192397E-2</v>
      </c>
      <c r="BB12" s="24">
        <f>LN(Parameters!$B$17/Parameters!$B$18)/(2*PI()*Parameters!$B$6*1)</f>
        <v>1.2497168224721593E-3</v>
      </c>
      <c r="BC12" s="15">
        <f t="shared" si="33"/>
        <v>16.528363368917162</v>
      </c>
      <c r="BD12" s="15">
        <f>BC12/(AVERAGE(Parameters!$B$25, Parameters!$B$26))</f>
        <v>309.47890957437397</v>
      </c>
      <c r="BE12" s="15"/>
      <c r="BF12" s="15"/>
      <c r="BG12" s="15"/>
      <c r="BH12" s="15"/>
      <c r="BK12" s="25" t="s">
        <v>75</v>
      </c>
      <c r="BL12" s="25"/>
      <c r="BM12" s="25"/>
      <c r="BN12" s="25"/>
      <c r="BO12">
        <v>39.799999999999997</v>
      </c>
      <c r="BQ12" s="11" t="s">
        <v>61</v>
      </c>
      <c r="BR12" s="1">
        <f>$D$6*$G$11^2+$E$6*$G$11+$F$6</f>
        <v>46691.508000000002</v>
      </c>
    </row>
    <row r="13" spans="1:70" x14ac:dyDescent="0.55000000000000004">
      <c r="A13" t="s">
        <v>42</v>
      </c>
      <c r="B13" s="2">
        <v>59.5</v>
      </c>
      <c r="C13" s="2">
        <v>54.1</v>
      </c>
      <c r="D13" s="2">
        <v>50.5</v>
      </c>
      <c r="E13" s="2">
        <v>48.1</v>
      </c>
      <c r="F13" s="2">
        <v>33.4</v>
      </c>
      <c r="G13" s="2">
        <v>30.8</v>
      </c>
      <c r="H13" s="2">
        <v>29.6</v>
      </c>
      <c r="I13" s="3">
        <v>1.4</v>
      </c>
      <c r="J13" s="3">
        <v>2.4</v>
      </c>
      <c r="K13">
        <f t="shared" si="3"/>
        <v>51.1</v>
      </c>
      <c r="L13">
        <f t="shared" si="4"/>
        <v>31.5</v>
      </c>
      <c r="M13">
        <f t="shared" si="5"/>
        <v>986.83236148000003</v>
      </c>
      <c r="N13">
        <f t="shared" si="6"/>
        <v>994.37309300000004</v>
      </c>
      <c r="O13">
        <f t="shared" si="7"/>
        <v>2.3026088434533333E-2</v>
      </c>
      <c r="P13">
        <f t="shared" si="8"/>
        <v>3.9774923720000001E-2</v>
      </c>
      <c r="Q13">
        <f t="shared" si="9"/>
        <v>561.88260997948237</v>
      </c>
      <c r="R13">
        <f t="shared" si="0"/>
        <v>614.70553612311164</v>
      </c>
      <c r="S13">
        <f t="shared" si="10"/>
        <v>52.822926143629275</v>
      </c>
      <c r="T13">
        <f t="shared" si="11"/>
        <v>20.700000000000003</v>
      </c>
      <c r="U13">
        <f t="shared" si="12"/>
        <v>18.5</v>
      </c>
      <c r="V13">
        <f t="shared" si="13"/>
        <v>19.579404455903884</v>
      </c>
      <c r="W13">
        <f t="shared" si="14"/>
        <v>28.697635377262706</v>
      </c>
      <c r="X13">
        <f t="shared" si="15"/>
        <v>31.395517545364161</v>
      </c>
      <c r="Y13">
        <f>W13/Parameters!$B$25</f>
        <v>570.92131566752607</v>
      </c>
      <c r="Z13">
        <f>X13/Parameters!$B$26</f>
        <v>555.19464536367059</v>
      </c>
      <c r="AA13">
        <f t="shared" si="16"/>
        <v>563.05798051559827</v>
      </c>
      <c r="AB13">
        <f>Q13/(V13*AVERAGE(Parameters!$B$25,Parameters!$B$26))</f>
        <v>537.33770886355398</v>
      </c>
      <c r="AC13">
        <f>I13/60000*1/Parameters!$B$9</f>
        <v>0.11605047933784035</v>
      </c>
      <c r="AD13">
        <f>J13/60000*1/Parameters!$B$10</f>
        <v>0.14468631190172307</v>
      </c>
      <c r="AE13">
        <f>Parameters!$B$18</f>
        <v>1.6E-2</v>
      </c>
      <c r="AF13">
        <f>Parameters!$B$22</f>
        <v>8.0000000000000002E-3</v>
      </c>
      <c r="AG13" s="1">
        <f t="shared" si="17"/>
        <v>5.2106270699999986E-4</v>
      </c>
      <c r="AH13" s="1">
        <f t="shared" si="18"/>
        <v>7.5411807499999994E-4</v>
      </c>
      <c r="AI13" s="13">
        <f t="shared" si="19"/>
        <v>3516.5784704940543</v>
      </c>
      <c r="AJ13" s="13">
        <f t="shared" si="20"/>
        <v>1526.2562216716963</v>
      </c>
      <c r="AK13" s="1">
        <f t="shared" si="21"/>
        <v>0.64517164759000001</v>
      </c>
      <c r="AL13" s="1">
        <f t="shared" si="22"/>
        <v>0.62145083774999998</v>
      </c>
      <c r="AM13" s="15">
        <f t="shared" si="23"/>
        <v>3.2846484145498365</v>
      </c>
      <c r="AN13" s="15">
        <f t="shared" si="24"/>
        <v>4.9352225867604433</v>
      </c>
      <c r="AO13" s="15">
        <f t="shared" si="25"/>
        <v>0.8</v>
      </c>
      <c r="AP13" s="15">
        <f t="shared" si="26"/>
        <v>0.16</v>
      </c>
      <c r="AQ13" s="15">
        <f t="shared" si="1"/>
        <v>0.61050248866867851</v>
      </c>
      <c r="AR13" s="15">
        <f t="shared" si="2"/>
        <v>3.0129656713511239</v>
      </c>
      <c r="AS13" s="15">
        <f t="shared" si="27"/>
        <v>4.3212746908061102E-2</v>
      </c>
      <c r="AT13" s="15">
        <f t="shared" si="28"/>
        <v>20.971383471797527</v>
      </c>
      <c r="AU13" s="15">
        <f t="shared" si="29"/>
        <v>845.63387667133145</v>
      </c>
      <c r="AV13" s="15">
        <f t="shared" si="30"/>
        <v>60.259313427022477</v>
      </c>
      <c r="AW13" s="15">
        <f t="shared" si="31"/>
        <v>7.656735351641859</v>
      </c>
      <c r="AX13" s="15">
        <f>AW13*(0.86*(Parameters!$B$14/Parameters!$B$17)^(0.16))</f>
        <v>6.9838390566320641</v>
      </c>
      <c r="AY13" s="15">
        <f t="shared" si="32"/>
        <v>542.51407905689575</v>
      </c>
      <c r="AZ13" s="15">
        <f>1/(AU13*Parameters!$B$25)</f>
        <v>2.3525982621222692E-2</v>
      </c>
      <c r="BA13" s="15">
        <f>1/(AY13*Parameters!$B$26)</f>
        <v>3.2596172612714011E-2</v>
      </c>
      <c r="BB13" s="24">
        <f>LN(Parameters!$B$17/Parameters!$B$18)/(2*PI()*Parameters!$B$6*1)</f>
        <v>1.2497168224721593E-3</v>
      </c>
      <c r="BC13" s="15">
        <f t="shared" si="33"/>
        <v>17.430144148282025</v>
      </c>
      <c r="BD13" s="15">
        <f>BC13/(AVERAGE(Parameters!$B$25, Parameters!$B$26))</f>
        <v>326.3639529415716</v>
      </c>
      <c r="BE13" s="15"/>
      <c r="BF13" s="15"/>
      <c r="BG13" s="15"/>
      <c r="BH13" s="15"/>
      <c r="BQ13" s="11" t="s">
        <v>63</v>
      </c>
      <c r="BR13" s="12">
        <f>Parameters!V3</f>
        <v>0</v>
      </c>
    </row>
    <row r="14" spans="1:70" x14ac:dyDescent="0.55000000000000004">
      <c r="A14" t="s">
        <v>42</v>
      </c>
      <c r="B14" s="2">
        <v>59.4</v>
      </c>
      <c r="C14" s="2">
        <v>54.1</v>
      </c>
      <c r="D14" s="2">
        <v>50.5</v>
      </c>
      <c r="E14" s="2">
        <v>48.1</v>
      </c>
      <c r="F14" s="2">
        <v>33.299999999999997</v>
      </c>
      <c r="G14" s="2">
        <v>30.7</v>
      </c>
      <c r="H14" s="2">
        <v>29.6</v>
      </c>
      <c r="I14" s="3">
        <v>1.4</v>
      </c>
      <c r="J14" s="3">
        <v>2.7</v>
      </c>
      <c r="K14">
        <f t="shared" si="3"/>
        <v>51.1</v>
      </c>
      <c r="L14">
        <f t="shared" si="4"/>
        <v>31.45</v>
      </c>
      <c r="M14">
        <f t="shared" si="5"/>
        <v>986.83236148000003</v>
      </c>
      <c r="N14">
        <f t="shared" si="6"/>
        <v>994.38897727000005</v>
      </c>
      <c r="O14">
        <f t="shared" si="7"/>
        <v>2.3026088434533333E-2</v>
      </c>
      <c r="P14">
        <f t="shared" si="8"/>
        <v>4.4747503977150001E-2</v>
      </c>
      <c r="Q14">
        <f t="shared" si="9"/>
        <v>561.88260997948237</v>
      </c>
      <c r="R14">
        <f t="shared" si="0"/>
        <v>673.35596509775462</v>
      </c>
      <c r="S14">
        <f t="shared" si="10"/>
        <v>111.47335511827225</v>
      </c>
      <c r="T14">
        <f t="shared" si="11"/>
        <v>20.800000000000004</v>
      </c>
      <c r="U14">
        <f t="shared" si="12"/>
        <v>18.5</v>
      </c>
      <c r="V14">
        <f t="shared" si="13"/>
        <v>19.627545206394245</v>
      </c>
      <c r="W14">
        <f t="shared" si="14"/>
        <v>28.627248291672906</v>
      </c>
      <c r="X14">
        <f t="shared" si="15"/>
        <v>34.306682675650606</v>
      </c>
      <c r="Y14">
        <f>W14/Parameters!$B$25</f>
        <v>569.52100909234491</v>
      </c>
      <c r="Z14">
        <f>X14/Parameters!$B$26</f>
        <v>606.67534765720939</v>
      </c>
      <c r="AA14">
        <f t="shared" si="16"/>
        <v>588.09817837477715</v>
      </c>
      <c r="AB14">
        <f>Q14/(V14*AVERAGE(Parameters!$B$25,Parameters!$B$26))</f>
        <v>536.01977326338351</v>
      </c>
      <c r="AC14">
        <f>I14/60000*1/Parameters!$B$9</f>
        <v>0.11605047933784035</v>
      </c>
      <c r="AD14">
        <f>J14/60000*1/Parameters!$B$10</f>
        <v>0.16277210088943847</v>
      </c>
      <c r="AE14">
        <f>Parameters!$B$18</f>
        <v>1.6E-2</v>
      </c>
      <c r="AF14">
        <f>Parameters!$B$22</f>
        <v>8.0000000000000002E-3</v>
      </c>
      <c r="AG14" s="1">
        <f t="shared" si="17"/>
        <v>5.2106270699999986E-4</v>
      </c>
      <c r="AH14" s="1">
        <f t="shared" si="18"/>
        <v>7.5487638675E-4</v>
      </c>
      <c r="AI14" s="13">
        <f t="shared" si="19"/>
        <v>3516.5784704940543</v>
      </c>
      <c r="AJ14" s="13">
        <f t="shared" si="20"/>
        <v>1715.3407977525451</v>
      </c>
      <c r="AK14" s="1">
        <f t="shared" si="21"/>
        <v>0.64517164759000001</v>
      </c>
      <c r="AL14" s="1">
        <f t="shared" si="22"/>
        <v>0.62138273959750001</v>
      </c>
      <c r="AM14" s="15">
        <f t="shared" si="23"/>
        <v>3.2846484145498365</v>
      </c>
      <c r="AN14" s="15">
        <f t="shared" si="24"/>
        <v>4.9407266556855003</v>
      </c>
      <c r="AO14" s="15">
        <f t="shared" si="25"/>
        <v>0.8</v>
      </c>
      <c r="AP14" s="15">
        <f t="shared" si="26"/>
        <v>0.16</v>
      </c>
      <c r="AQ14" s="15">
        <f t="shared" si="1"/>
        <v>0.68613631910101802</v>
      </c>
      <c r="AR14" s="15">
        <f t="shared" si="2"/>
        <v>3.3900120012163319</v>
      </c>
      <c r="AS14" s="15">
        <f t="shared" si="27"/>
        <v>4.3212746908061102E-2</v>
      </c>
      <c r="AT14" s="15">
        <f t="shared" si="28"/>
        <v>20.971383471797527</v>
      </c>
      <c r="AU14" s="15">
        <f t="shared" si="29"/>
        <v>845.63387667133145</v>
      </c>
      <c r="AV14" s="15">
        <f t="shared" si="30"/>
        <v>67.800240024326641</v>
      </c>
      <c r="AW14" s="15">
        <f t="shared" si="31"/>
        <v>7.963658968114709</v>
      </c>
      <c r="AX14" s="15">
        <f>AW14*(0.86*(Parameters!$B$14/Parameters!$B$17)^(0.16))</f>
        <v>7.2637893280837487</v>
      </c>
      <c r="AY14" s="15">
        <f t="shared" si="32"/>
        <v>564.1991640679704</v>
      </c>
      <c r="AZ14" s="15">
        <f>1/(AU14*Parameters!$B$25)</f>
        <v>2.3525982621222692E-2</v>
      </c>
      <c r="BA14" s="15">
        <f>1/(AY14*Parameters!$B$26)</f>
        <v>3.1343333510568144E-2</v>
      </c>
      <c r="BB14" s="24">
        <f>LN(Parameters!$B$17/Parameters!$B$18)/(2*PI()*Parameters!$B$6*1)</f>
        <v>1.2497168224721593E-3</v>
      </c>
      <c r="BC14" s="15">
        <f t="shared" si="33"/>
        <v>17.819266429893755</v>
      </c>
      <c r="BD14" s="15">
        <f>BC14/(AVERAGE(Parameters!$B$25, Parameters!$B$26))</f>
        <v>333.64992171636021</v>
      </c>
      <c r="BE14" s="15"/>
      <c r="BF14" s="15"/>
      <c r="BG14" s="15"/>
      <c r="BH14" s="15"/>
      <c r="BQ14" s="11" t="s">
        <v>60</v>
      </c>
      <c r="BR14" s="1">
        <f>$D$8*$G$11^2+$E$8*$G$11+$F$8</f>
        <v>49103.402000000002</v>
      </c>
    </row>
    <row r="15" spans="1:70" x14ac:dyDescent="0.55000000000000004">
      <c r="A15" t="s">
        <v>43</v>
      </c>
      <c r="B15" s="3">
        <v>44.8</v>
      </c>
      <c r="C15" s="3">
        <v>41.3</v>
      </c>
      <c r="D15" s="3">
        <v>39.799999999999997</v>
      </c>
      <c r="E15" s="3">
        <v>39</v>
      </c>
      <c r="F15" s="3">
        <v>29.6</v>
      </c>
      <c r="G15" s="3">
        <v>30</v>
      </c>
      <c r="H15" s="3">
        <v>31.3</v>
      </c>
      <c r="I15" s="2">
        <v>1.4</v>
      </c>
      <c r="J15" s="2">
        <v>2.2000000000000002</v>
      </c>
      <c r="K15">
        <f t="shared" si="3"/>
        <v>40.15</v>
      </c>
      <c r="L15">
        <f t="shared" si="4"/>
        <v>30.450000000000003</v>
      </c>
      <c r="M15">
        <f t="shared" si="5"/>
        <v>991.36834423000005</v>
      </c>
      <c r="N15">
        <f t="shared" si="6"/>
        <v>994.70308006999994</v>
      </c>
      <c r="O15">
        <f t="shared" si="7"/>
        <v>2.3131928032033334E-2</v>
      </c>
      <c r="P15">
        <f t="shared" si="8"/>
        <v>3.6472446269233329E-2</v>
      </c>
      <c r="Q15">
        <f t="shared" si="9"/>
        <v>216.37836800444276</v>
      </c>
      <c r="R15">
        <f>-P15*$BM$15*(F15-H15)</f>
        <v>252.16684626085217</v>
      </c>
      <c r="S15">
        <f t="shared" si="10"/>
        <v>35.788478256409405</v>
      </c>
      <c r="T15" s="13">
        <f>(C15-H15)</f>
        <v>9.9999999999999964</v>
      </c>
      <c r="U15" s="13">
        <f>(E15-F15)</f>
        <v>9.3999999999999986</v>
      </c>
      <c r="V15">
        <f t="shared" si="13"/>
        <v>9.6969064272078036</v>
      </c>
      <c r="W15">
        <f t="shared" si="14"/>
        <v>22.314164793559659</v>
      </c>
      <c r="X15">
        <f t="shared" si="15"/>
        <v>26.00487569451187</v>
      </c>
      <c r="Y15">
        <f>W15/Parameters!$B$25</f>
        <v>443.92620348277023</v>
      </c>
      <c r="Z15">
        <f>X15/Parameters!$B$26</f>
        <v>459.86716791909441</v>
      </c>
      <c r="AA15">
        <f t="shared" si="16"/>
        <v>451.89668570093232</v>
      </c>
      <c r="AB15">
        <f>Q15/(V15*AVERAGE(Parameters!$B$25,Parameters!$B$26))</f>
        <v>417.81289739554853</v>
      </c>
      <c r="AC15">
        <f>I15/60000*1/Parameters!$B$9</f>
        <v>0.11605047933784035</v>
      </c>
      <c r="AD15">
        <f>J15/60000*1/Parameters!$B$10</f>
        <v>0.13262911924324616</v>
      </c>
      <c r="AE15">
        <f>Parameters!$B$18</f>
        <v>1.6E-2</v>
      </c>
      <c r="AF15">
        <f>Parameters!$B$22</f>
        <v>8.0000000000000002E-3</v>
      </c>
      <c r="AG15" s="1">
        <f t="shared" si="17"/>
        <v>6.3547515074999998E-4</v>
      </c>
      <c r="AH15" s="1">
        <f t="shared" si="18"/>
        <v>7.7021765674999988E-4</v>
      </c>
      <c r="AI15" s="13">
        <f t="shared" si="19"/>
        <v>2896.6991747820784</v>
      </c>
      <c r="AJ15" s="13">
        <f t="shared" si="20"/>
        <v>1370.2785674886131</v>
      </c>
      <c r="AK15" s="1">
        <f t="shared" si="21"/>
        <v>0.63265077427749994</v>
      </c>
      <c r="AL15" s="1">
        <f t="shared" si="22"/>
        <v>0.6200126694975</v>
      </c>
      <c r="AM15" s="15">
        <f t="shared" si="23"/>
        <v>4.0851565242321497</v>
      </c>
      <c r="AN15" s="15">
        <f t="shared" si="24"/>
        <v>5.0522761293588054</v>
      </c>
      <c r="AO15" s="15">
        <f t="shared" si="25"/>
        <v>0.8</v>
      </c>
      <c r="AP15" s="15">
        <f t="shared" si="26"/>
        <v>0.16</v>
      </c>
      <c r="AQ15" s="15">
        <f t="shared" si="1"/>
        <v>0.54811142699544524</v>
      </c>
      <c r="AR15" s="15">
        <f t="shared" si="2"/>
        <v>2.7692102788378796</v>
      </c>
      <c r="AS15" s="15">
        <f t="shared" si="27"/>
        <v>4.610229403025768E-2</v>
      </c>
      <c r="AT15" s="15">
        <f t="shared" si="28"/>
        <v>17.863387193845163</v>
      </c>
      <c r="AU15" s="15">
        <f t="shared" si="29"/>
        <v>706.33035871280742</v>
      </c>
      <c r="AV15" s="15">
        <f t="shared" si="30"/>
        <v>55.384205576757594</v>
      </c>
      <c r="AW15" s="15">
        <f>3.657+((0.19*(AV15)^(0.8))/(1+0.117*(AV15)^0.467))</f>
        <v>6.3317723215934576</v>
      </c>
      <c r="AX15" s="15">
        <f>AW15*(0.86*(Parameters!$B$14/Parameters!$B$17)^(0.16))</f>
        <v>5.7753176525507062</v>
      </c>
      <c r="AY15" s="15">
        <f t="shared" si="32"/>
        <v>447.59626436924981</v>
      </c>
      <c r="AZ15" s="15">
        <f>1/(AU15*Parameters!$B$25)</f>
        <v>2.8165811707062598E-2</v>
      </c>
      <c r="BA15" s="15">
        <f>1/(AY15*Parameters!$B$26)</f>
        <v>3.9508557093715202E-2</v>
      </c>
      <c r="BB15" s="24">
        <f>LN(Parameters!$B$17/Parameters!$B$18)/(2*PI()*Parameters!$B$6*1)</f>
        <v>1.2497168224721593E-3</v>
      </c>
      <c r="BC15" s="15">
        <f t="shared" si="33"/>
        <v>14.508716234063073</v>
      </c>
      <c r="BD15" s="15">
        <f>BC15/(AVERAGE(Parameters!$B$25, Parameters!$B$26))</f>
        <v>271.66281253750196</v>
      </c>
      <c r="BE15" s="15"/>
      <c r="BF15" s="15"/>
      <c r="BG15" s="15"/>
      <c r="BH15" s="15"/>
      <c r="BL15" t="s">
        <v>85</v>
      </c>
      <c r="BM15">
        <v>4067</v>
      </c>
    </row>
    <row r="16" spans="1:70" x14ac:dyDescent="0.55000000000000004">
      <c r="A16" t="s">
        <v>43</v>
      </c>
      <c r="B16" s="3">
        <v>50</v>
      </c>
      <c r="C16" s="3">
        <v>45.7</v>
      </c>
      <c r="D16" s="3">
        <v>43.5</v>
      </c>
      <c r="E16" s="3">
        <v>42.2</v>
      </c>
      <c r="F16" s="3">
        <v>29.8</v>
      </c>
      <c r="G16" s="3">
        <v>30.6</v>
      </c>
      <c r="H16" s="3">
        <v>32.200000000000003</v>
      </c>
      <c r="I16" s="2">
        <v>1.4</v>
      </c>
      <c r="J16" s="2">
        <v>2.2000000000000002</v>
      </c>
      <c r="K16">
        <f t="shared" si="3"/>
        <v>43.95</v>
      </c>
      <c r="L16">
        <f t="shared" si="4"/>
        <v>31</v>
      </c>
      <c r="M16">
        <f t="shared" si="5"/>
        <v>989.88691727000003</v>
      </c>
      <c r="N16">
        <f t="shared" si="6"/>
        <v>994.53116799999998</v>
      </c>
      <c r="O16">
        <f t="shared" si="7"/>
        <v>2.3097361402966664E-2</v>
      </c>
      <c r="P16">
        <f t="shared" si="8"/>
        <v>3.6466142826666673E-2</v>
      </c>
      <c r="Q16">
        <f t="shared" si="9"/>
        <v>328.77939089052899</v>
      </c>
      <c r="R16">
        <f t="shared" ref="R16:R25" si="34">-P16*$BM$15*(F16-H16)</f>
        <v>355.9387269025284</v>
      </c>
      <c r="S16">
        <f t="shared" si="10"/>
        <v>27.159336011999414</v>
      </c>
      <c r="T16" s="13">
        <f t="shared" ref="T16:T25" si="35">(C16-H16)</f>
        <v>13.5</v>
      </c>
      <c r="U16" s="13">
        <f t="shared" ref="U16:U25" si="36">(E16-F16)</f>
        <v>12.400000000000002</v>
      </c>
      <c r="V16">
        <f t="shared" si="13"/>
        <v>12.942209893350743</v>
      </c>
      <c r="W16">
        <f t="shared" si="14"/>
        <v>25.403651586538121</v>
      </c>
      <c r="X16">
        <f t="shared" si="15"/>
        <v>27.502159973884932</v>
      </c>
      <c r="Y16">
        <f>W16/Parameters!$B$25</f>
        <v>505.38959032272641</v>
      </c>
      <c r="Z16">
        <f>X16/Parameters!$B$26</f>
        <v>486.3449672830954</v>
      </c>
      <c r="AA16">
        <f t="shared" si="16"/>
        <v>495.8672788029109</v>
      </c>
      <c r="AB16">
        <f>Q16/(V16*AVERAGE(Parameters!$B$25,Parameters!$B$26))</f>
        <v>475.66079089197791</v>
      </c>
      <c r="AC16">
        <f>I16/60000*1/Parameters!$B$9</f>
        <v>0.11605047933784035</v>
      </c>
      <c r="AD16">
        <f>J16/60000*1/Parameters!$B$10</f>
        <v>0.13262911924324616</v>
      </c>
      <c r="AE16">
        <f>Parameters!$B$18</f>
        <v>1.6E-2</v>
      </c>
      <c r="AF16">
        <f>Parameters!$B$22</f>
        <v>8.0000000000000002E-3</v>
      </c>
      <c r="AG16" s="1">
        <f t="shared" si="17"/>
        <v>5.9124113674999994E-4</v>
      </c>
      <c r="AH16" s="1">
        <f t="shared" si="18"/>
        <v>7.617387E-4</v>
      </c>
      <c r="AI16" s="13">
        <f t="shared" si="19"/>
        <v>3108.7647756286642</v>
      </c>
      <c r="AJ16" s="13">
        <f t="shared" si="20"/>
        <v>1385.2917581506297</v>
      </c>
      <c r="AK16" s="1">
        <f t="shared" si="21"/>
        <v>0.63720569709749997</v>
      </c>
      <c r="AL16" s="1">
        <f t="shared" si="22"/>
        <v>0.62076811899999995</v>
      </c>
      <c r="AM16" s="15">
        <f t="shared" si="23"/>
        <v>3.7736286949649185</v>
      </c>
      <c r="AN16" s="15">
        <f t="shared" si="24"/>
        <v>4.9905773155531534</v>
      </c>
      <c r="AO16" s="15">
        <f t="shared" si="25"/>
        <v>0.8</v>
      </c>
      <c r="AP16" s="15">
        <f t="shared" si="26"/>
        <v>0.16</v>
      </c>
      <c r="AQ16" s="15">
        <f t="shared" si="1"/>
        <v>0.55411670326025186</v>
      </c>
      <c r="AR16" s="15">
        <f t="shared" si="2"/>
        <v>2.7653622494597112</v>
      </c>
      <c r="AS16" s="15">
        <f t="shared" si="27"/>
        <v>4.5016813528021844E-2</v>
      </c>
      <c r="AT16" s="15">
        <f t="shared" si="28"/>
        <v>19.002454613526456</v>
      </c>
      <c r="AU16" s="15">
        <f t="shared" si="29"/>
        <v>756.77952116098311</v>
      </c>
      <c r="AV16" s="15">
        <f t="shared" si="30"/>
        <v>55.307244989194224</v>
      </c>
      <c r="AW16" s="15">
        <f t="shared" ref="AW16:AW25" si="37">3.657+((0.19*(AV16)^(0.8))/(1+0.117*(AV16)^0.467))</f>
        <v>6.329549152286039</v>
      </c>
      <c r="AX16" s="15">
        <f>AW16*(0.86*(Parameters!$B$14/Parameters!$B$17)^(0.16))</f>
        <v>5.773289861863736</v>
      </c>
      <c r="AY16" s="15">
        <f t="shared" si="32"/>
        <v>447.98428599886512</v>
      </c>
      <c r="AZ16" s="15">
        <f>1/(AU16*Parameters!$B$25)</f>
        <v>2.6288195346468632E-2</v>
      </c>
      <c r="BA16" s="15">
        <f>1/(AY16*Parameters!$B$26)</f>
        <v>3.9474336753434584E-2</v>
      </c>
      <c r="BB16" s="24">
        <f>LN(Parameters!$B$17/Parameters!$B$18)/(2*PI()*Parameters!$B$6*1)</f>
        <v>1.2497168224721593E-3</v>
      </c>
      <c r="BC16" s="15">
        <f t="shared" si="33"/>
        <v>14.922644980298525</v>
      </c>
      <c r="BD16" s="15">
        <f>BC16/(AVERAGE(Parameters!$B$25, Parameters!$B$26))</f>
        <v>279.41326030823171</v>
      </c>
      <c r="BE16" s="15"/>
      <c r="BF16" s="15"/>
      <c r="BG16" s="15"/>
      <c r="BH16" s="15"/>
    </row>
    <row r="17" spans="1:68" x14ac:dyDescent="0.55000000000000004">
      <c r="A17" t="s">
        <v>43</v>
      </c>
      <c r="B17" s="3">
        <v>54.8</v>
      </c>
      <c r="C17" s="3">
        <v>49.1</v>
      </c>
      <c r="D17" s="3">
        <v>46.4</v>
      </c>
      <c r="E17" s="3">
        <v>44.7</v>
      </c>
      <c r="F17" s="3">
        <v>29.8</v>
      </c>
      <c r="G17" s="3">
        <v>31</v>
      </c>
      <c r="H17" s="3">
        <v>32.799999999999997</v>
      </c>
      <c r="I17" s="2">
        <v>1.4</v>
      </c>
      <c r="J17" s="2">
        <v>2.2000000000000002</v>
      </c>
      <c r="K17">
        <f t="shared" si="3"/>
        <v>46.900000000000006</v>
      </c>
      <c r="L17">
        <f t="shared" si="4"/>
        <v>31.299999999999997</v>
      </c>
      <c r="M17">
        <f t="shared" si="5"/>
        <v>988.66892068000004</v>
      </c>
      <c r="N17">
        <f t="shared" si="6"/>
        <v>994.43652771999996</v>
      </c>
      <c r="O17">
        <f t="shared" si="7"/>
        <v>2.3068941482533335E-2</v>
      </c>
      <c r="P17">
        <f t="shared" si="8"/>
        <v>3.6462672683066674E-2</v>
      </c>
      <c r="Q17">
        <f t="shared" si="9"/>
        <v>412.81409404163736</v>
      </c>
      <c r="R17">
        <f t="shared" si="34"/>
        <v>444.88106940609595</v>
      </c>
      <c r="S17">
        <f t="shared" si="10"/>
        <v>32.066975364458585</v>
      </c>
      <c r="T17" s="13">
        <f t="shared" si="35"/>
        <v>16.300000000000004</v>
      </c>
      <c r="U17" s="13">
        <f t="shared" si="36"/>
        <v>14.900000000000002</v>
      </c>
      <c r="V17">
        <f t="shared" si="13"/>
        <v>15.58952428691671</v>
      </c>
      <c r="W17">
        <f t="shared" si="14"/>
        <v>26.480223927556647</v>
      </c>
      <c r="X17">
        <f t="shared" si="15"/>
        <v>28.537180559092246</v>
      </c>
      <c r="Y17">
        <f>W17/Parameters!$B$25</f>
        <v>526.80731653136536</v>
      </c>
      <c r="Z17">
        <f>X17/Parameters!$B$26</f>
        <v>504.6481497650521</v>
      </c>
      <c r="AA17">
        <f t="shared" si="16"/>
        <v>515.7277331482087</v>
      </c>
      <c r="AB17">
        <f>Q17/(V17*AVERAGE(Parameters!$B$25,Parameters!$B$26))</f>
        <v>495.81865085304992</v>
      </c>
      <c r="AC17">
        <f>I17/60000*1/Parameters!$B$9</f>
        <v>0.11605047933784035</v>
      </c>
      <c r="AD17">
        <f>J17/60000*1/Parameters!$B$10</f>
        <v>0.13262911924324616</v>
      </c>
      <c r="AE17">
        <f>Parameters!$B$18</f>
        <v>1.6E-2</v>
      </c>
      <c r="AF17">
        <f>Parameters!$B$22</f>
        <v>8.0000000000000002E-3</v>
      </c>
      <c r="AG17" s="1">
        <f t="shared" si="17"/>
        <v>5.602209869999999E-4</v>
      </c>
      <c r="AH17" s="1">
        <f t="shared" si="18"/>
        <v>7.5715632299999994E-4</v>
      </c>
      <c r="AI17" s="13">
        <f t="shared" si="19"/>
        <v>3276.8640893873339</v>
      </c>
      <c r="AJ17" s="13">
        <f t="shared" si="20"/>
        <v>1393.543043182807</v>
      </c>
      <c r="AK17" s="1">
        <f t="shared" si="21"/>
        <v>0.64058801118999997</v>
      </c>
      <c r="AL17" s="1">
        <f t="shared" si="22"/>
        <v>0.62117821350999991</v>
      </c>
      <c r="AM17" s="15">
        <f t="shared" si="23"/>
        <v>3.5567614665414258</v>
      </c>
      <c r="AN17" s="15">
        <f t="shared" si="24"/>
        <v>4.9572806944418497</v>
      </c>
      <c r="AO17" s="15">
        <f t="shared" si="25"/>
        <v>0.8</v>
      </c>
      <c r="AP17" s="15">
        <f t="shared" si="26"/>
        <v>0.16</v>
      </c>
      <c r="AQ17" s="15">
        <f t="shared" si="1"/>
        <v>0.55741721727312277</v>
      </c>
      <c r="AR17" s="15">
        <f t="shared" si="2"/>
        <v>2.7632736099375497</v>
      </c>
      <c r="AS17" s="15">
        <f t="shared" si="27"/>
        <v>4.4232497568927956E-2</v>
      </c>
      <c r="AT17" s="15">
        <f t="shared" si="28"/>
        <v>19.847025122540934</v>
      </c>
      <c r="AU17" s="15">
        <f t="shared" si="29"/>
        <v>794.61039695540387</v>
      </c>
      <c r="AV17" s="15">
        <f t="shared" si="30"/>
        <v>55.265472198750992</v>
      </c>
      <c r="AW17" s="15">
        <f t="shared" si="37"/>
        <v>6.3283418202446331</v>
      </c>
      <c r="AX17" s="15">
        <f>AW17*(0.86*(Parameters!$B$14/Parameters!$B$17)^(0.16))</f>
        <v>5.7721886336930002</v>
      </c>
      <c r="AY17" s="15">
        <f t="shared" si="32"/>
        <v>448.19472794001814</v>
      </c>
      <c r="AZ17" s="15">
        <f>1/(AU17*Parameters!$B$25)</f>
        <v>2.5036631741433724E-2</v>
      </c>
      <c r="BA17" s="15">
        <f>1/(AY17*Parameters!$B$26)</f>
        <v>3.9455802273811624E-2</v>
      </c>
      <c r="BB17" s="24">
        <f>LN(Parameters!$B$17/Parameters!$B$18)/(2*PI()*Parameters!$B$6*1)</f>
        <v>1.2497168224721593E-3</v>
      </c>
      <c r="BC17" s="15">
        <f t="shared" si="33"/>
        <v>15.210941340639577</v>
      </c>
      <c r="BD17" s="15">
        <f>BC17/(AVERAGE(Parameters!$B$25, Parameters!$B$26))</f>
        <v>284.81135334631182</v>
      </c>
      <c r="BE17" s="15"/>
      <c r="BF17" s="15"/>
      <c r="BG17" s="15"/>
      <c r="BH17" s="15"/>
    </row>
    <row r="18" spans="1:68" x14ac:dyDescent="0.55000000000000004">
      <c r="A18" t="s">
        <v>43</v>
      </c>
      <c r="B18" s="3">
        <v>59.5</v>
      </c>
      <c r="C18" s="3">
        <v>53.9</v>
      </c>
      <c r="D18" s="3">
        <v>50.3</v>
      </c>
      <c r="E18" s="3">
        <v>48.1</v>
      </c>
      <c r="F18" s="3">
        <v>29.9</v>
      </c>
      <c r="G18" s="3">
        <v>31.6</v>
      </c>
      <c r="H18" s="3">
        <v>33.700000000000003</v>
      </c>
      <c r="I18" s="2">
        <v>1.3</v>
      </c>
      <c r="J18" s="2">
        <v>2.2000000000000002</v>
      </c>
      <c r="K18">
        <f t="shared" si="3"/>
        <v>51</v>
      </c>
      <c r="L18">
        <f t="shared" si="4"/>
        <v>31.8</v>
      </c>
      <c r="M18">
        <f t="shared" si="5"/>
        <v>986.87748799999997</v>
      </c>
      <c r="N18">
        <f t="shared" si="6"/>
        <v>994.27742911999997</v>
      </c>
      <c r="O18">
        <f t="shared" si="7"/>
        <v>2.1382345573333336E-2</v>
      </c>
      <c r="P18">
        <f t="shared" si="8"/>
        <v>3.6456839067733338E-2</v>
      </c>
      <c r="Q18">
        <f t="shared" si="9"/>
        <v>504.37959679113044</v>
      </c>
      <c r="R18">
        <f t="shared" si="34"/>
        <v>563.42586505619227</v>
      </c>
      <c r="S18">
        <f t="shared" si="10"/>
        <v>59.046268265061826</v>
      </c>
      <c r="T18" s="13">
        <f t="shared" si="35"/>
        <v>20.199999999999996</v>
      </c>
      <c r="U18" s="13">
        <f t="shared" si="36"/>
        <v>18.200000000000003</v>
      </c>
      <c r="V18">
        <f t="shared" si="13"/>
        <v>19.182626312338382</v>
      </c>
      <c r="W18">
        <f t="shared" si="14"/>
        <v>26.293563174230759</v>
      </c>
      <c r="X18">
        <f t="shared" si="15"/>
        <v>29.371674966831488</v>
      </c>
      <c r="Y18">
        <f>W18/Parameters!$B$25</f>
        <v>523.09381883473145</v>
      </c>
      <c r="Z18">
        <f>X18/Parameters!$B$26</f>
        <v>519.4052508733015</v>
      </c>
      <c r="AA18">
        <f t="shared" si="16"/>
        <v>521.24953485401647</v>
      </c>
      <c r="AB18">
        <f>Q18/(V18*AVERAGE(Parameters!$B$25,Parameters!$B$26))</f>
        <v>492.3235941973943</v>
      </c>
      <c r="AC18">
        <f>I18/60000*1/Parameters!$B$9</f>
        <v>0.10776115938513749</v>
      </c>
      <c r="AD18">
        <f>J18/60000*1/Parameters!$B$10</f>
        <v>0.13262911924324616</v>
      </c>
      <c r="AE18">
        <f>Parameters!$B$18</f>
        <v>1.6E-2</v>
      </c>
      <c r="AF18">
        <f>Parameters!$B$22</f>
        <v>8.0000000000000002E-3</v>
      </c>
      <c r="AG18" s="1">
        <f t="shared" si="17"/>
        <v>5.2192669999999984E-4</v>
      </c>
      <c r="AH18" s="1">
        <f t="shared" si="18"/>
        <v>7.4958570799999998E-4</v>
      </c>
      <c r="AI18" s="13">
        <f t="shared" si="19"/>
        <v>3260.1378631282018</v>
      </c>
      <c r="AJ18" s="13">
        <f t="shared" si="20"/>
        <v>1407.3922520158264</v>
      </c>
      <c r="AK18" s="1">
        <f t="shared" si="21"/>
        <v>0.645065679</v>
      </c>
      <c r="AL18" s="1">
        <f t="shared" si="22"/>
        <v>0.62185861595999992</v>
      </c>
      <c r="AM18" s="15">
        <f t="shared" si="23"/>
        <v>3.2906352918831998</v>
      </c>
      <c r="AN18" s="15">
        <f t="shared" si="24"/>
        <v>4.9023443531931283</v>
      </c>
      <c r="AO18" s="15">
        <f t="shared" si="25"/>
        <v>0.8</v>
      </c>
      <c r="AP18" s="15">
        <f t="shared" si="26"/>
        <v>0.16</v>
      </c>
      <c r="AQ18" s="15">
        <f t="shared" si="1"/>
        <v>0.56295690080633065</v>
      </c>
      <c r="AR18" s="15">
        <f t="shared" si="2"/>
        <v>2.7598085837590189</v>
      </c>
      <c r="AS18" s="15">
        <f t="shared" si="27"/>
        <v>4.4307811226869477E-2</v>
      </c>
      <c r="AT18" s="15">
        <f t="shared" si="28"/>
        <v>19.195823564727679</v>
      </c>
      <c r="AU18" s="15">
        <f t="shared" si="29"/>
        <v>773.91043510907878</v>
      </c>
      <c r="AV18" s="15">
        <f t="shared" si="30"/>
        <v>55.196171675180381</v>
      </c>
      <c r="AW18" s="15">
        <f t="shared" si="37"/>
        <v>6.3263378822856184</v>
      </c>
      <c r="AX18" s="15">
        <f>AW18*(0.86*(Parameters!$B$14/Parameters!$B$17)^(0.16))</f>
        <v>5.7703608076623887</v>
      </c>
      <c r="AY18" s="15">
        <f t="shared" si="32"/>
        <v>448.54357318034505</v>
      </c>
      <c r="AZ18" s="15">
        <f>1/(AU18*Parameters!$B$25)</f>
        <v>2.5706292335601993E-2</v>
      </c>
      <c r="BA18" s="15">
        <f>1/(AY18*Parameters!$B$26)</f>
        <v>3.9425116361339607E-2</v>
      </c>
      <c r="BB18" s="24">
        <f>LN(Parameters!$B$17/Parameters!$B$18)/(2*PI()*Parameters!$B$6*1)</f>
        <v>1.2497168224721593E-3</v>
      </c>
      <c r="BC18" s="15">
        <f t="shared" si="33"/>
        <v>15.064523118209873</v>
      </c>
      <c r="BD18" s="15">
        <f>BC18/(AVERAGE(Parameters!$B$25, Parameters!$B$26))</f>
        <v>282.06980230414524</v>
      </c>
      <c r="BE18" s="15"/>
      <c r="BF18" s="15"/>
      <c r="BG18" s="15"/>
      <c r="BH18" s="15"/>
    </row>
    <row r="19" spans="1:68" x14ac:dyDescent="0.55000000000000004">
      <c r="A19" t="s">
        <v>43</v>
      </c>
      <c r="B19" s="3">
        <v>59.7</v>
      </c>
      <c r="C19" s="3">
        <v>54</v>
      </c>
      <c r="D19" s="3">
        <v>49.6</v>
      </c>
      <c r="E19" s="3">
        <v>48.2</v>
      </c>
      <c r="F19" s="3">
        <v>29.9</v>
      </c>
      <c r="G19" s="3">
        <v>31.4</v>
      </c>
      <c r="H19" s="3">
        <v>33.4</v>
      </c>
      <c r="I19" s="2">
        <v>1.2</v>
      </c>
      <c r="J19" s="2">
        <v>2.2000000000000002</v>
      </c>
      <c r="K19">
        <f t="shared" si="3"/>
        <v>51.1</v>
      </c>
      <c r="L19">
        <f t="shared" si="4"/>
        <v>31.65</v>
      </c>
      <c r="M19">
        <f t="shared" si="5"/>
        <v>986.83236148000003</v>
      </c>
      <c r="N19">
        <f t="shared" si="6"/>
        <v>994.32533782999997</v>
      </c>
      <c r="O19">
        <f t="shared" si="7"/>
        <v>1.9736647229599998E-2</v>
      </c>
      <c r="P19">
        <f t="shared" si="8"/>
        <v>3.6458595720433334E-2</v>
      </c>
      <c r="Q19">
        <f t="shared" si="9"/>
        <v>465.55987684014229</v>
      </c>
      <c r="R19">
        <f t="shared" si="34"/>
        <v>518.96988078250831</v>
      </c>
      <c r="S19">
        <f t="shared" si="10"/>
        <v>53.410003942366018</v>
      </c>
      <c r="T19" s="13">
        <f t="shared" si="35"/>
        <v>20.6</v>
      </c>
      <c r="U19" s="13">
        <f t="shared" si="36"/>
        <v>18.300000000000004</v>
      </c>
      <c r="V19">
        <f t="shared" si="13"/>
        <v>19.427313879297962</v>
      </c>
      <c r="W19">
        <f t="shared" si="14"/>
        <v>23.964191845186065</v>
      </c>
      <c r="X19">
        <f t="shared" si="15"/>
        <v>26.713414114111288</v>
      </c>
      <c r="Y19">
        <f>W19/Parameters!$B$25</f>
        <v>476.75244867048127</v>
      </c>
      <c r="Z19">
        <f>X19/Parameters!$B$26</f>
        <v>472.39687812462404</v>
      </c>
      <c r="AA19">
        <f t="shared" si="16"/>
        <v>474.57466339755263</v>
      </c>
      <c r="AB19">
        <f>Q19/(V19*AVERAGE(Parameters!$B$25,Parameters!$B$26))</f>
        <v>448.7081869839825</v>
      </c>
      <c r="AC19">
        <f>I19/60000*1/Parameters!$B$9</f>
        <v>9.9471839432434581E-2</v>
      </c>
      <c r="AD19">
        <f>J19/60000*1/Parameters!$B$10</f>
        <v>0.13262911924324616</v>
      </c>
      <c r="AE19">
        <f>Parameters!$B$18</f>
        <v>1.6E-2</v>
      </c>
      <c r="AF19">
        <f>Parameters!$B$22</f>
        <v>8.0000000000000002E-3</v>
      </c>
      <c r="AG19" s="1">
        <f t="shared" si="17"/>
        <v>5.2106270699999986E-4</v>
      </c>
      <c r="AH19" s="1">
        <f t="shared" si="18"/>
        <v>7.5184814075000004E-4</v>
      </c>
      <c r="AI19" s="13">
        <f t="shared" si="19"/>
        <v>3014.2101175663324</v>
      </c>
      <c r="AJ19" s="13">
        <f t="shared" si="20"/>
        <v>1403.2247912838757</v>
      </c>
      <c r="AK19" s="1">
        <f t="shared" si="21"/>
        <v>0.64517164759000001</v>
      </c>
      <c r="AL19" s="1">
        <f t="shared" si="22"/>
        <v>0.62165490057749995</v>
      </c>
      <c r="AM19" s="15">
        <f t="shared" si="23"/>
        <v>3.2846484145498365</v>
      </c>
      <c r="AN19" s="15">
        <f t="shared" si="24"/>
        <v>4.9187521655337569</v>
      </c>
      <c r="AO19" s="15">
        <f t="shared" si="25"/>
        <v>0.8</v>
      </c>
      <c r="AP19" s="15">
        <f t="shared" si="26"/>
        <v>0.16</v>
      </c>
      <c r="AQ19" s="15">
        <f t="shared" si="1"/>
        <v>0.56128991651355031</v>
      </c>
      <c r="AR19" s="15">
        <f t="shared" si="2"/>
        <v>2.7608459923432873</v>
      </c>
      <c r="AS19" s="15">
        <f t="shared" si="27"/>
        <v>4.5486585483990323E-2</v>
      </c>
      <c r="AT19" s="15">
        <f t="shared" si="28"/>
        <v>17.428172279447747</v>
      </c>
      <c r="AU19" s="15">
        <f t="shared" si="29"/>
        <v>702.76016400085427</v>
      </c>
      <c r="AV19" s="15">
        <f t="shared" si="30"/>
        <v>55.216919846865743</v>
      </c>
      <c r="AW19" s="15">
        <f t="shared" si="37"/>
        <v>6.3269379792013076</v>
      </c>
      <c r="AX19" s="15">
        <f>AW19*(0.86*(Parameters!$B$14/Parameters!$B$17)^(0.16))</f>
        <v>5.7709081663061292</v>
      </c>
      <c r="AY19" s="15">
        <f t="shared" si="32"/>
        <v>448.43916779586488</v>
      </c>
      <c r="AZ19" s="15">
        <f>1/(AU19*Parameters!$B$25)</f>
        <v>2.8308900967333052E-2</v>
      </c>
      <c r="BA19" s="15">
        <f>1/(AY19*Parameters!$B$26)</f>
        <v>3.943429529736367E-2</v>
      </c>
      <c r="BB19" s="24">
        <f>LN(Parameters!$B$17/Parameters!$B$18)/(2*PI()*Parameters!$B$6*1)</f>
        <v>1.2497168224721593E-3</v>
      </c>
      <c r="BC19" s="15">
        <f t="shared" si="33"/>
        <v>14.494242310605921</v>
      </c>
      <c r="BD19" s="15">
        <f>BC19/(AVERAGE(Parameters!$B$25, Parameters!$B$26))</f>
        <v>271.39180118877965</v>
      </c>
      <c r="BE19" s="15"/>
      <c r="BF19" s="15"/>
      <c r="BG19" s="15"/>
      <c r="BH19" s="15"/>
      <c r="BK19" s="25" t="s">
        <v>42</v>
      </c>
      <c r="BL19" s="25"/>
      <c r="BO19" s="25" t="s">
        <v>43</v>
      </c>
      <c r="BP19" s="25"/>
    </row>
    <row r="20" spans="1:68" x14ac:dyDescent="0.55000000000000004">
      <c r="A20" t="s">
        <v>43</v>
      </c>
      <c r="B20" s="3">
        <v>59.5</v>
      </c>
      <c r="C20" s="3">
        <v>54.1</v>
      </c>
      <c r="D20" s="3">
        <v>50.3</v>
      </c>
      <c r="E20" s="3">
        <v>48.4</v>
      </c>
      <c r="F20" s="3">
        <v>29.9</v>
      </c>
      <c r="G20" s="3">
        <v>31.6</v>
      </c>
      <c r="H20" s="3">
        <v>33.6</v>
      </c>
      <c r="I20" s="2">
        <v>1.3</v>
      </c>
      <c r="J20" s="2">
        <v>2.2000000000000002</v>
      </c>
      <c r="K20">
        <f t="shared" si="3"/>
        <v>51.25</v>
      </c>
      <c r="L20">
        <f t="shared" si="4"/>
        <v>31.75</v>
      </c>
      <c r="M20">
        <f t="shared" si="5"/>
        <v>986.76454375000003</v>
      </c>
      <c r="N20">
        <f t="shared" si="6"/>
        <v>994.29341575000001</v>
      </c>
      <c r="O20">
        <f t="shared" si="7"/>
        <v>2.137989844791667E-2</v>
      </c>
      <c r="P20">
        <f t="shared" si="8"/>
        <v>3.6457425244166668E-2</v>
      </c>
      <c r="Q20">
        <f t="shared" si="9"/>
        <v>495.6266678297597</v>
      </c>
      <c r="R20">
        <f t="shared" si="34"/>
        <v>548.60768933169595</v>
      </c>
      <c r="S20">
        <f t="shared" si="10"/>
        <v>52.981021501936254</v>
      </c>
      <c r="T20" s="13">
        <f t="shared" si="35"/>
        <v>20.5</v>
      </c>
      <c r="U20" s="13">
        <f t="shared" si="36"/>
        <v>18.5</v>
      </c>
      <c r="V20">
        <f t="shared" si="13"/>
        <v>19.482893978449251</v>
      </c>
      <c r="W20">
        <f t="shared" si="14"/>
        <v>25.439068157840957</v>
      </c>
      <c r="X20">
        <f t="shared" si="15"/>
        <v>28.158429129601135</v>
      </c>
      <c r="Y20">
        <f>W20/Parameters!$B$25</f>
        <v>506.09418062150303</v>
      </c>
      <c r="Z20">
        <f>X20/Parameters!$B$26</f>
        <v>497.95035396431524</v>
      </c>
      <c r="AA20">
        <f t="shared" si="16"/>
        <v>502.02226729290913</v>
      </c>
      <c r="AB20">
        <f>Q20/(V20*AVERAGE(Parameters!$B$25,Parameters!$B$26))</f>
        <v>476.3239347025912</v>
      </c>
      <c r="AC20">
        <f>I20/60000*1/Parameters!$B$9</f>
        <v>0.10776115938513749</v>
      </c>
      <c r="AD20">
        <f>J20/60000*1/Parameters!$B$10</f>
        <v>0.13262911924324616</v>
      </c>
      <c r="AE20">
        <f>Parameters!$B$18</f>
        <v>1.6E-2</v>
      </c>
      <c r="AF20">
        <f>Parameters!$B$22</f>
        <v>8.0000000000000002E-3</v>
      </c>
      <c r="AG20" s="1">
        <f t="shared" si="17"/>
        <v>5.1977296874999987E-4</v>
      </c>
      <c r="AH20" s="1">
        <f t="shared" si="18"/>
        <v>7.5033901874999997E-4</v>
      </c>
      <c r="AI20" s="13">
        <f t="shared" si="19"/>
        <v>3273.2719142473488</v>
      </c>
      <c r="AJ20" s="13">
        <f t="shared" si="20"/>
        <v>1406.0018919977699</v>
      </c>
      <c r="AK20" s="1">
        <f t="shared" si="21"/>
        <v>0.64533031093749993</v>
      </c>
      <c r="AL20" s="1">
        <f t="shared" si="22"/>
        <v>0.62179074943750001</v>
      </c>
      <c r="AM20" s="15">
        <f t="shared" si="23"/>
        <v>3.2757126514563826</v>
      </c>
      <c r="AN20" s="15">
        <f t="shared" si="24"/>
        <v>4.9078066729311924</v>
      </c>
      <c r="AO20" s="15">
        <f t="shared" si="25"/>
        <v>0.8</v>
      </c>
      <c r="AP20" s="15">
        <f t="shared" si="26"/>
        <v>0.16</v>
      </c>
      <c r="AQ20" s="15">
        <f t="shared" si="1"/>
        <v>0.56240075679910795</v>
      </c>
      <c r="AR20" s="15">
        <f t="shared" si="2"/>
        <v>2.7601541870802149</v>
      </c>
      <c r="AS20" s="15">
        <f t="shared" si="27"/>
        <v>4.4248623516148097E-2</v>
      </c>
      <c r="AT20" s="15">
        <f t="shared" si="28"/>
        <v>19.257751230696357</v>
      </c>
      <c r="AU20" s="15">
        <f t="shared" si="29"/>
        <v>776.72566185389394</v>
      </c>
      <c r="AV20" s="15">
        <f t="shared" si="30"/>
        <v>55.203083741604296</v>
      </c>
      <c r="AW20" s="15">
        <f t="shared" si="37"/>
        <v>6.3265378114756716</v>
      </c>
      <c r="AX20" s="15">
        <f>AW20*(0.86*(Parameters!$B$14/Parameters!$B$17)^(0.16))</f>
        <v>5.7705431664905227</v>
      </c>
      <c r="AY20" s="15">
        <f t="shared" si="32"/>
        <v>448.50879501919832</v>
      </c>
      <c r="AZ20" s="15">
        <f>1/(AU20*Parameters!$B$25)</f>
        <v>2.5613120389254177E-2</v>
      </c>
      <c r="BA20" s="15">
        <f>1/(AY20*Parameters!$B$26)</f>
        <v>3.942817345423337E-2</v>
      </c>
      <c r="BB20" s="24">
        <f>LN(Parameters!$B$17/Parameters!$B$18)/(2*PI()*Parameters!$B$6*1)</f>
        <v>1.2497168224721593E-3</v>
      </c>
      <c r="BC20" s="15">
        <f t="shared" si="33"/>
        <v>15.085001570408972</v>
      </c>
      <c r="BD20" s="15">
        <f>BC20/(AVERAGE(Parameters!$B$25, Parameters!$B$26))</f>
        <v>282.4532431152461</v>
      </c>
      <c r="BE20" s="15"/>
      <c r="BF20" s="15"/>
      <c r="BG20" s="15"/>
      <c r="BH20" s="15"/>
      <c r="BK20" t="s">
        <v>92</v>
      </c>
      <c r="BL20" t="s">
        <v>93</v>
      </c>
      <c r="BO20" t="s">
        <v>92</v>
      </c>
      <c r="BP20" t="s">
        <v>96</v>
      </c>
    </row>
    <row r="21" spans="1:68" x14ac:dyDescent="0.55000000000000004">
      <c r="A21" t="s">
        <v>43</v>
      </c>
      <c r="B21" s="3">
        <v>59.6</v>
      </c>
      <c r="C21" s="3">
        <v>54.3</v>
      </c>
      <c r="D21" s="3">
        <v>50.6</v>
      </c>
      <c r="E21" s="3">
        <v>48.5</v>
      </c>
      <c r="F21" s="3">
        <v>29.8</v>
      </c>
      <c r="G21" s="3">
        <v>31.6</v>
      </c>
      <c r="H21" s="3">
        <v>33.700000000000003</v>
      </c>
      <c r="I21" s="2">
        <v>1.4</v>
      </c>
      <c r="J21" s="2">
        <v>2.2000000000000002</v>
      </c>
      <c r="K21">
        <f t="shared" si="3"/>
        <v>51.4</v>
      </c>
      <c r="L21">
        <f t="shared" si="4"/>
        <v>31.75</v>
      </c>
      <c r="M21">
        <f t="shared" si="5"/>
        <v>986.69657247999999</v>
      </c>
      <c r="N21">
        <f t="shared" si="6"/>
        <v>994.29341575000001</v>
      </c>
      <c r="O21">
        <f t="shared" si="7"/>
        <v>2.3022920024533329E-2</v>
      </c>
      <c r="P21">
        <f t="shared" si="8"/>
        <v>3.6457425244166668E-2</v>
      </c>
      <c r="Q21">
        <f t="shared" si="9"/>
        <v>543.07845129070665</v>
      </c>
      <c r="R21">
        <f t="shared" si="34"/>
        <v>578.262159025301</v>
      </c>
      <c r="S21">
        <f t="shared" si="10"/>
        <v>35.18370773459435</v>
      </c>
      <c r="T21" s="13">
        <f t="shared" si="35"/>
        <v>20.599999999999994</v>
      </c>
      <c r="U21" s="13">
        <f t="shared" si="36"/>
        <v>18.7</v>
      </c>
      <c r="V21">
        <f t="shared" si="13"/>
        <v>19.634680861580158</v>
      </c>
      <c r="W21">
        <f t="shared" si="14"/>
        <v>27.659143284236748</v>
      </c>
      <c r="X21">
        <f t="shared" si="15"/>
        <v>29.451059739748867</v>
      </c>
      <c r="Y21">
        <f>W21/Parameters!$B$25</f>
        <v>550.26117192165987</v>
      </c>
      <c r="Z21">
        <f>X21/Parameters!$B$26</f>
        <v>520.80908187508237</v>
      </c>
      <c r="AA21">
        <f t="shared" si="16"/>
        <v>535.53512689837112</v>
      </c>
      <c r="AB21">
        <f>Q21/(V21*AVERAGE(Parameters!$B$25,Parameters!$B$26))</f>
        <v>517.89286769097407</v>
      </c>
      <c r="AC21">
        <f>I21/60000*1/Parameters!$B$9</f>
        <v>0.11605047933784035</v>
      </c>
      <c r="AD21">
        <f>J21/60000*1/Parameters!$B$10</f>
        <v>0.13262911924324616</v>
      </c>
      <c r="AE21">
        <f>Parameters!$B$18</f>
        <v>1.6E-2</v>
      </c>
      <c r="AF21">
        <f>Parameters!$B$22</f>
        <v>8.0000000000000002E-3</v>
      </c>
      <c r="AG21" s="1">
        <f t="shared" si="17"/>
        <v>5.1849073200000003E-4</v>
      </c>
      <c r="AH21" s="1">
        <f t="shared" si="18"/>
        <v>7.5033901874999997E-4</v>
      </c>
      <c r="AI21" s="13">
        <f t="shared" si="19"/>
        <v>3533.5361850921763</v>
      </c>
      <c r="AJ21" s="13">
        <f t="shared" si="20"/>
        <v>1406.0018919977699</v>
      </c>
      <c r="AK21" s="1">
        <f t="shared" si="21"/>
        <v>0.64548862683999997</v>
      </c>
      <c r="AL21" s="1">
        <f t="shared" si="22"/>
        <v>0.62179074943750001</v>
      </c>
      <c r="AM21" s="15">
        <f t="shared" si="23"/>
        <v>3.2668303039934008</v>
      </c>
      <c r="AN21" s="15">
        <f t="shared" si="24"/>
        <v>4.9078066729311924</v>
      </c>
      <c r="AO21" s="15">
        <f t="shared" si="25"/>
        <v>0.8</v>
      </c>
      <c r="AP21" s="15">
        <f t="shared" si="26"/>
        <v>0.16</v>
      </c>
      <c r="AQ21" s="15">
        <f t="shared" si="1"/>
        <v>0.56240075679910795</v>
      </c>
      <c r="AR21" s="15">
        <f t="shared" si="2"/>
        <v>2.7601541870802149</v>
      </c>
      <c r="AS21" s="15">
        <f t="shared" si="27"/>
        <v>4.314455034911012E-2</v>
      </c>
      <c r="AT21" s="15">
        <f t="shared" si="28"/>
        <v>21.047585110099572</v>
      </c>
      <c r="AU21" s="15">
        <f t="shared" si="29"/>
        <v>849.12355068851264</v>
      </c>
      <c r="AV21" s="15">
        <f t="shared" si="30"/>
        <v>55.203083741604296</v>
      </c>
      <c r="AW21" s="15">
        <f t="shared" si="37"/>
        <v>6.3265378114756716</v>
      </c>
      <c r="AX21" s="15">
        <f>AW21*(0.86*(Parameters!$B$14/Parameters!$B$17)^(0.16))</f>
        <v>5.7705431664905227</v>
      </c>
      <c r="AY21" s="15">
        <f t="shared" si="32"/>
        <v>448.50879501919832</v>
      </c>
      <c r="AZ21" s="15">
        <f>1/(AU21*Parameters!$B$25)</f>
        <v>2.3429297032635063E-2</v>
      </c>
      <c r="BA21" s="15">
        <f>1/(AY21*Parameters!$B$26)</f>
        <v>3.942817345423337E-2</v>
      </c>
      <c r="BB21" s="24">
        <f>LN(Parameters!$B$17/Parameters!$B$18)/(2*PI()*Parameters!$B$6*1)</f>
        <v>1.2497168224721593E-3</v>
      </c>
      <c r="BC21" s="15">
        <f t="shared" si="33"/>
        <v>15.598874977537772</v>
      </c>
      <c r="BD21" s="15">
        <f>BC21/(AVERAGE(Parameters!$B$25, Parameters!$B$26))</f>
        <v>292.0750658056017</v>
      </c>
      <c r="BE21" s="15"/>
      <c r="BF21" s="15"/>
      <c r="BG21" s="15"/>
      <c r="BH21" s="15"/>
      <c r="BK21" t="s">
        <v>94</v>
      </c>
      <c r="BL21" t="s">
        <v>95</v>
      </c>
      <c r="BO21" t="s">
        <v>94</v>
      </c>
      <c r="BP21" t="s">
        <v>97</v>
      </c>
    </row>
    <row r="22" spans="1:68" x14ac:dyDescent="0.55000000000000004">
      <c r="A22" t="s">
        <v>43</v>
      </c>
      <c r="B22" s="3">
        <v>59.9</v>
      </c>
      <c r="C22" s="3">
        <v>54.4</v>
      </c>
      <c r="D22" s="3">
        <v>50.7</v>
      </c>
      <c r="E22" s="3">
        <v>48.8</v>
      </c>
      <c r="F22" s="3">
        <v>29.8</v>
      </c>
      <c r="G22" s="3">
        <v>31.8</v>
      </c>
      <c r="H22" s="3">
        <v>34</v>
      </c>
      <c r="I22" s="2">
        <v>1.4</v>
      </c>
      <c r="J22" s="2">
        <v>2</v>
      </c>
      <c r="K22">
        <f t="shared" si="3"/>
        <v>51.599999999999994</v>
      </c>
      <c r="L22">
        <f t="shared" si="4"/>
        <v>31.9</v>
      </c>
      <c r="M22">
        <f t="shared" si="5"/>
        <v>986.60570528000005</v>
      </c>
      <c r="N22">
        <f t="shared" si="6"/>
        <v>994.24540467999998</v>
      </c>
      <c r="O22">
        <f t="shared" si="7"/>
        <v>2.3020799789866663E-2</v>
      </c>
      <c r="P22">
        <f t="shared" si="8"/>
        <v>3.3141513489333335E-2</v>
      </c>
      <c r="Q22">
        <f t="shared" si="9"/>
        <v>524.30331937417134</v>
      </c>
      <c r="R22">
        <f t="shared" si="34"/>
        <v>566.10344851669834</v>
      </c>
      <c r="S22">
        <f t="shared" si="10"/>
        <v>41.800129142526998</v>
      </c>
      <c r="T22" s="13">
        <f t="shared" si="35"/>
        <v>20.399999999999999</v>
      </c>
      <c r="U22" s="13">
        <f t="shared" si="36"/>
        <v>18.999999999999996</v>
      </c>
      <c r="V22">
        <f t="shared" si="13"/>
        <v>19.691706174481979</v>
      </c>
      <c r="W22">
        <f t="shared" si="14"/>
        <v>26.625591237675675</v>
      </c>
      <c r="X22">
        <f t="shared" si="15"/>
        <v>28.748318886166327</v>
      </c>
      <c r="Y22">
        <f>W22/Parameters!$B$25</f>
        <v>529.6993072775424</v>
      </c>
      <c r="Z22">
        <f>X22/Parameters!$B$26</f>
        <v>508.38189514616249</v>
      </c>
      <c r="AA22">
        <f t="shared" si="16"/>
        <v>519.04060121185239</v>
      </c>
      <c r="AB22">
        <f>Q22/(V22*AVERAGE(Parameters!$B$25,Parameters!$B$26))</f>
        <v>498.5405244965105</v>
      </c>
      <c r="AC22">
        <f>I22/60000*1/Parameters!$B$9</f>
        <v>0.11605047933784035</v>
      </c>
      <c r="AD22">
        <f>J22/60000*1/Parameters!$B$10</f>
        <v>0.12057192658476923</v>
      </c>
      <c r="AE22">
        <f>Parameters!$B$18</f>
        <v>1.6E-2</v>
      </c>
      <c r="AF22">
        <f>Parameters!$B$22</f>
        <v>8.0000000000000002E-3</v>
      </c>
      <c r="AG22" s="1">
        <f t="shared" si="17"/>
        <v>5.1679275200000011E-4</v>
      </c>
      <c r="AH22" s="1">
        <f t="shared" si="18"/>
        <v>7.4808158700000009E-4</v>
      </c>
      <c r="AI22" s="13">
        <f t="shared" si="19"/>
        <v>3544.8195299826352</v>
      </c>
      <c r="AJ22" s="13">
        <f t="shared" si="20"/>
        <v>1281.9787148732066</v>
      </c>
      <c r="AK22" s="1">
        <f t="shared" si="21"/>
        <v>0.64569917424000001</v>
      </c>
      <c r="AL22" s="1">
        <f t="shared" si="22"/>
        <v>0.62199423318999991</v>
      </c>
      <c r="AM22" s="15">
        <f t="shared" si="23"/>
        <v>3.2550701723567386</v>
      </c>
      <c r="AN22" s="15">
        <f t="shared" si="24"/>
        <v>4.8914405503814811</v>
      </c>
      <c r="AO22" s="15">
        <f t="shared" si="25"/>
        <v>0.8</v>
      </c>
      <c r="AP22" s="15">
        <f t="shared" si="26"/>
        <v>0.16</v>
      </c>
      <c r="AQ22" s="15">
        <f t="shared" si="1"/>
        <v>0.5127914859492827</v>
      </c>
      <c r="AR22" s="15">
        <f t="shared" si="2"/>
        <v>2.5082890682626968</v>
      </c>
      <c r="AS22" s="15">
        <f t="shared" si="27"/>
        <v>4.3099443638970655E-2</v>
      </c>
      <c r="AT22" s="15">
        <f t="shared" si="28"/>
        <v>21.09805268443964</v>
      </c>
      <c r="AU22" s="15">
        <f t="shared" si="29"/>
        <v>851.43719977591809</v>
      </c>
      <c r="AV22" s="15">
        <f t="shared" si="30"/>
        <v>50.165781365253935</v>
      </c>
      <c r="AW22" s="15">
        <f t="shared" si="37"/>
        <v>6.1774315565105677</v>
      </c>
      <c r="AX22" s="15">
        <f>AW22*(0.86*(Parameters!$B$14/Parameters!$B$17)^(0.16))</f>
        <v>5.6345408052765968</v>
      </c>
      <c r="AY22" s="15">
        <f t="shared" si="32"/>
        <v>438.08148594447266</v>
      </c>
      <c r="AZ22" s="15">
        <f>1/(AU22*Parameters!$B$25)</f>
        <v>2.3365631536562806E-2</v>
      </c>
      <c r="BA22" s="15">
        <f>1/(AY22*Parameters!$B$26)</f>
        <v>4.0366651258135121E-2</v>
      </c>
      <c r="BB22" s="24">
        <f>LN(Parameters!$B$17/Parameters!$B$18)/(2*PI()*Parameters!$B$6*1)</f>
        <v>1.2497168224721593E-3</v>
      </c>
      <c r="BC22" s="15">
        <f t="shared" si="33"/>
        <v>15.388877010423235</v>
      </c>
      <c r="BD22" s="15">
        <f>BC22/(AVERAGE(Parameters!$B$25, Parameters!$B$26))</f>
        <v>288.14304056965727</v>
      </c>
      <c r="BE22" s="15"/>
      <c r="BF22" s="15"/>
      <c r="BG22" s="15"/>
      <c r="BH22" s="15"/>
    </row>
    <row r="23" spans="1:68" x14ac:dyDescent="0.55000000000000004">
      <c r="A23" t="s">
        <v>43</v>
      </c>
      <c r="B23" s="3">
        <v>59.9</v>
      </c>
      <c r="C23" s="3">
        <v>54.4</v>
      </c>
      <c r="D23" s="3">
        <v>50.9</v>
      </c>
      <c r="E23" s="3">
        <v>49</v>
      </c>
      <c r="F23" s="3">
        <v>29.9</v>
      </c>
      <c r="G23" s="3">
        <v>32.299999999999997</v>
      </c>
      <c r="H23" s="3">
        <v>34.5</v>
      </c>
      <c r="I23" s="2">
        <v>1.4</v>
      </c>
      <c r="J23" s="2">
        <v>1.8</v>
      </c>
      <c r="K23">
        <f t="shared" si="3"/>
        <v>51.7</v>
      </c>
      <c r="L23">
        <f t="shared" si="4"/>
        <v>32.200000000000003</v>
      </c>
      <c r="M23">
        <f t="shared" si="5"/>
        <v>986.56016932</v>
      </c>
      <c r="N23">
        <f t="shared" si="6"/>
        <v>994.14892192000002</v>
      </c>
      <c r="O23">
        <f t="shared" si="7"/>
        <v>2.301973728413333E-2</v>
      </c>
      <c r="P23">
        <f t="shared" si="8"/>
        <v>2.9824467657599999E-2</v>
      </c>
      <c r="Q23">
        <f t="shared" si="9"/>
        <v>505.55486628667927</v>
      </c>
      <c r="R23">
        <f t="shared" si="34"/>
        <v>557.96210583191248</v>
      </c>
      <c r="S23">
        <f t="shared" si="10"/>
        <v>52.40723954523321</v>
      </c>
      <c r="T23" s="13">
        <f t="shared" si="35"/>
        <v>19.899999999999999</v>
      </c>
      <c r="U23" s="13">
        <f t="shared" si="36"/>
        <v>19.100000000000001</v>
      </c>
      <c r="V23">
        <f t="shared" si="13"/>
        <v>19.497264650306693</v>
      </c>
      <c r="W23">
        <f t="shared" si="14"/>
        <v>25.929527826290588</v>
      </c>
      <c r="X23">
        <f t="shared" si="15"/>
        <v>28.617455619505872</v>
      </c>
      <c r="Y23">
        <f>W23/Parameters!$B$25</f>
        <v>515.85156569912442</v>
      </c>
      <c r="Z23">
        <f>X23/Parameters!$B$26</f>
        <v>506.06772450636646</v>
      </c>
      <c r="AA23">
        <f t="shared" si="16"/>
        <v>510.95964510274541</v>
      </c>
      <c r="AB23">
        <f>Q23/(V23*AVERAGE(Parameters!$B$25,Parameters!$B$26))</f>
        <v>485.50735595211717</v>
      </c>
      <c r="AC23">
        <f>I23/60000*1/Parameters!$B$9</f>
        <v>0.11605047933784035</v>
      </c>
      <c r="AD23">
        <f>J23/60000*1/Parameters!$B$10</f>
        <v>0.10851473392629231</v>
      </c>
      <c r="AE23">
        <f>Parameters!$B$18</f>
        <v>1.6E-2</v>
      </c>
      <c r="AF23">
        <f>Parameters!$B$22</f>
        <v>8.0000000000000002E-3</v>
      </c>
      <c r="AG23" s="1">
        <f t="shared" si="17"/>
        <v>5.1594876299999989E-4</v>
      </c>
      <c r="AH23" s="1">
        <f t="shared" si="18"/>
        <v>7.4358922799999997E-4</v>
      </c>
      <c r="AI23" s="13">
        <f t="shared" si="19"/>
        <v>3550.4542700557095</v>
      </c>
      <c r="AJ23" s="13">
        <f t="shared" si="20"/>
        <v>1160.6387148497979</v>
      </c>
      <c r="AK23" s="1">
        <f t="shared" si="21"/>
        <v>0.64580421630999996</v>
      </c>
      <c r="AL23" s="1">
        <f t="shared" si="22"/>
        <v>0.62240015835999996</v>
      </c>
      <c r="AM23" s="15">
        <f t="shared" si="23"/>
        <v>3.2492256416513392</v>
      </c>
      <c r="AN23" s="15">
        <f t="shared" si="24"/>
        <v>4.8588955990059333</v>
      </c>
      <c r="AO23" s="15">
        <f t="shared" si="25"/>
        <v>0.8</v>
      </c>
      <c r="AP23" s="15">
        <f t="shared" si="26"/>
        <v>0.16</v>
      </c>
      <c r="AQ23" s="15">
        <f t="shared" si="1"/>
        <v>0.46425548593991917</v>
      </c>
      <c r="AR23" s="15">
        <f t="shared" si="2"/>
        <v>2.2557689374478342</v>
      </c>
      <c r="AS23" s="15">
        <f t="shared" si="27"/>
        <v>4.3076998116089213E-2</v>
      </c>
      <c r="AT23" s="15">
        <f t="shared" si="28"/>
        <v>21.123185281657548</v>
      </c>
      <c r="AU23" s="15">
        <f t="shared" si="29"/>
        <v>852.59013229948619</v>
      </c>
      <c r="AV23" s="15">
        <f t="shared" si="30"/>
        <v>45.11537874895668</v>
      </c>
      <c r="AW23" s="15">
        <f t="shared" si="37"/>
        <v>6.0204544347563962</v>
      </c>
      <c r="AX23" s="15">
        <f>AW23*(0.86*(Parameters!$B$14/Parameters!$B$17)^(0.16))</f>
        <v>5.4913592920655665</v>
      </c>
      <c r="AY23" s="15">
        <f t="shared" si="32"/>
        <v>427.22786162415821</v>
      </c>
      <c r="AZ23" s="15">
        <f>1/(AU23*Parameters!$B$25)</f>
        <v>2.3334034881251353E-2</v>
      </c>
      <c r="BA23" s="15">
        <f>1/(AY23*Parameters!$B$26)</f>
        <v>4.1392156631683004E-2</v>
      </c>
      <c r="BB23" s="24">
        <f>LN(Parameters!$B$17/Parameters!$B$18)/(2*PI()*Parameters!$B$6*1)</f>
        <v>1.2497168224721593E-3</v>
      </c>
      <c r="BC23" s="15">
        <f t="shared" si="33"/>
        <v>15.157047856260311</v>
      </c>
      <c r="BD23" s="15">
        <f>BC23/(AVERAGE(Parameters!$B$25, Parameters!$B$26))</f>
        <v>283.80224576520521</v>
      </c>
      <c r="BE23" s="15"/>
      <c r="BF23" s="15"/>
      <c r="BG23" s="15"/>
      <c r="BH23" s="15"/>
    </row>
    <row r="24" spans="1:68" x14ac:dyDescent="0.55000000000000004">
      <c r="A24" t="s">
        <v>43</v>
      </c>
      <c r="B24" s="3">
        <v>59.7</v>
      </c>
      <c r="C24" s="3">
        <v>54.3</v>
      </c>
      <c r="D24" s="3">
        <v>50.5</v>
      </c>
      <c r="E24" s="3">
        <v>48.4</v>
      </c>
      <c r="F24" s="3">
        <v>30.1</v>
      </c>
      <c r="G24" s="3">
        <v>31.5</v>
      </c>
      <c r="H24" s="3">
        <v>33.5</v>
      </c>
      <c r="I24" s="2">
        <v>1.4</v>
      </c>
      <c r="J24" s="2">
        <v>2.5</v>
      </c>
      <c r="K24">
        <f t="shared" si="3"/>
        <v>51.349999999999994</v>
      </c>
      <c r="L24">
        <f t="shared" si="4"/>
        <v>31.8</v>
      </c>
      <c r="M24">
        <f t="shared" si="5"/>
        <v>986.71924663000004</v>
      </c>
      <c r="N24">
        <f t="shared" si="6"/>
        <v>994.27742911999997</v>
      </c>
      <c r="O24">
        <f t="shared" si="7"/>
        <v>2.3023449088033332E-2</v>
      </c>
      <c r="P24">
        <f t="shared" si="8"/>
        <v>4.1428226213333329E-2</v>
      </c>
      <c r="Q24">
        <f t="shared" si="9"/>
        <v>552.45456790208607</v>
      </c>
      <c r="R24">
        <f t="shared" si="34"/>
        <v>572.8612264327304</v>
      </c>
      <c r="S24">
        <f t="shared" si="10"/>
        <v>20.406658530644336</v>
      </c>
      <c r="T24" s="13">
        <f t="shared" si="35"/>
        <v>20.799999999999997</v>
      </c>
      <c r="U24" s="13">
        <f t="shared" si="36"/>
        <v>18.299999999999997</v>
      </c>
      <c r="V24">
        <f t="shared" si="13"/>
        <v>19.523329803035903</v>
      </c>
      <c r="W24">
        <f t="shared" si="14"/>
        <v>28.297148768965563</v>
      </c>
      <c r="X24">
        <f t="shared" si="15"/>
        <v>29.342393547213945</v>
      </c>
      <c r="Y24">
        <f>W24/Parameters!$B$25</f>
        <v>562.95388774845128</v>
      </c>
      <c r="Z24">
        <f>X24/Parameters!$B$26</f>
        <v>518.88744168742585</v>
      </c>
      <c r="AA24">
        <f t="shared" si="16"/>
        <v>540.92066471793851</v>
      </c>
      <c r="AB24">
        <f>Q24/(V24*AVERAGE(Parameters!$B$25,Parameters!$B$26))</f>
        <v>529.8389531750131</v>
      </c>
      <c r="AC24">
        <f>I24/60000*1/Parameters!$B$9</f>
        <v>0.11605047933784035</v>
      </c>
      <c r="AD24">
        <f>J24/60000*1/Parameters!$B$10</f>
        <v>0.15071490823096154</v>
      </c>
      <c r="AE24">
        <f>Parameters!$B$18</f>
        <v>1.6E-2</v>
      </c>
      <c r="AF24">
        <f>Parameters!$B$22</f>
        <v>8.0000000000000002E-3</v>
      </c>
      <c r="AG24" s="1">
        <f t="shared" si="17"/>
        <v>5.1891731074999988E-4</v>
      </c>
      <c r="AH24" s="1">
        <f t="shared" si="18"/>
        <v>7.4958570799999998E-4</v>
      </c>
      <c r="AI24" s="13">
        <f t="shared" si="19"/>
        <v>3530.7125561961184</v>
      </c>
      <c r="AJ24" s="13">
        <f t="shared" si="20"/>
        <v>1599.3093772907118</v>
      </c>
      <c r="AK24" s="1">
        <f t="shared" si="21"/>
        <v>0.64543589347749997</v>
      </c>
      <c r="AL24" s="1">
        <f t="shared" si="22"/>
        <v>0.62185861595999992</v>
      </c>
      <c r="AM24" s="15">
        <f t="shared" si="23"/>
        <v>3.2697851547263226</v>
      </c>
      <c r="AN24" s="15">
        <f t="shared" si="24"/>
        <v>4.9023443531931283</v>
      </c>
      <c r="AO24" s="15">
        <f t="shared" si="25"/>
        <v>0.8</v>
      </c>
      <c r="AP24" s="15">
        <f t="shared" si="26"/>
        <v>0.16</v>
      </c>
      <c r="AQ24" s="15">
        <f t="shared" si="1"/>
        <v>0.63972375091628475</v>
      </c>
      <c r="AR24" s="15">
        <f t="shared" si="2"/>
        <v>3.1361461179079759</v>
      </c>
      <c r="AS24" s="15">
        <f t="shared" si="27"/>
        <v>4.3155871826999662E-2</v>
      </c>
      <c r="AT24" s="15">
        <f t="shared" si="28"/>
        <v>21.034926330012308</v>
      </c>
      <c r="AU24" s="15">
        <f t="shared" si="29"/>
        <v>848.54352937780516</v>
      </c>
      <c r="AV24" s="15">
        <f t="shared" si="30"/>
        <v>62.722922358159515</v>
      </c>
      <c r="AW24" s="15">
        <f t="shared" si="37"/>
        <v>6.5371762800823827</v>
      </c>
      <c r="AX24" s="15">
        <f>AW24*(0.86*(Parameters!$B$14/Parameters!$B$17)^(0.16))</f>
        <v>5.9626701104587863</v>
      </c>
      <c r="AY24" s="15">
        <f t="shared" si="32"/>
        <v>463.49222278949509</v>
      </c>
      <c r="AZ24" s="15">
        <f>1/(AU24*Parameters!$B$25)</f>
        <v>2.344531211153595E-2</v>
      </c>
      <c r="BA24" s="15">
        <f>1/(AY24*Parameters!$B$26)</f>
        <v>3.8153569135069745E-2</v>
      </c>
      <c r="BB24" s="24">
        <f>LN(Parameters!$B$17/Parameters!$B$18)/(2*PI()*Parameters!$B$6*1)</f>
        <v>1.2497168224721593E-3</v>
      </c>
      <c r="BC24" s="15">
        <f t="shared" si="33"/>
        <v>15.911253881922468</v>
      </c>
      <c r="BD24" s="15">
        <f>BC24/(AVERAGE(Parameters!$B$25, Parameters!$B$26))</f>
        <v>297.92408307036112</v>
      </c>
      <c r="BE24" s="15"/>
      <c r="BF24" s="15"/>
      <c r="BG24" s="15"/>
      <c r="BH24" s="15"/>
    </row>
    <row r="25" spans="1:68" x14ac:dyDescent="0.55000000000000004">
      <c r="A25" t="s">
        <v>43</v>
      </c>
      <c r="B25" s="3">
        <v>59.5</v>
      </c>
      <c r="C25" s="3">
        <v>54.2</v>
      </c>
      <c r="D25" s="3">
        <v>50.3</v>
      </c>
      <c r="E25" s="3">
        <v>48.2</v>
      </c>
      <c r="F25" s="3">
        <v>30</v>
      </c>
      <c r="G25" s="3">
        <v>31.4</v>
      </c>
      <c r="H25" s="3">
        <v>33.299999999999997</v>
      </c>
      <c r="I25" s="2">
        <v>1.4</v>
      </c>
      <c r="J25" s="2">
        <v>2.7</v>
      </c>
      <c r="K25">
        <f t="shared" si="3"/>
        <v>51.2</v>
      </c>
      <c r="L25">
        <f t="shared" si="4"/>
        <v>31.65</v>
      </c>
      <c r="M25">
        <f t="shared" si="5"/>
        <v>986.78716671999996</v>
      </c>
      <c r="N25">
        <f t="shared" si="6"/>
        <v>994.32533782999997</v>
      </c>
      <c r="O25">
        <f t="shared" si="7"/>
        <v>2.3025033890133328E-2</v>
      </c>
      <c r="P25">
        <f t="shared" si="8"/>
        <v>4.474464020235E-2</v>
      </c>
      <c r="Q25">
        <f t="shared" si="9"/>
        <v>561.8568769870335</v>
      </c>
      <c r="R25">
        <f t="shared" si="34"/>
        <v>600.52229061975913</v>
      </c>
      <c r="S25">
        <f t="shared" si="10"/>
        <v>38.665413632725631</v>
      </c>
      <c r="T25" s="13">
        <f t="shared" si="35"/>
        <v>20.900000000000006</v>
      </c>
      <c r="U25" s="13">
        <f t="shared" si="36"/>
        <v>18.200000000000003</v>
      </c>
      <c r="V25">
        <f t="shared" si="13"/>
        <v>19.518886218996265</v>
      </c>
      <c r="W25">
        <f t="shared" si="14"/>
        <v>28.78529392933396</v>
      </c>
      <c r="X25">
        <f t="shared" si="15"/>
        <v>30.766217082372041</v>
      </c>
      <c r="Y25">
        <f>W25/Parameters!$B$25</f>
        <v>572.66522715082829</v>
      </c>
      <c r="Z25">
        <f>X25/Parameters!$B$26</f>
        <v>544.06616987753569</v>
      </c>
      <c r="AA25">
        <f t="shared" si="16"/>
        <v>558.36569851418199</v>
      </c>
      <c r="AB25">
        <f>Q25/(V25*AVERAGE(Parameters!$B$25,Parameters!$B$26))</f>
        <v>538.97903731842678</v>
      </c>
      <c r="AC25">
        <f>I25/60000*1/Parameters!$B$9</f>
        <v>0.11605047933784035</v>
      </c>
      <c r="AD25">
        <f>J25/60000*1/Parameters!$B$10</f>
        <v>0.16277210088943847</v>
      </c>
      <c r="AE25">
        <f>Parameters!$B$18</f>
        <v>1.6E-2</v>
      </c>
      <c r="AF25">
        <f>Parameters!$B$22</f>
        <v>8.0000000000000002E-3</v>
      </c>
      <c r="AG25" s="1">
        <f t="shared" si="17"/>
        <v>5.202020479999998E-4</v>
      </c>
      <c r="AH25" s="1">
        <f t="shared" si="18"/>
        <v>7.5184814075000004E-4</v>
      </c>
      <c r="AI25" s="13">
        <f t="shared" si="19"/>
        <v>3522.2352281791991</v>
      </c>
      <c r="AJ25" s="13">
        <f t="shared" si="20"/>
        <v>1722.1395165756655</v>
      </c>
      <c r="AK25" s="1">
        <f t="shared" si="21"/>
        <v>0.64527746176</v>
      </c>
      <c r="AL25" s="1">
        <f t="shared" si="22"/>
        <v>0.62165490057749995</v>
      </c>
      <c r="AM25" s="15">
        <f t="shared" si="23"/>
        <v>3.2786853014291144</v>
      </c>
      <c r="AN25" s="15">
        <f t="shared" si="24"/>
        <v>4.9187521655337569</v>
      </c>
      <c r="AO25" s="15">
        <f t="shared" si="25"/>
        <v>0.8</v>
      </c>
      <c r="AP25" s="15">
        <f t="shared" si="26"/>
        <v>0.16</v>
      </c>
      <c r="AQ25" s="15">
        <f t="shared" si="1"/>
        <v>0.68885580663026624</v>
      </c>
      <c r="AR25" s="15">
        <f t="shared" si="2"/>
        <v>3.388310990603125</v>
      </c>
      <c r="AS25" s="15">
        <f t="shared" si="27"/>
        <v>4.3189943426077806E-2</v>
      </c>
      <c r="AT25" s="15">
        <f t="shared" si="28"/>
        <v>20.996850217975258</v>
      </c>
      <c r="AU25" s="15">
        <f t="shared" si="29"/>
        <v>846.79963835062358</v>
      </c>
      <c r="AV25" s="15">
        <f t="shared" si="30"/>
        <v>67.766219812062502</v>
      </c>
      <c r="AW25" s="15">
        <f t="shared" si="37"/>
        <v>6.6714444655210379</v>
      </c>
      <c r="AX25" s="15">
        <f>AW25*(0.86*(Parameters!$B$14/Parameters!$B$17)^(0.16))</f>
        <v>6.0851384150905403</v>
      </c>
      <c r="AY25" s="15">
        <f t="shared" si="32"/>
        <v>472.85701455417944</v>
      </c>
      <c r="AZ25" s="15">
        <f>1/(AU25*Parameters!$B$25)</f>
        <v>2.349359516170401E-2</v>
      </c>
      <c r="BA25" s="15">
        <f>1/(AY25*Parameters!$B$26)</f>
        <v>3.7397949108228683E-2</v>
      </c>
      <c r="BB25" s="24">
        <f>LN(Parameters!$B$17/Parameters!$B$18)/(2*PI()*Parameters!$B$6*1)</f>
        <v>1.2497168224721593E-3</v>
      </c>
      <c r="BC25" s="15">
        <f t="shared" si="33"/>
        <v>16.092367332439345</v>
      </c>
      <c r="BD25" s="15">
        <f>BC25/(AVERAGE(Parameters!$B$25, Parameters!$B$26))</f>
        <v>301.31527141273642</v>
      </c>
      <c r="BE25" s="15"/>
      <c r="BF25" s="15"/>
      <c r="BG25" s="15"/>
      <c r="BH25" s="15"/>
    </row>
    <row r="27" spans="1:68" s="5" customFormat="1" x14ac:dyDescent="0.55000000000000004">
      <c r="A27" s="5" t="s">
        <v>44</v>
      </c>
      <c r="B27" s="3">
        <v>0.1</v>
      </c>
      <c r="C27" s="3">
        <v>0.1</v>
      </c>
      <c r="D27" s="3">
        <v>0.1</v>
      </c>
      <c r="E27" s="3">
        <v>0.1</v>
      </c>
      <c r="F27" s="3">
        <v>0.1</v>
      </c>
      <c r="G27" s="3">
        <v>0.1</v>
      </c>
      <c r="H27" s="3">
        <v>0.1</v>
      </c>
      <c r="I27" s="3">
        <v>0.1</v>
      </c>
      <c r="J27" s="3">
        <v>0.1</v>
      </c>
      <c r="AI27" s="13"/>
      <c r="AJ27" s="13"/>
      <c r="AO27" s="15"/>
      <c r="AQ27" s="15"/>
      <c r="BB27" s="24"/>
      <c r="BC27" s="15"/>
      <c r="BD27" s="15"/>
    </row>
  </sheetData>
  <mergeCells count="4">
    <mergeCell ref="BL8:BN8"/>
    <mergeCell ref="BK12:BN12"/>
    <mergeCell ref="BK19:BL19"/>
    <mergeCell ref="BO19:BP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DCBE-6AF6-4E62-8125-69572A4CD5F9}">
  <dimension ref="A1:BW27"/>
  <sheetViews>
    <sheetView tabSelected="1" topLeftCell="D1" workbookViewId="0">
      <selection activeCell="BN7" sqref="BN7"/>
    </sheetView>
  </sheetViews>
  <sheetFormatPr defaultColWidth="8.89453125" defaultRowHeight="14.4" x14ac:dyDescent="0.55000000000000004"/>
  <cols>
    <col min="1" max="1" width="15.68359375" bestFit="1" customWidth="1"/>
    <col min="2" max="2" width="13.1015625" style="14" bestFit="1" customWidth="1"/>
    <col min="3" max="3" width="6.3125" style="14" bestFit="1" customWidth="1"/>
    <col min="4" max="4" width="8" style="14" bestFit="1" customWidth="1"/>
    <col min="5" max="5" width="7.5234375" style="14" bestFit="1" customWidth="1"/>
    <col min="6" max="6" width="8.41796875" style="14" bestFit="1" customWidth="1"/>
    <col min="7" max="7" width="8.89453125" style="14"/>
    <col min="8" max="8" width="7.1015625" style="14" bestFit="1" customWidth="1"/>
    <col min="9" max="9" width="8.89453125" style="14"/>
    <col min="10" max="10" width="9.68359375" style="14" bestFit="1" customWidth="1"/>
    <col min="17" max="17" width="13.3125" bestFit="1" customWidth="1"/>
    <col min="18" max="18" width="13.9453125" bestFit="1" customWidth="1"/>
    <col min="22" max="22" width="10.26171875" bestFit="1" customWidth="1"/>
    <col min="23" max="23" width="9.1015625" bestFit="1" customWidth="1"/>
    <col min="24" max="24" width="10.15625" bestFit="1" customWidth="1"/>
    <col min="25" max="25" width="10.5234375" bestFit="1" customWidth="1"/>
    <col min="29" max="29" width="13.5234375" bestFit="1" customWidth="1"/>
    <col min="32" max="32" width="11.734375" bestFit="1" customWidth="1"/>
    <col min="44" max="45" width="8.89453125" style="13"/>
    <col min="50" max="50" width="8.05078125" style="15" bestFit="1" customWidth="1"/>
    <col min="51" max="51" width="9.41796875" bestFit="1" customWidth="1"/>
    <col min="52" max="52" width="8.89453125" style="15"/>
    <col min="53" max="57" width="9.41796875" customWidth="1"/>
    <col min="58" max="58" width="11.20703125" bestFit="1" customWidth="1"/>
    <col min="59" max="62" width="9.41796875" customWidth="1"/>
    <col min="63" max="63" width="9.41796875" style="24" customWidth="1"/>
    <col min="64" max="64" width="9.05078125" style="15" bestFit="1" customWidth="1"/>
    <col min="65" max="65" width="9.41796875" style="15" customWidth="1"/>
    <col min="66" max="66" width="9.41796875" customWidth="1"/>
    <col min="68" max="68" width="11.9453125" bestFit="1" customWidth="1"/>
    <col min="69" max="69" width="9.26171875" bestFit="1" customWidth="1"/>
  </cols>
  <sheetData>
    <row r="1" spans="1:75" s="10" customFormat="1" x14ac:dyDescent="0.55000000000000004">
      <c r="B1" s="16" t="s">
        <v>0</v>
      </c>
      <c r="C1" s="16" t="s">
        <v>1</v>
      </c>
      <c r="D1" s="16" t="s">
        <v>2</v>
      </c>
      <c r="E1" s="16" t="s">
        <v>3</v>
      </c>
      <c r="F1" s="16" t="s">
        <v>6</v>
      </c>
      <c r="G1" s="16" t="s">
        <v>5</v>
      </c>
      <c r="H1" s="16" t="s">
        <v>4</v>
      </c>
      <c r="I1" s="16" t="s">
        <v>7</v>
      </c>
      <c r="J1" s="16" t="s">
        <v>8</v>
      </c>
      <c r="K1" s="16" t="s">
        <v>76</v>
      </c>
      <c r="L1" s="16" t="s">
        <v>77</v>
      </c>
      <c r="M1" s="16" t="s">
        <v>78</v>
      </c>
      <c r="N1" s="16" t="s">
        <v>80</v>
      </c>
      <c r="O1" s="16" t="s">
        <v>81</v>
      </c>
      <c r="P1" s="16" t="s">
        <v>83</v>
      </c>
      <c r="Q1" s="16" t="s">
        <v>145</v>
      </c>
      <c r="R1" s="16" t="s">
        <v>146</v>
      </c>
      <c r="S1" s="16" t="s">
        <v>84</v>
      </c>
      <c r="T1" s="16" t="s">
        <v>87</v>
      </c>
      <c r="U1" s="16" t="s">
        <v>88</v>
      </c>
      <c r="V1" s="16" t="s">
        <v>147</v>
      </c>
      <c r="W1" s="16" t="s">
        <v>89</v>
      </c>
      <c r="X1" s="16" t="s">
        <v>90</v>
      </c>
      <c r="Y1" s="16" t="s">
        <v>140</v>
      </c>
      <c r="Z1" s="16" t="s">
        <v>91</v>
      </c>
      <c r="AA1" s="16" t="s">
        <v>148</v>
      </c>
      <c r="AB1" s="16" t="s">
        <v>149</v>
      </c>
      <c r="AC1" s="16" t="s">
        <v>141</v>
      </c>
      <c r="AD1" s="16" t="s">
        <v>98</v>
      </c>
      <c r="AE1" s="16" t="s">
        <v>99</v>
      </c>
      <c r="AF1" s="16" t="s">
        <v>142</v>
      </c>
      <c r="AG1" s="16" t="s">
        <v>100</v>
      </c>
      <c r="AH1" s="16" t="s">
        <v>101</v>
      </c>
      <c r="AI1" s="16" t="s">
        <v>102</v>
      </c>
      <c r="AJ1" s="16" t="s">
        <v>138</v>
      </c>
      <c r="AK1" s="16" t="s">
        <v>143</v>
      </c>
      <c r="AL1" s="10" t="s">
        <v>106</v>
      </c>
      <c r="AM1" s="10" t="s">
        <v>107</v>
      </c>
      <c r="AN1" s="10" t="s">
        <v>108</v>
      </c>
      <c r="AO1" s="10" t="s">
        <v>109</v>
      </c>
      <c r="AP1" s="10" t="s">
        <v>110</v>
      </c>
      <c r="AQ1" s="10" t="s">
        <v>111</v>
      </c>
      <c r="AR1" s="17" t="s">
        <v>112</v>
      </c>
      <c r="AS1" s="17" t="s">
        <v>113</v>
      </c>
      <c r="AT1" s="10" t="s">
        <v>116</v>
      </c>
      <c r="AU1" s="10" t="s">
        <v>117</v>
      </c>
      <c r="AV1" s="10" t="s">
        <v>119</v>
      </c>
      <c r="AW1" s="10" t="s">
        <v>120</v>
      </c>
      <c r="AX1" s="18" t="s">
        <v>124</v>
      </c>
      <c r="AY1" s="10" t="s">
        <v>121</v>
      </c>
      <c r="AZ1" s="18" t="s">
        <v>123</v>
      </c>
      <c r="BA1" s="10" t="s">
        <v>122</v>
      </c>
      <c r="BB1" s="18" t="s">
        <v>126</v>
      </c>
      <c r="BC1" s="10" t="s">
        <v>125</v>
      </c>
      <c r="BD1" s="18" t="s">
        <v>127</v>
      </c>
      <c r="BE1" s="18" t="s">
        <v>132</v>
      </c>
      <c r="BF1" s="18" t="s">
        <v>130</v>
      </c>
      <c r="BG1" s="10" t="s">
        <v>128</v>
      </c>
      <c r="BH1" s="18" t="s">
        <v>129</v>
      </c>
      <c r="BI1" s="10" t="s">
        <v>133</v>
      </c>
      <c r="BJ1" s="10" t="s">
        <v>134</v>
      </c>
      <c r="BK1" s="23" t="s">
        <v>135</v>
      </c>
      <c r="BL1" s="18" t="s">
        <v>136</v>
      </c>
      <c r="BM1" s="18" t="s">
        <v>137</v>
      </c>
    </row>
    <row r="2" spans="1:75" s="10" customFormat="1" x14ac:dyDescent="0.55000000000000004">
      <c r="A2" s="21" t="s">
        <v>40</v>
      </c>
      <c r="B2" s="16" t="s">
        <v>9</v>
      </c>
      <c r="C2" s="16" t="s">
        <v>11</v>
      </c>
      <c r="D2" s="16" t="s">
        <v>12</v>
      </c>
      <c r="E2" s="16" t="s">
        <v>10</v>
      </c>
      <c r="F2" s="16" t="s">
        <v>13</v>
      </c>
      <c r="G2" s="16" t="s">
        <v>15</v>
      </c>
      <c r="H2" s="16" t="s">
        <v>14</v>
      </c>
      <c r="I2" s="16" t="s">
        <v>16</v>
      </c>
      <c r="J2" s="16" t="s">
        <v>17</v>
      </c>
      <c r="AR2" s="17"/>
      <c r="AS2" s="17"/>
      <c r="AX2" s="18"/>
      <c r="AZ2" s="18"/>
      <c r="BB2" s="10">
        <v>8.2100000000000009</v>
      </c>
      <c r="BC2" s="10">
        <v>8.6199999999999992</v>
      </c>
      <c r="BF2" s="10" t="s">
        <v>131</v>
      </c>
      <c r="BG2" s="10">
        <v>12</v>
      </c>
      <c r="BK2" s="23"/>
      <c r="BL2" s="18"/>
      <c r="BM2" s="18"/>
    </row>
    <row r="3" spans="1:75" s="10" customFormat="1" x14ac:dyDescent="0.55000000000000004">
      <c r="A3" s="22" t="s">
        <v>41</v>
      </c>
      <c r="B3" s="19" t="s">
        <v>18</v>
      </c>
      <c r="C3" s="19" t="s">
        <v>18</v>
      </c>
      <c r="D3" s="19" t="s">
        <v>18</v>
      </c>
      <c r="E3" s="19" t="s">
        <v>18</v>
      </c>
      <c r="F3" s="19" t="s">
        <v>18</v>
      </c>
      <c r="G3" s="19" t="s">
        <v>18</v>
      </c>
      <c r="H3" s="19" t="s">
        <v>18</v>
      </c>
      <c r="I3" s="19" t="s">
        <v>19</v>
      </c>
      <c r="J3" s="19" t="s">
        <v>19</v>
      </c>
      <c r="K3" s="20" t="s">
        <v>18</v>
      </c>
      <c r="L3" s="20" t="s">
        <v>18</v>
      </c>
      <c r="M3" s="20" t="s">
        <v>79</v>
      </c>
      <c r="N3" s="20" t="s">
        <v>79</v>
      </c>
      <c r="O3" s="20" t="s">
        <v>144</v>
      </c>
      <c r="P3" s="20" t="s">
        <v>144</v>
      </c>
      <c r="Q3" s="20" t="s">
        <v>144</v>
      </c>
      <c r="R3" s="20" t="s">
        <v>144</v>
      </c>
      <c r="S3" s="20" t="s">
        <v>86</v>
      </c>
      <c r="T3" s="20" t="s">
        <v>86</v>
      </c>
      <c r="U3" s="20" t="s">
        <v>86</v>
      </c>
      <c r="V3" s="20" t="s">
        <v>139</v>
      </c>
      <c r="W3" s="20" t="s">
        <v>103</v>
      </c>
      <c r="X3" s="20" t="s">
        <v>103</v>
      </c>
      <c r="Y3" s="20" t="s">
        <v>103</v>
      </c>
      <c r="Z3" s="20" t="s">
        <v>103</v>
      </c>
      <c r="AA3" s="20"/>
      <c r="AB3" s="20"/>
      <c r="AC3" s="20" t="s">
        <v>103</v>
      </c>
      <c r="AD3" s="20" t="s">
        <v>104</v>
      </c>
      <c r="AE3" s="20" t="s">
        <v>104</v>
      </c>
      <c r="AF3" s="20" t="s">
        <v>104</v>
      </c>
      <c r="AG3" s="20" t="s">
        <v>105</v>
      </c>
      <c r="AH3" s="20" t="s">
        <v>105</v>
      </c>
      <c r="AI3" s="20" t="s">
        <v>105</v>
      </c>
      <c r="AJ3" s="20" t="s">
        <v>105</v>
      </c>
      <c r="AK3" s="20" t="s">
        <v>105</v>
      </c>
      <c r="AL3" s="20" t="s">
        <v>114</v>
      </c>
      <c r="AM3" s="20" t="s">
        <v>114</v>
      </c>
      <c r="AN3" s="20" t="s">
        <v>24</v>
      </c>
      <c r="AO3" s="20" t="s">
        <v>24</v>
      </c>
      <c r="AP3" s="20" t="s">
        <v>115</v>
      </c>
      <c r="AQ3" s="20" t="s">
        <v>115</v>
      </c>
      <c r="AR3" s="17"/>
      <c r="AS3" s="17"/>
      <c r="AT3" s="20" t="s">
        <v>118</v>
      </c>
      <c r="AU3" s="20" t="s">
        <v>118</v>
      </c>
      <c r="AX3" s="18" t="s">
        <v>24</v>
      </c>
      <c r="AY3" s="10" t="s">
        <v>24</v>
      </c>
      <c r="AZ3" s="18" t="s">
        <v>24</v>
      </c>
      <c r="BA3" s="10" t="s">
        <v>24</v>
      </c>
      <c r="BB3" s="18" t="s">
        <v>48</v>
      </c>
      <c r="BC3" s="10" t="s">
        <v>48</v>
      </c>
      <c r="BD3" s="18" t="s">
        <v>105</v>
      </c>
      <c r="BE3" s="18"/>
      <c r="BF3" s="18"/>
      <c r="BG3" s="10" t="s">
        <v>48</v>
      </c>
      <c r="BH3" s="18" t="s">
        <v>105</v>
      </c>
      <c r="BK3" s="23"/>
      <c r="BL3" s="18"/>
      <c r="BM3" s="18"/>
      <c r="BO3" s="10" t="s">
        <v>65</v>
      </c>
      <c r="BP3" s="10" t="s">
        <v>66</v>
      </c>
      <c r="BQ3" s="10" t="s">
        <v>67</v>
      </c>
      <c r="BR3" s="10" t="s">
        <v>68</v>
      </c>
      <c r="BS3" s="10" t="s">
        <v>69</v>
      </c>
    </row>
    <row r="4" spans="1:75" x14ac:dyDescent="0.55000000000000004">
      <c r="A4" t="s">
        <v>42</v>
      </c>
      <c r="B4" s="2">
        <v>44.9</v>
      </c>
      <c r="C4" s="2">
        <v>41</v>
      </c>
      <c r="D4" s="2">
        <v>39.700000000000003</v>
      </c>
      <c r="E4" s="2">
        <v>38.6</v>
      </c>
      <c r="F4" s="2">
        <v>31.4</v>
      </c>
      <c r="G4" s="2">
        <v>29.9</v>
      </c>
      <c r="H4" s="2">
        <v>29.5</v>
      </c>
      <c r="I4" s="3">
        <v>1.4</v>
      </c>
      <c r="J4" s="3">
        <v>2.2000000000000002</v>
      </c>
      <c r="K4">
        <f>AVERAGE(C4,E4)</f>
        <v>39.799999999999997</v>
      </c>
      <c r="L4">
        <f>AVERAGE(H4,F4)</f>
        <v>30.45</v>
      </c>
      <c r="M4">
        <f t="shared" ref="M4:M25" si="0">$BQ$6*K4^2+$BR$6*K4+$BS$6</f>
        <v>991.49983552000003</v>
      </c>
      <c r="N4">
        <f t="shared" ref="N4:N25" si="1">$BQ$6*L4^2+$BR$6*L4+$BS$6</f>
        <v>994.70308007000006</v>
      </c>
      <c r="O4">
        <f>M4*I4/1000/60</f>
        <v>2.3134996162133332E-2</v>
      </c>
      <c r="P4">
        <f>N4*J4/1000/60</f>
        <v>3.6472446269233336E-2</v>
      </c>
      <c r="Q4">
        <f>M4*0.1/60000</f>
        <v>1.6524997258666669E-3</v>
      </c>
      <c r="R4">
        <f>N4*0.1/60000</f>
        <v>1.6578384667833336E-3</v>
      </c>
      <c r="S4">
        <f t="shared" ref="S4:S25" si="2">O4*$BR$15*(C4-E4)</f>
        <v>225.81607053935087</v>
      </c>
      <c r="T4">
        <f t="shared" ref="T4:T14" si="3">P4*$BR$15*(F4-H4)</f>
        <v>281.83353405624649</v>
      </c>
      <c r="U4">
        <f>ABS(S4-T4)</f>
        <v>56.017463516895617</v>
      </c>
      <c r="V4">
        <f t="shared" ref="V4:V25" si="4">SQRT((O4*$BR$15)^2*Y4^2+((C4-E4)*($BR$15))^2*Q4^2)</f>
        <v>20.909962173476465</v>
      </c>
      <c r="W4">
        <f t="shared" ref="W4:W14" si="5">(C4-F4)</f>
        <v>9.6000000000000014</v>
      </c>
      <c r="X4">
        <f t="shared" ref="X4:X14" si="6">(E4-H4)</f>
        <v>9.1000000000000014</v>
      </c>
      <c r="Y4">
        <f>SQRT(2)*0.1</f>
        <v>0.14142135623730953</v>
      </c>
      <c r="Z4">
        <f>(W4-X4)/(LN((W4)/(X4)))</f>
        <v>9.3477714110595471</v>
      </c>
      <c r="AA4">
        <f>(W4*LN(W4/X4)-W4+X4)/(W4*LN(W4/X4)^2)</f>
        <v>0.49120316515611928</v>
      </c>
      <c r="AB4">
        <f>(-X4*LN(W4/X4)+W4-X4)/(X4*LN(W4/X4)^2)</f>
        <v>0.50903527753412225</v>
      </c>
      <c r="AC4">
        <f>SQRT((AA4)^2*Y4^2+(AB4)^2*Y4^2)</f>
        <v>0.10003973842764992</v>
      </c>
      <c r="AD4">
        <f t="shared" ref="AD4:AD25" si="7">S4/Z4</f>
        <v>24.157209307898039</v>
      </c>
      <c r="AE4">
        <f t="shared" ref="AE4:AE25" si="8">T4/Z4</f>
        <v>30.149810223515228</v>
      </c>
      <c r="AF4">
        <f>SQRT((1/Z4)^2*V4^2+(-V4/(Z4)^2)^2*AC4^2)</f>
        <v>2.2370208529156925</v>
      </c>
      <c r="AG4">
        <f>AD4/Parameters!$B$25</f>
        <v>480.59240908218959</v>
      </c>
      <c r="AH4">
        <f>AE4/Parameters!$B$26</f>
        <v>533.16570337277903</v>
      </c>
      <c r="AI4">
        <f>AVERAGE(AG4,AH4)</f>
        <v>506.87905622748428</v>
      </c>
      <c r="AJ4">
        <f>S4/(Z4*AVERAGE(Parameters!$B$25,Parameters!$B$26))</f>
        <v>452.32226737147261</v>
      </c>
      <c r="AK4">
        <f>AF4/AVERAGE(Parameters!$B$25,Parameters!$B$26)</f>
        <v>41.886226651903563</v>
      </c>
      <c r="AL4">
        <f>I4/60000*1/Parameters!$B$9</f>
        <v>0.11605047933784035</v>
      </c>
      <c r="AM4">
        <f>J4/60000*1/Parameters!$B$10</f>
        <v>0.13262911924324616</v>
      </c>
      <c r="AN4">
        <f>Parameters!$B$18</f>
        <v>1.6E-2</v>
      </c>
      <c r="AO4">
        <f>Parameters!$B$22</f>
        <v>8.0000000000000002E-3</v>
      </c>
      <c r="AP4" s="1">
        <f t="shared" ref="AP4:AP25" si="9">$BQ$7*K4^2+$BR$7*K4+$BS$7</f>
        <v>6.3979146799999988E-4</v>
      </c>
      <c r="AQ4" s="1">
        <f t="shared" ref="AQ4:AQ25" si="10">$BQ$7*L4^2+$BR$7*L4+$BS$7</f>
        <v>7.7021765674999999E-4</v>
      </c>
      <c r="AR4" s="13">
        <f t="shared" ref="AR4:AR25" si="11">M4*AL4*AN4/AP4</f>
        <v>2877.5383713115948</v>
      </c>
      <c r="AS4" s="13">
        <f t="shared" ref="AS4:AS25" si="12">N4*AM4*AO4/AQ4</f>
        <v>1370.2785674886129</v>
      </c>
      <c r="AT4" s="1">
        <f t="shared" ref="AT4:AT25" si="13">$BQ$9*K4^2+$BR$9*K4+$BS$9</f>
        <v>0.63222002715999992</v>
      </c>
      <c r="AU4" s="1">
        <f t="shared" ref="AU4:AU25" si="14">$BQ$9*L4^2+$BR$9*L4+$BS$9</f>
        <v>0.6200126694975</v>
      </c>
      <c r="AV4" s="15">
        <f>AP4*$BR$15/AT4</f>
        <v>4.1157062234244703</v>
      </c>
      <c r="AW4" s="15">
        <f>AQ4*$BR$15/AU4</f>
        <v>5.0522761293588063</v>
      </c>
      <c r="AX4" s="15">
        <f>50*AN4</f>
        <v>0.8</v>
      </c>
      <c r="AY4" s="15">
        <f>10*AN4</f>
        <v>0.16</v>
      </c>
      <c r="AZ4" s="15">
        <f t="shared" ref="AZ4:AZ25" si="15">0.05*AO4*AS4</f>
        <v>0.54811142699544524</v>
      </c>
      <c r="BA4" s="15">
        <f t="shared" ref="BA4:BA25" si="16">AZ4*AW4</f>
        <v>2.7692102788378801</v>
      </c>
      <c r="BB4" s="15">
        <f>(0.79*LN(AR4)-1.64)^(-2)</f>
        <v>4.6206268182647163E-2</v>
      </c>
      <c r="BC4" s="15">
        <f>((BB4/8)*(AR4-1000)*AV4)/(1+12.7*(BB4/8)^(1/2)*(AV4^(2/3)-1))</f>
        <v>17.756096645936577</v>
      </c>
      <c r="BD4" s="15">
        <f>BC4*AT4/AN4</f>
        <v>701.60999398435035</v>
      </c>
      <c r="BE4" s="15">
        <f>AS4*AW4*AO4/1</f>
        <v>55.384205576757594</v>
      </c>
      <c r="BF4" s="15">
        <f>1.953*(BE4)^(1/3)</f>
        <v>7.4444203362259289</v>
      </c>
      <c r="BG4" s="15">
        <f>BF4*(0.86*(Parameters!$B$14/Parameters!$B$17)^(0.16))</f>
        <v>6.7901829056912772</v>
      </c>
      <c r="BH4" s="15">
        <f>BG4*AU4/AO4</f>
        <v>526.24992871674249</v>
      </c>
      <c r="BI4" s="15">
        <f>1/(BD4*Parameters!$B$25)</f>
        <v>2.8355308586055672E-2</v>
      </c>
      <c r="BJ4" s="15">
        <f>1/(BH4*Parameters!$B$26)</f>
        <v>3.3603581873898204E-2</v>
      </c>
      <c r="BK4" s="24">
        <f>LN(Parameters!$B$17/Parameters!$B$18)/(2*PI()*Parameters!$B$6*1)</f>
        <v>1.2497168224721593E-3</v>
      </c>
      <c r="BL4" s="15">
        <f>(BI4+BJ4+BK4)^(-1)</f>
        <v>15.82063017987158</v>
      </c>
      <c r="BM4" s="15">
        <f>BL4/(AVERAGE(Parameters!$B$25, Parameters!$B$26))</f>
        <v>296.22723481828041</v>
      </c>
      <c r="BN4" s="15"/>
    </row>
    <row r="5" spans="1:75" x14ac:dyDescent="0.55000000000000004">
      <c r="A5" t="s">
        <v>42</v>
      </c>
      <c r="B5" s="2">
        <v>49.8</v>
      </c>
      <c r="C5" s="2">
        <v>45.4</v>
      </c>
      <c r="D5" s="2">
        <v>43.3</v>
      </c>
      <c r="E5" s="2">
        <v>41.8</v>
      </c>
      <c r="F5" s="2">
        <v>32.1</v>
      </c>
      <c r="G5" s="2">
        <v>30.2</v>
      </c>
      <c r="H5" s="2">
        <v>29.5</v>
      </c>
      <c r="I5" s="3">
        <v>1.4</v>
      </c>
      <c r="J5" s="3">
        <v>2.2000000000000002</v>
      </c>
      <c r="K5">
        <f t="shared" ref="K5:K25" si="17">AVERAGE(C5,E5)</f>
        <v>43.599999999999994</v>
      </c>
      <c r="L5">
        <f t="shared" ref="L5:L25" si="18">AVERAGE(H5,F5)</f>
        <v>30.8</v>
      </c>
      <c r="M5">
        <f t="shared" si="0"/>
        <v>990.02748448</v>
      </c>
      <c r="N5">
        <f t="shared" si="1"/>
        <v>994.59392032000005</v>
      </c>
      <c r="O5">
        <f t="shared" ref="O5:P25" si="19">M5*I5/1000/60</f>
        <v>2.3100641304533334E-2</v>
      </c>
      <c r="P5">
        <f t="shared" si="19"/>
        <v>3.6468443745066671E-2</v>
      </c>
      <c r="Q5">
        <f t="shared" ref="Q5:Q25" si="20">M5*0.1/60000</f>
        <v>1.6500458074666668E-3</v>
      </c>
      <c r="R5">
        <f t="shared" ref="R5:R25" si="21">N5*0.1/60000</f>
        <v>1.6576565338666668E-3</v>
      </c>
      <c r="S5">
        <f t="shared" si="2"/>
        <v>338.22110946793356</v>
      </c>
      <c r="T5">
        <f t="shared" si="3"/>
        <v>385.62461784908419</v>
      </c>
      <c r="U5">
        <f t="shared" ref="U5:U25" si="22">ABS(S5-T5)</f>
        <v>47.40350838115063</v>
      </c>
      <c r="V5">
        <f t="shared" si="4"/>
        <v>27.571246084675227</v>
      </c>
      <c r="W5">
        <f t="shared" si="5"/>
        <v>13.299999999999997</v>
      </c>
      <c r="X5">
        <f t="shared" si="6"/>
        <v>12.299999999999997</v>
      </c>
      <c r="Y5">
        <f t="shared" ref="Y5:Y25" si="23">SQRT(2)*0.1</f>
        <v>0.14142135623730953</v>
      </c>
      <c r="Z5">
        <f t="shared" ref="Z5:Z25" si="24">(W5-X5)/(LN((W5)/(X5)))</f>
        <v>12.793486932118572</v>
      </c>
      <c r="AA5">
        <f t="shared" ref="AA5:AA25" si="25">(W5*LN(W5/X5)-W5+X5)/(W5*LN(W5/X5)^2)</f>
        <v>0.48722318157055106</v>
      </c>
      <c r="AB5">
        <f t="shared" ref="AB5:AB25" si="26">(-X5*LN(W5/X5)+W5-X5)/(X5*LN(W5/X5)^2)</f>
        <v>0.51328606644147678</v>
      </c>
      <c r="AC5">
        <f t="shared" ref="AC5:AC25" si="27">SQRT((AA5)^2*Y5^2+(AB5)^2*Y5^2)</f>
        <v>0.10008486545554172</v>
      </c>
      <c r="AD5">
        <f t="shared" si="7"/>
        <v>26.436976194411521</v>
      </c>
      <c r="AE5">
        <f t="shared" si="8"/>
        <v>30.142260659285768</v>
      </c>
      <c r="AF5">
        <f t="shared" ref="AF5:AF25" si="28">SQRT((1/Z5)^2*V5^2+(-V5/(Z5)^2)^2*AC5^2)</f>
        <v>2.1551661335831005</v>
      </c>
      <c r="AG5">
        <f>AD5/Parameters!$B$25</f>
        <v>525.94693021791966</v>
      </c>
      <c r="AH5">
        <f>AE5/Parameters!$B$26</f>
        <v>533.03219776552248</v>
      </c>
      <c r="AI5">
        <f t="shared" ref="AI5:AI25" si="29">AVERAGE(AG5,AH5)</f>
        <v>529.48956399172107</v>
      </c>
      <c r="AJ5">
        <f>S5/(Z5*AVERAGE(Parameters!$B$25,Parameters!$B$26))</f>
        <v>495.00887549921856</v>
      </c>
      <c r="AK5">
        <f>AF5/AVERAGE(Parameters!$B$25,Parameters!$B$26)</f>
        <v>40.353569805176292</v>
      </c>
      <c r="AL5">
        <f>I5/60000*1/Parameters!$B$9</f>
        <v>0.11605047933784035</v>
      </c>
      <c r="AM5">
        <f>J5/60000*1/Parameters!$B$10</f>
        <v>0.13262911924324616</v>
      </c>
      <c r="AN5">
        <f>Parameters!$B$18</f>
        <v>1.6E-2</v>
      </c>
      <c r="AO5">
        <f>Parameters!$B$22</f>
        <v>8.0000000000000002E-3</v>
      </c>
      <c r="AP5" s="1">
        <f t="shared" si="9"/>
        <v>5.9511403199999998E-4</v>
      </c>
      <c r="AQ5" s="1">
        <f t="shared" si="10"/>
        <v>7.6481028799999992E-4</v>
      </c>
      <c r="AR5" s="13">
        <f t="shared" si="11"/>
        <v>3088.972074690796</v>
      </c>
      <c r="AS5" s="13">
        <f t="shared" si="12"/>
        <v>1379.8152846681267</v>
      </c>
      <c r="AT5" s="1">
        <f t="shared" si="13"/>
        <v>0.63679548783999995</v>
      </c>
      <c r="AU5" s="1">
        <f t="shared" si="14"/>
        <v>0.62049395056000001</v>
      </c>
      <c r="AV5" s="15">
        <f t="shared" ref="AV5:AW25" si="30">AP5*$BR$15/AT5</f>
        <v>3.8007944691218154</v>
      </c>
      <c r="AW5" s="15">
        <f t="shared" si="30"/>
        <v>5.0129150147052473</v>
      </c>
      <c r="AX5" s="15">
        <f t="shared" ref="AX5:AX25" si="31">50*AN5</f>
        <v>0.8</v>
      </c>
      <c r="AY5" s="15">
        <f t="shared" ref="AY5:AY25" si="32">10*AN5</f>
        <v>0.16</v>
      </c>
      <c r="AZ5" s="15">
        <f t="shared" si="15"/>
        <v>0.55192611386725066</v>
      </c>
      <c r="BA5" s="15">
        <f t="shared" si="16"/>
        <v>2.7667587032130587</v>
      </c>
      <c r="BB5" s="15">
        <f t="shared" ref="BB5:BB25" si="33">(0.79*LN(AR5)-1.64)^(-2)</f>
        <v>4.5113356456734033E-2</v>
      </c>
      <c r="BC5" s="15">
        <f t="shared" ref="BC5:BC25" si="34">((BB5/8)*(AR5-1000)*AV5)/(1+12.7*(BB5/8)^(1/2)*(AV5^(2/3)-1))</f>
        <v>18.899740325017014</v>
      </c>
      <c r="BD5" s="15">
        <f t="shared" ref="BD5:BD25" si="35">BC5*AT5/AN5</f>
        <v>752.20433501990806</v>
      </c>
      <c r="BE5" s="15">
        <f t="shared" ref="BE5:BE25" si="36">AS5*AW5*AO5/1</f>
        <v>55.335174064261174</v>
      </c>
      <c r="BF5" s="15">
        <f t="shared" ref="BF5:BF14" si="37">1.953*(BE5)^(1/3)</f>
        <v>7.4422228447661727</v>
      </c>
      <c r="BG5" s="15">
        <f>BF5*(0.86*(Parameters!$B$14/Parameters!$B$17)^(0.16))</f>
        <v>6.7881785362076217</v>
      </c>
      <c r="BH5" s="15">
        <f t="shared" ref="BH5:BH25" si="38">BG5*AU5/AO5</f>
        <v>526.50296462975825</v>
      </c>
      <c r="BI5" s="15">
        <f>1/(BD5*Parameters!$B$25)</f>
        <v>2.6448089914239043E-2</v>
      </c>
      <c r="BJ5" s="15">
        <f>1/(BH5*Parameters!$B$26)</f>
        <v>3.3587432082555546E-2</v>
      </c>
      <c r="BK5" s="24">
        <f>LN(Parameters!$B$17/Parameters!$B$18)/(2*PI()*Parameters!$B$6*1)</f>
        <v>1.2497168224721593E-3</v>
      </c>
      <c r="BL5" s="15">
        <f t="shared" ref="BL5:BL25" si="39">(BI5+BJ5+BK5)^(-1)</f>
        <v>16.317142908572983</v>
      </c>
      <c r="BM5" s="15">
        <f>BL5/(AVERAGE(Parameters!$B$25, Parameters!$B$26))</f>
        <v>305.52399423955961</v>
      </c>
      <c r="BN5" s="15"/>
      <c r="BP5" t="s">
        <v>72</v>
      </c>
      <c r="BQ5" t="s">
        <v>70</v>
      </c>
      <c r="BR5" t="s">
        <v>71</v>
      </c>
      <c r="BS5" t="s">
        <v>69</v>
      </c>
    </row>
    <row r="6" spans="1:75" x14ac:dyDescent="0.55000000000000004">
      <c r="A6" t="s">
        <v>42</v>
      </c>
      <c r="B6" s="2">
        <v>54.6</v>
      </c>
      <c r="C6" s="2">
        <v>49.4</v>
      </c>
      <c r="D6" s="2">
        <v>46.8</v>
      </c>
      <c r="E6" s="2">
        <v>44.8</v>
      </c>
      <c r="F6" s="2">
        <v>32.799999999999997</v>
      </c>
      <c r="G6" s="2">
        <v>30.5</v>
      </c>
      <c r="H6" s="2">
        <v>29.5</v>
      </c>
      <c r="I6" s="3">
        <v>1.4</v>
      </c>
      <c r="J6" s="3">
        <v>2.2000000000000002</v>
      </c>
      <c r="K6">
        <f t="shared" si="17"/>
        <v>47.099999999999994</v>
      </c>
      <c r="L6">
        <f t="shared" si="18"/>
        <v>31.15</v>
      </c>
      <c r="M6">
        <f t="shared" si="0"/>
        <v>988.58419507999997</v>
      </c>
      <c r="N6">
        <f t="shared" si="1"/>
        <v>994.48392463000005</v>
      </c>
      <c r="O6">
        <f t="shared" si="19"/>
        <v>2.3066964551866666E-2</v>
      </c>
      <c r="P6">
        <f t="shared" si="19"/>
        <v>3.6464410569766674E-2</v>
      </c>
      <c r="Q6">
        <f t="shared" si="20"/>
        <v>1.6476403251333334E-3</v>
      </c>
      <c r="R6">
        <f t="shared" si="21"/>
        <v>1.6574732077166668E-3</v>
      </c>
      <c r="S6">
        <f t="shared" si="2"/>
        <v>431.5413862292321</v>
      </c>
      <c r="T6">
        <f t="shared" si="3"/>
        <v>489.39250069789506</v>
      </c>
      <c r="U6">
        <f t="shared" si="22"/>
        <v>57.851114468662956</v>
      </c>
      <c r="V6">
        <f t="shared" si="4"/>
        <v>33.558330819585215</v>
      </c>
      <c r="W6">
        <f t="shared" si="5"/>
        <v>16.600000000000001</v>
      </c>
      <c r="X6">
        <f t="shared" si="6"/>
        <v>15.299999999999997</v>
      </c>
      <c r="Y6">
        <f t="shared" si="23"/>
        <v>0.14142135623730953</v>
      </c>
      <c r="Z6">
        <f t="shared" si="24"/>
        <v>15.941166410144639</v>
      </c>
      <c r="AA6">
        <f t="shared" si="25"/>
        <v>0.48668099594426617</v>
      </c>
      <c r="AB6">
        <f t="shared" si="26"/>
        <v>0.5138733253248301</v>
      </c>
      <c r="AC6">
        <f t="shared" si="27"/>
        <v>0.10009237596277767</v>
      </c>
      <c r="AD6">
        <f t="shared" si="7"/>
        <v>27.070878951154278</v>
      </c>
      <c r="AE6">
        <f t="shared" si="8"/>
        <v>30.699917942419539</v>
      </c>
      <c r="AF6">
        <f t="shared" si="28"/>
        <v>2.1051779683594831</v>
      </c>
      <c r="AG6">
        <f>AD6/Parameters!$B$25</f>
        <v>538.55802486481832</v>
      </c>
      <c r="AH6">
        <f>AE6/Parameters!$B$26</f>
        <v>542.8937436724043</v>
      </c>
      <c r="AI6">
        <f t="shared" si="29"/>
        <v>540.72588426861125</v>
      </c>
      <c r="AJ6">
        <f>S6/(Z6*AVERAGE(Parameters!$B$25,Parameters!$B$26))</f>
        <v>506.87814104924081</v>
      </c>
      <c r="AK6">
        <f>AF6/AVERAGE(Parameters!$B$25,Parameters!$B$26)</f>
        <v>39.41758585324299</v>
      </c>
      <c r="AL6">
        <f>I6/60000*1/Parameters!$B$9</f>
        <v>0.11605047933784035</v>
      </c>
      <c r="AM6">
        <f>J6/60000*1/Parameters!$B$10</f>
        <v>0.13262911924324616</v>
      </c>
      <c r="AN6">
        <f>Parameters!$B$18</f>
        <v>1.6E-2</v>
      </c>
      <c r="AO6">
        <f>Parameters!$B$22</f>
        <v>8.0000000000000002E-3</v>
      </c>
      <c r="AP6" s="1">
        <f t="shared" si="9"/>
        <v>5.5822294699999994E-4</v>
      </c>
      <c r="AQ6" s="1">
        <f t="shared" si="10"/>
        <v>7.5944376074999994E-4</v>
      </c>
      <c r="AR6" s="13">
        <f t="shared" si="11"/>
        <v>3288.3111042684413</v>
      </c>
      <c r="AS6" s="13">
        <f t="shared" si="12"/>
        <v>1389.411923221136</v>
      </c>
      <c r="AT6" s="1">
        <f t="shared" si="13"/>
        <v>0.64081245638999995</v>
      </c>
      <c r="AU6" s="1">
        <f t="shared" si="14"/>
        <v>0.62097333997749993</v>
      </c>
      <c r="AV6" s="15">
        <f t="shared" si="30"/>
        <v>3.5428348853245364</v>
      </c>
      <c r="AW6" s="15">
        <f t="shared" si="30"/>
        <v>4.9738975510320023</v>
      </c>
      <c r="AX6" s="15">
        <f t="shared" si="31"/>
        <v>0.8</v>
      </c>
      <c r="AY6" s="15">
        <f t="shared" si="32"/>
        <v>0.16</v>
      </c>
      <c r="AZ6" s="15">
        <f t="shared" si="15"/>
        <v>0.55576476928845442</v>
      </c>
      <c r="BA6" s="15">
        <f t="shared" si="16"/>
        <v>2.764317024913709</v>
      </c>
      <c r="BB6" s="15">
        <f t="shared" si="33"/>
        <v>4.4181285970698668E-2</v>
      </c>
      <c r="BC6" s="15">
        <f t="shared" si="34"/>
        <v>19.902792655740217</v>
      </c>
      <c r="BD6" s="15">
        <f t="shared" si="35"/>
        <v>797.12234067160864</v>
      </c>
      <c r="BE6" s="15">
        <f t="shared" si="36"/>
        <v>55.286340498274186</v>
      </c>
      <c r="BF6" s="15">
        <f t="shared" si="37"/>
        <v>7.4400329342276539</v>
      </c>
      <c r="BG6" s="15">
        <f>BF6*(0.86*(Parameters!$B$14/Parameters!$B$17)^(0.16))</f>
        <v>6.7861810814116739</v>
      </c>
      <c r="BH6" s="15">
        <f t="shared" si="38"/>
        <v>526.75469147704121</v>
      </c>
      <c r="BI6" s="15">
        <f>1/(BD6*Parameters!$B$25)</f>
        <v>2.4957734680632695E-2</v>
      </c>
      <c r="BJ6" s="15">
        <f>1/(BH6*Parameters!$B$26)</f>
        <v>3.3571381236643258E-2</v>
      </c>
      <c r="BK6" s="24">
        <f>LN(Parameters!$B$17/Parameters!$B$18)/(2*PI()*Parameters!$B$6*1)</f>
        <v>1.2497168224721593E-3</v>
      </c>
      <c r="BL6" s="15">
        <f t="shared" si="39"/>
        <v>16.728329312711395</v>
      </c>
      <c r="BM6" s="15">
        <f>BL6/(AVERAGE(Parameters!$B$25, Parameters!$B$26))</f>
        <v>313.22309409259611</v>
      </c>
      <c r="BN6" s="15"/>
      <c r="BP6" s="11" t="s">
        <v>74</v>
      </c>
      <c r="BQ6">
        <v>-3.4120000000000001E-3</v>
      </c>
      <c r="BR6">
        <v>-0.10290000000000001</v>
      </c>
      <c r="BS6">
        <v>1001</v>
      </c>
    </row>
    <row r="7" spans="1:75" x14ac:dyDescent="0.55000000000000004">
      <c r="A7" t="s">
        <v>42</v>
      </c>
      <c r="B7" s="2">
        <v>59.7</v>
      </c>
      <c r="C7" s="2">
        <v>54.1</v>
      </c>
      <c r="D7" s="2">
        <v>50.6</v>
      </c>
      <c r="E7" s="2">
        <v>48.2</v>
      </c>
      <c r="F7" s="2">
        <v>33.700000000000003</v>
      </c>
      <c r="G7" s="2">
        <v>31</v>
      </c>
      <c r="H7" s="2">
        <v>29.5</v>
      </c>
      <c r="I7" s="3">
        <v>1.4</v>
      </c>
      <c r="J7" s="3">
        <v>2.2000000000000002</v>
      </c>
      <c r="K7">
        <f t="shared" si="17"/>
        <v>51.150000000000006</v>
      </c>
      <c r="L7">
        <f t="shared" si="18"/>
        <v>31.6</v>
      </c>
      <c r="M7">
        <f t="shared" si="0"/>
        <v>986.80977263</v>
      </c>
      <c r="N7">
        <f t="shared" si="1"/>
        <v>994.34127328</v>
      </c>
      <c r="O7">
        <f t="shared" si="19"/>
        <v>2.3025561361366666E-2</v>
      </c>
      <c r="P7">
        <f t="shared" si="19"/>
        <v>3.6459180020266671E-2</v>
      </c>
      <c r="Q7">
        <f t="shared" si="20"/>
        <v>1.6446829543833334E-3</v>
      </c>
      <c r="R7">
        <f t="shared" si="21"/>
        <v>1.6572354554666667E-3</v>
      </c>
      <c r="S7">
        <f t="shared" si="2"/>
        <v>552.50525253440151</v>
      </c>
      <c r="T7">
        <f t="shared" si="3"/>
        <v>622.7738375981836</v>
      </c>
      <c r="U7">
        <f t="shared" si="22"/>
        <v>70.268585063782098</v>
      </c>
      <c r="V7">
        <f t="shared" si="4"/>
        <v>41.627479181075778</v>
      </c>
      <c r="W7">
        <f t="shared" si="5"/>
        <v>20.399999999999999</v>
      </c>
      <c r="X7">
        <f t="shared" si="6"/>
        <v>18.700000000000003</v>
      </c>
      <c r="Y7">
        <f t="shared" si="23"/>
        <v>0.14142135623730953</v>
      </c>
      <c r="Z7">
        <f t="shared" si="24"/>
        <v>19.537674943388282</v>
      </c>
      <c r="AA7">
        <f t="shared" si="25"/>
        <v>0.48580815027736446</v>
      </c>
      <c r="AB7">
        <f t="shared" si="26"/>
        <v>0.51482292394279283</v>
      </c>
      <c r="AC7">
        <f t="shared" si="27"/>
        <v>0.1001051648910206</v>
      </c>
      <c r="AD7">
        <f t="shared" si="7"/>
        <v>28.278966362953749</v>
      </c>
      <c r="AE7">
        <f t="shared" si="8"/>
        <v>31.875534801490577</v>
      </c>
      <c r="AF7">
        <f t="shared" si="28"/>
        <v>2.1306540162255754</v>
      </c>
      <c r="AG7">
        <f>AD7/Parameters!$B$25</f>
        <v>562.59216027419075</v>
      </c>
      <c r="AH7">
        <f>AE7/Parameters!$B$26</f>
        <v>563.68321415055141</v>
      </c>
      <c r="AI7">
        <f t="shared" si="29"/>
        <v>563.13768721237102</v>
      </c>
      <c r="AJ7">
        <f>S7/(Z7*AVERAGE(Parameters!$B$25,Parameters!$B$26))</f>
        <v>529.49850378747374</v>
      </c>
      <c r="AK7">
        <f>AF7/AVERAGE(Parameters!$B$25,Parameters!$B$26)</f>
        <v>39.894602200105851</v>
      </c>
      <c r="AL7">
        <f>I7/60000*1/Parameters!$B$9</f>
        <v>0.11605047933784035</v>
      </c>
      <c r="AM7">
        <f>J7/60000*1/Parameters!$B$10</f>
        <v>0.13262911924324616</v>
      </c>
      <c r="AN7">
        <f>Parameters!$B$18</f>
        <v>1.6E-2</v>
      </c>
      <c r="AO7">
        <f>Parameters!$B$22</f>
        <v>8.0000000000000002E-3</v>
      </c>
      <c r="AP7" s="1">
        <f t="shared" si="9"/>
        <v>5.2063196074999987E-4</v>
      </c>
      <c r="AQ7" s="1">
        <f t="shared" si="10"/>
        <v>7.526039519999999E-4</v>
      </c>
      <c r="AR7" s="13">
        <f t="shared" si="11"/>
        <v>3519.4073591334518</v>
      </c>
      <c r="AS7" s="13">
        <f t="shared" si="12"/>
        <v>1401.8380525573891</v>
      </c>
      <c r="AT7" s="1">
        <f t="shared" si="13"/>
        <v>0.64522457397749999</v>
      </c>
      <c r="AU7" s="1">
        <f t="shared" si="14"/>
        <v>0.62158691824000001</v>
      </c>
      <c r="AV7" s="15">
        <f t="shared" si="30"/>
        <v>3.2816638884620146</v>
      </c>
      <c r="AW7" s="15">
        <f t="shared" si="30"/>
        <v>4.9242353449951199</v>
      </c>
      <c r="AX7" s="15">
        <f t="shared" si="31"/>
        <v>0.8</v>
      </c>
      <c r="AY7" s="15">
        <f t="shared" si="32"/>
        <v>0.16</v>
      </c>
      <c r="AZ7" s="15">
        <f t="shared" si="15"/>
        <v>0.5607352210229557</v>
      </c>
      <c r="BA7" s="15">
        <f t="shared" si="16"/>
        <v>2.761192194544889</v>
      </c>
      <c r="BB7" s="15">
        <f t="shared" si="33"/>
        <v>4.3201336273595438E-2</v>
      </c>
      <c r="BC7" s="15">
        <f t="shared" si="34"/>
        <v>20.984125080616106</v>
      </c>
      <c r="BD7" s="15">
        <f t="shared" si="35"/>
        <v>846.21707283944363</v>
      </c>
      <c r="BE7" s="15">
        <f t="shared" si="36"/>
        <v>55.223843890897776</v>
      </c>
      <c r="BF7" s="15">
        <f t="shared" si="37"/>
        <v>7.4372284311686956</v>
      </c>
      <c r="BG7" s="15">
        <f>BF7*(0.86*(Parameters!$B$14/Parameters!$B$17)^(0.16))</f>
        <v>6.783623046283374</v>
      </c>
      <c r="BH7" s="15">
        <f t="shared" si="38"/>
        <v>527.07641798014038</v>
      </c>
      <c r="BI7" s="15">
        <f>1/(BD7*Parameters!$B$25)</f>
        <v>2.3509768976572705E-2</v>
      </c>
      <c r="BJ7" s="15">
        <f>1/(BH7*Parameters!$B$26)</f>
        <v>3.3550889325563528E-2</v>
      </c>
      <c r="BK7" s="24">
        <f>LN(Parameters!$B$17/Parameters!$B$18)/(2*PI()*Parameters!$B$6*1)</f>
        <v>1.2497168224721593E-3</v>
      </c>
      <c r="BL7" s="15">
        <f t="shared" si="39"/>
        <v>17.149606701432038</v>
      </c>
      <c r="BM7" s="15">
        <f>BL7/(AVERAGE(Parameters!$B$25, Parameters!$B$26))</f>
        <v>321.11113866056508</v>
      </c>
      <c r="BN7" s="15"/>
      <c r="BP7" s="11" t="s">
        <v>61</v>
      </c>
      <c r="BQ7" s="1">
        <v>1.667E-7</v>
      </c>
      <c r="BR7" s="1">
        <v>-2.5660000000000002E-5</v>
      </c>
      <c r="BS7">
        <v>1.397E-3</v>
      </c>
    </row>
    <row r="8" spans="1:75" x14ac:dyDescent="0.55000000000000004">
      <c r="A8" t="s">
        <v>42</v>
      </c>
      <c r="B8" s="2">
        <v>59.7</v>
      </c>
      <c r="C8" s="2">
        <v>53.8</v>
      </c>
      <c r="D8" s="2">
        <v>49.2</v>
      </c>
      <c r="E8" s="2">
        <v>47.7</v>
      </c>
      <c r="F8" s="2">
        <v>33.200000000000003</v>
      </c>
      <c r="G8" s="2">
        <v>30.6</v>
      </c>
      <c r="H8" s="2">
        <v>29.5</v>
      </c>
      <c r="I8" s="3">
        <v>1</v>
      </c>
      <c r="J8" s="3">
        <v>2.2000000000000002</v>
      </c>
      <c r="K8">
        <f t="shared" si="17"/>
        <v>50.75</v>
      </c>
      <c r="L8">
        <f t="shared" si="18"/>
        <v>31.35</v>
      </c>
      <c r="M8">
        <f t="shared" si="0"/>
        <v>986.99000575000002</v>
      </c>
      <c r="N8">
        <f t="shared" si="1"/>
        <v>994.42069462999996</v>
      </c>
      <c r="O8">
        <f t="shared" si="19"/>
        <v>1.6449833429166668E-2</v>
      </c>
      <c r="P8">
        <f t="shared" si="19"/>
        <v>3.6462092136433338E-2</v>
      </c>
      <c r="Q8">
        <f t="shared" si="20"/>
        <v>1.6449833429166669E-3</v>
      </c>
      <c r="R8">
        <f t="shared" si="21"/>
        <v>1.6573678243833332E-3</v>
      </c>
      <c r="S8">
        <f t="shared" si="2"/>
        <v>408.09898259416673</v>
      </c>
      <c r="T8">
        <f t="shared" si="3"/>
        <v>548.67791625983568</v>
      </c>
      <c r="U8">
        <f t="shared" si="22"/>
        <v>140.57893366566896</v>
      </c>
      <c r="V8">
        <f t="shared" si="4"/>
        <v>41.892289702859294</v>
      </c>
      <c r="W8">
        <f t="shared" si="5"/>
        <v>20.599999999999994</v>
      </c>
      <c r="X8">
        <f t="shared" si="6"/>
        <v>18.200000000000003</v>
      </c>
      <c r="Y8">
        <f t="shared" si="23"/>
        <v>0.14142135623730953</v>
      </c>
      <c r="Z8">
        <f t="shared" si="24"/>
        <v>19.375232436709815</v>
      </c>
      <c r="AA8">
        <f t="shared" si="25"/>
        <v>0.4799788879387169</v>
      </c>
      <c r="AB8">
        <f t="shared" si="26"/>
        <v>0.52130040358090346</v>
      </c>
      <c r="AC8">
        <f t="shared" si="27"/>
        <v>0.10021315718412432</v>
      </c>
      <c r="AD8">
        <f t="shared" si="7"/>
        <v>21.062920608939422</v>
      </c>
      <c r="AE8">
        <f t="shared" si="8"/>
        <v>28.318520464315466</v>
      </c>
      <c r="AF8">
        <f t="shared" si="28"/>
        <v>2.1621856762977272</v>
      </c>
      <c r="AG8">
        <f>AD8/Parameters!$B$25</f>
        <v>419.03349135810788</v>
      </c>
      <c r="AH8">
        <f>AE8/Parameters!$B$26</f>
        <v>500.78139032720026</v>
      </c>
      <c r="AI8">
        <f t="shared" si="29"/>
        <v>459.90744084265407</v>
      </c>
      <c r="AJ8">
        <f>S8/(Z8*AVERAGE(Parameters!$B$25,Parameters!$B$26))</f>
        <v>394.38446245468975</v>
      </c>
      <c r="AK8">
        <f>AF8/AVERAGE(Parameters!$B$25,Parameters!$B$26)</f>
        <v>40.485004501797185</v>
      </c>
      <c r="AL8">
        <f>I8/60000*1/Parameters!$B$9</f>
        <v>8.2893199527028838E-2</v>
      </c>
      <c r="AM8">
        <f>J8/60000*1/Parameters!$B$10</f>
        <v>0.13262911924324616</v>
      </c>
      <c r="AN8">
        <f>Parameters!$B$18</f>
        <v>1.6E-2</v>
      </c>
      <c r="AO8">
        <f>Parameters!$B$22</f>
        <v>8.0000000000000002E-3</v>
      </c>
      <c r="AP8" s="1">
        <f t="shared" si="9"/>
        <v>5.2410126875000003E-4</v>
      </c>
      <c r="AQ8" s="1">
        <f t="shared" si="10"/>
        <v>7.5639551074999989E-4</v>
      </c>
      <c r="AR8" s="13">
        <f t="shared" si="11"/>
        <v>2497.6778910823605</v>
      </c>
      <c r="AS8" s="13">
        <f t="shared" si="12"/>
        <v>1394.922513543318</v>
      </c>
      <c r="AT8" s="1">
        <f t="shared" si="13"/>
        <v>0.64480008193749994</v>
      </c>
      <c r="AU8" s="1">
        <f t="shared" si="14"/>
        <v>0.62124642747749992</v>
      </c>
      <c r="AV8" s="15">
        <f t="shared" si="30"/>
        <v>3.3057065588475796</v>
      </c>
      <c r="AW8" s="15">
        <f t="shared" si="30"/>
        <v>4.9517557062035005</v>
      </c>
      <c r="AX8" s="15">
        <f t="shared" si="31"/>
        <v>0.8</v>
      </c>
      <c r="AY8" s="15">
        <f t="shared" si="32"/>
        <v>0.16</v>
      </c>
      <c r="AZ8" s="15">
        <f t="shared" si="15"/>
        <v>0.55796900541732719</v>
      </c>
      <c r="BA8" s="15">
        <f t="shared" si="16"/>
        <v>2.7629262064599418</v>
      </c>
      <c r="BB8" s="15">
        <f t="shared" si="33"/>
        <v>4.8510765495024769E-2</v>
      </c>
      <c r="BC8" s="15">
        <f t="shared" si="34"/>
        <v>13.611224196815911</v>
      </c>
      <c r="BD8" s="15">
        <f t="shared" si="35"/>
        <v>548.53240483603633</v>
      </c>
      <c r="BE8" s="15">
        <f t="shared" si="36"/>
        <v>55.25852412919884</v>
      </c>
      <c r="BF8" s="15">
        <f t="shared" si="37"/>
        <v>7.438784950135898</v>
      </c>
      <c r="BG8" s="15">
        <f>BF8*(0.86*(Parameters!$B$14/Parameters!$B$17)^(0.16))</f>
        <v>6.7850427738116617</v>
      </c>
      <c r="BH8" s="15">
        <f t="shared" si="38"/>
        <v>526.89794793906515</v>
      </c>
      <c r="BI8" s="15">
        <f>1/(BD8*Parameters!$B$25)</f>
        <v>3.6268354815671484E-2</v>
      </c>
      <c r="BJ8" s="15">
        <f>1/(BH8*Parameters!$B$26)</f>
        <v>3.356225362982674E-2</v>
      </c>
      <c r="BK8" s="24">
        <f>LN(Parameters!$B$17/Parameters!$B$18)/(2*PI()*Parameters!$B$6*1)</f>
        <v>1.2497168224721593E-3</v>
      </c>
      <c r="BL8" s="15">
        <f t="shared" si="39"/>
        <v>14.068590657541794</v>
      </c>
      <c r="BM8" s="15">
        <f>BL8/(AVERAGE(Parameters!$B$25, Parameters!$B$26))</f>
        <v>263.42185240991</v>
      </c>
      <c r="BN8" s="15"/>
      <c r="BP8" s="11" t="s">
        <v>63</v>
      </c>
      <c r="BQ8" s="25" t="s">
        <v>73</v>
      </c>
      <c r="BR8" s="25"/>
      <c r="BS8" s="25"/>
    </row>
    <row r="9" spans="1:75" x14ac:dyDescent="0.55000000000000004">
      <c r="A9" t="s">
        <v>42</v>
      </c>
      <c r="B9" s="2">
        <v>59.9</v>
      </c>
      <c r="C9" s="2">
        <v>54.1</v>
      </c>
      <c r="D9" s="2">
        <v>50.2</v>
      </c>
      <c r="E9" s="2">
        <v>48.1</v>
      </c>
      <c r="F9" s="2">
        <v>33.5</v>
      </c>
      <c r="G9" s="2">
        <v>30.8</v>
      </c>
      <c r="H9" s="2">
        <v>29.5</v>
      </c>
      <c r="I9" s="3">
        <v>1.2</v>
      </c>
      <c r="J9" s="3">
        <v>2.2000000000000002</v>
      </c>
      <c r="K9">
        <f t="shared" si="17"/>
        <v>51.1</v>
      </c>
      <c r="L9">
        <f t="shared" si="18"/>
        <v>31.5</v>
      </c>
      <c r="M9">
        <f t="shared" si="0"/>
        <v>986.83236148000003</v>
      </c>
      <c r="N9">
        <f t="shared" si="1"/>
        <v>994.37309300000004</v>
      </c>
      <c r="O9">
        <f t="shared" si="19"/>
        <v>1.9736647229599998E-2</v>
      </c>
      <c r="P9">
        <f t="shared" si="19"/>
        <v>3.6460346743333337E-2</v>
      </c>
      <c r="Q9">
        <f t="shared" si="20"/>
        <v>1.6447206024666667E-3</v>
      </c>
      <c r="R9">
        <f t="shared" si="21"/>
        <v>1.6572884883333334E-3</v>
      </c>
      <c r="S9">
        <f t="shared" si="2"/>
        <v>481.61366569669917</v>
      </c>
      <c r="T9">
        <f t="shared" si="3"/>
        <v>593.13692082054672</v>
      </c>
      <c r="U9">
        <f t="shared" si="22"/>
        <v>111.52325512384755</v>
      </c>
      <c r="V9">
        <f t="shared" si="4"/>
        <v>41.708966930308762</v>
      </c>
      <c r="W9">
        <f t="shared" si="5"/>
        <v>20.6</v>
      </c>
      <c r="X9">
        <f t="shared" si="6"/>
        <v>18.600000000000001</v>
      </c>
      <c r="Y9">
        <f t="shared" si="23"/>
        <v>0.14142135623730953</v>
      </c>
      <c r="Z9">
        <f t="shared" si="24"/>
        <v>19.582981375794102</v>
      </c>
      <c r="AA9">
        <f t="shared" si="25"/>
        <v>0.48340429069562818</v>
      </c>
      <c r="AB9">
        <f t="shared" si="26"/>
        <v>0.51746521437979187</v>
      </c>
      <c r="AC9">
        <f t="shared" si="27"/>
        <v>0.10014489066907682</v>
      </c>
      <c r="AD9">
        <f t="shared" si="7"/>
        <v>24.593480249744118</v>
      </c>
      <c r="AE9">
        <f t="shared" si="8"/>
        <v>30.288387117280536</v>
      </c>
      <c r="AF9">
        <f t="shared" si="28"/>
        <v>2.1298857158977929</v>
      </c>
      <c r="AG9">
        <f>AD9/Parameters!$B$25</f>
        <v>489.27174369745961</v>
      </c>
      <c r="AH9">
        <f>AE9/Parameters!$B$26</f>
        <v>535.61628088845339</v>
      </c>
      <c r="AI9">
        <f t="shared" si="29"/>
        <v>512.44401229295647</v>
      </c>
      <c r="AJ9">
        <f>S9/(Z9*AVERAGE(Parameters!$B$25,Parameters!$B$26))</f>
        <v>460.49105289172678</v>
      </c>
      <c r="AK9">
        <f>AF9/AVERAGE(Parameters!$B$25,Parameters!$B$26)</f>
        <v>39.880216459524</v>
      </c>
      <c r="AL9">
        <f>I9/60000*1/Parameters!$B$9</f>
        <v>9.9471839432434581E-2</v>
      </c>
      <c r="AM9">
        <f>J9/60000*1/Parameters!$B$10</f>
        <v>0.13262911924324616</v>
      </c>
      <c r="AN9">
        <f>Parameters!$B$18</f>
        <v>1.6E-2</v>
      </c>
      <c r="AO9">
        <f>Parameters!$B$22</f>
        <v>8.0000000000000002E-3</v>
      </c>
      <c r="AP9" s="1">
        <f t="shared" si="9"/>
        <v>5.2106270699999986E-4</v>
      </c>
      <c r="AQ9" s="1">
        <f t="shared" si="10"/>
        <v>7.5411807499999994E-4</v>
      </c>
      <c r="AR9" s="13">
        <f t="shared" si="11"/>
        <v>3014.2101175663324</v>
      </c>
      <c r="AS9" s="13">
        <f t="shared" si="12"/>
        <v>1399.068203199055</v>
      </c>
      <c r="AT9" s="1">
        <f t="shared" si="13"/>
        <v>0.64517164759000001</v>
      </c>
      <c r="AU9" s="1">
        <f t="shared" si="14"/>
        <v>0.62145083774999998</v>
      </c>
      <c r="AV9" s="15">
        <f t="shared" si="30"/>
        <v>3.2846484145498365</v>
      </c>
      <c r="AW9" s="15">
        <f t="shared" si="30"/>
        <v>4.9352225867604433</v>
      </c>
      <c r="AX9" s="15">
        <f t="shared" si="31"/>
        <v>0.8</v>
      </c>
      <c r="AY9" s="15">
        <f t="shared" si="32"/>
        <v>0.16</v>
      </c>
      <c r="AZ9" s="15">
        <f t="shared" si="15"/>
        <v>0.55962728127962202</v>
      </c>
      <c r="BA9" s="15">
        <f t="shared" si="16"/>
        <v>2.7618851987385304</v>
      </c>
      <c r="BB9" s="15">
        <f t="shared" si="33"/>
        <v>4.5486585483990323E-2</v>
      </c>
      <c r="BC9" s="15">
        <f t="shared" si="34"/>
        <v>17.428172279447747</v>
      </c>
      <c r="BD9" s="15">
        <f t="shared" si="35"/>
        <v>702.76016400085427</v>
      </c>
      <c r="BE9" s="15">
        <f t="shared" si="36"/>
        <v>55.237703974770611</v>
      </c>
      <c r="BF9" s="15">
        <f t="shared" si="37"/>
        <v>7.4378505778119504</v>
      </c>
      <c r="BG9" s="15">
        <f>BF9*(0.86*(Parameters!$B$14/Parameters!$B$17)^(0.16))</f>
        <v>6.7841905168601366</v>
      </c>
      <c r="BH9" s="15">
        <f t="shared" si="38"/>
        <v>527.00511001979214</v>
      </c>
      <c r="BI9" s="15">
        <f>1/(BD9*Parameters!$B$25)</f>
        <v>2.8308900967333052E-2</v>
      </c>
      <c r="BJ9" s="15">
        <f>1/(BH9*Parameters!$B$26)</f>
        <v>3.3555429026299224E-2</v>
      </c>
      <c r="BK9" s="24">
        <f>LN(Parameters!$B$17/Parameters!$B$18)/(2*PI()*Parameters!$B$6*1)</f>
        <v>1.2497168224721593E-3</v>
      </c>
      <c r="BL9" s="15">
        <f t="shared" si="39"/>
        <v>15.844333400355431</v>
      </c>
      <c r="BM9" s="15">
        <f>BL9/(AVERAGE(Parameters!$B$25, Parameters!$B$26))</f>
        <v>296.67105654853947</v>
      </c>
      <c r="BN9" s="15"/>
      <c r="BP9" s="11" t="s">
        <v>60</v>
      </c>
      <c r="BQ9" s="1">
        <v>-7.7209999999999994E-6</v>
      </c>
      <c r="BR9">
        <v>1.848E-3</v>
      </c>
      <c r="BS9">
        <v>0.57089999999999996</v>
      </c>
    </row>
    <row r="10" spans="1:75" x14ac:dyDescent="0.55000000000000004">
      <c r="A10" t="s">
        <v>42</v>
      </c>
      <c r="B10" s="2">
        <v>59.4</v>
      </c>
      <c r="C10" s="2">
        <v>54.3</v>
      </c>
      <c r="D10" s="2">
        <v>50.8</v>
      </c>
      <c r="E10" s="2">
        <v>48.3</v>
      </c>
      <c r="F10" s="2">
        <v>33.799999999999997</v>
      </c>
      <c r="G10" s="2">
        <v>30.9</v>
      </c>
      <c r="H10" s="2">
        <v>29.5</v>
      </c>
      <c r="I10" s="3">
        <v>1.4</v>
      </c>
      <c r="J10" s="3">
        <v>2.2000000000000002</v>
      </c>
      <c r="K10">
        <f t="shared" si="17"/>
        <v>51.3</v>
      </c>
      <c r="L10">
        <f t="shared" si="18"/>
        <v>31.65</v>
      </c>
      <c r="M10">
        <f t="shared" si="0"/>
        <v>986.74190371999998</v>
      </c>
      <c r="N10">
        <f t="shared" si="1"/>
        <v>994.32533782999997</v>
      </c>
      <c r="O10">
        <f t="shared" si="19"/>
        <v>2.3023977753466665E-2</v>
      </c>
      <c r="P10">
        <f t="shared" si="19"/>
        <v>3.6458595720433334E-2</v>
      </c>
      <c r="Q10">
        <f t="shared" si="20"/>
        <v>1.6445698395333333E-3</v>
      </c>
      <c r="R10">
        <f t="shared" si="21"/>
        <v>1.6572088963833333E-3</v>
      </c>
      <c r="S10">
        <f t="shared" si="2"/>
        <v>561.83110514009354</v>
      </c>
      <c r="T10">
        <f t="shared" si="3"/>
        <v>637.5915678185097</v>
      </c>
      <c r="U10">
        <f t="shared" si="22"/>
        <v>75.760462678416161</v>
      </c>
      <c r="V10">
        <f t="shared" si="4"/>
        <v>42.25924755707706</v>
      </c>
      <c r="W10">
        <f t="shared" si="5"/>
        <v>20.5</v>
      </c>
      <c r="X10">
        <f t="shared" si="6"/>
        <v>18.799999999999997</v>
      </c>
      <c r="Y10">
        <f t="shared" si="23"/>
        <v>0.14142135623730953</v>
      </c>
      <c r="Z10">
        <f t="shared" si="24"/>
        <v>19.637737729169647</v>
      </c>
      <c r="AA10">
        <f t="shared" si="25"/>
        <v>0.48587891903371744</v>
      </c>
      <c r="AB10">
        <f t="shared" si="26"/>
        <v>0.51474573877546947</v>
      </c>
      <c r="AC10">
        <f t="shared" si="27"/>
        <v>0.10010409577523567</v>
      </c>
      <c r="AD10">
        <f t="shared" si="7"/>
        <v>28.609767219039529</v>
      </c>
      <c r="AE10">
        <f t="shared" si="8"/>
        <v>32.467668965322787</v>
      </c>
      <c r="AF10">
        <f t="shared" si="28"/>
        <v>2.1519686833153835</v>
      </c>
      <c r="AG10">
        <f>AD10/Parameters!$B$25</f>
        <v>569.17323420232606</v>
      </c>
      <c r="AH10">
        <f>AE10/Parameters!$B$26</f>
        <v>574.15444516693833</v>
      </c>
      <c r="AI10">
        <f t="shared" si="29"/>
        <v>571.66383968463219</v>
      </c>
      <c r="AJ10">
        <f>S10/(Z10*AVERAGE(Parameters!$B$25,Parameters!$B$26))</f>
        <v>535.6924557198364</v>
      </c>
      <c r="AK10">
        <f>AF10/AVERAGE(Parameters!$B$25,Parameters!$B$26)</f>
        <v>40.293700391600098</v>
      </c>
      <c r="AL10">
        <f>I10/60000*1/Parameters!$B$9</f>
        <v>0.11605047933784035</v>
      </c>
      <c r="AM10">
        <f>J10/60000*1/Parameters!$B$10</f>
        <v>0.13262911924324616</v>
      </c>
      <c r="AN10">
        <f>Parameters!$B$18</f>
        <v>1.6E-2</v>
      </c>
      <c r="AO10">
        <f>Parameters!$B$22</f>
        <v>8.0000000000000002E-3</v>
      </c>
      <c r="AP10" s="1">
        <f t="shared" si="9"/>
        <v>5.1934472299999986E-4</v>
      </c>
      <c r="AQ10" s="1">
        <f t="shared" si="10"/>
        <v>7.5184814075000004E-4</v>
      </c>
      <c r="AR10" s="13">
        <f t="shared" si="11"/>
        <v>3527.8878429097394</v>
      </c>
      <c r="AS10" s="13">
        <f t="shared" si="12"/>
        <v>1403.2247912838757</v>
      </c>
      <c r="AT10" s="1">
        <f t="shared" si="13"/>
        <v>0.64538312150999999</v>
      </c>
      <c r="AU10" s="1">
        <f t="shared" si="14"/>
        <v>0.62165490057749995</v>
      </c>
      <c r="AV10" s="15">
        <f t="shared" si="30"/>
        <v>3.2727459365518468</v>
      </c>
      <c r="AW10" s="15">
        <f t="shared" si="30"/>
        <v>4.9187521655337569</v>
      </c>
      <c r="AX10" s="15">
        <f t="shared" si="31"/>
        <v>0.8</v>
      </c>
      <c r="AY10" s="15">
        <f t="shared" si="32"/>
        <v>0.16</v>
      </c>
      <c r="AZ10" s="15">
        <f t="shared" si="15"/>
        <v>0.56128991651355031</v>
      </c>
      <c r="BA10" s="15">
        <f t="shared" si="16"/>
        <v>2.7608459923432873</v>
      </c>
      <c r="BB10" s="15">
        <f t="shared" si="33"/>
        <v>4.3167211180591324E-2</v>
      </c>
      <c r="BC10" s="15">
        <f t="shared" si="34"/>
        <v>21.022250889831948</v>
      </c>
      <c r="BD10" s="15">
        <f t="shared" si="35"/>
        <v>847.96286877788236</v>
      </c>
      <c r="BE10" s="15">
        <f t="shared" si="36"/>
        <v>55.216919846865743</v>
      </c>
      <c r="BF10" s="15">
        <f t="shared" si="37"/>
        <v>7.4369175880868132</v>
      </c>
      <c r="BG10" s="15">
        <f>BF10*(0.86*(Parameters!$B$14/Parameters!$B$17)^(0.16))</f>
        <v>6.7833395210005953</v>
      </c>
      <c r="BH10" s="15">
        <f t="shared" si="38"/>
        <v>527.11203193888139</v>
      </c>
      <c r="BI10" s="15">
        <f>1/(BD10*Parameters!$B$25)</f>
        <v>2.3461366787391844E-2</v>
      </c>
      <c r="BJ10" s="15">
        <f>1/(BH10*Parameters!$B$26)</f>
        <v>3.3548622483002999E-2</v>
      </c>
      <c r="BK10" s="24">
        <f>LN(Parameters!$B$17/Parameters!$B$18)/(2*PI()*Parameters!$B$6*1)</f>
        <v>1.2497168224721593E-3</v>
      </c>
      <c r="BL10" s="15">
        <f t="shared" si="39"/>
        <v>17.164521880800127</v>
      </c>
      <c r="BM10" s="15">
        <f>BL10/(AVERAGE(Parameters!$B$25, Parameters!$B$26))</f>
        <v>321.39041213392198</v>
      </c>
      <c r="BN10" s="15"/>
    </row>
    <row r="11" spans="1:75" x14ac:dyDescent="0.55000000000000004">
      <c r="A11" t="s">
        <v>42</v>
      </c>
      <c r="B11" s="2">
        <v>59.9</v>
      </c>
      <c r="C11" s="2">
        <v>54.4</v>
      </c>
      <c r="D11" s="2">
        <v>50.9</v>
      </c>
      <c r="E11" s="2">
        <v>48.5</v>
      </c>
      <c r="F11" s="2">
        <v>34</v>
      </c>
      <c r="G11" s="2">
        <v>31.1</v>
      </c>
      <c r="H11" s="2">
        <v>29.4</v>
      </c>
      <c r="I11" s="3">
        <v>1.4</v>
      </c>
      <c r="J11" s="3">
        <v>2</v>
      </c>
      <c r="K11">
        <f t="shared" si="17"/>
        <v>51.45</v>
      </c>
      <c r="L11">
        <f t="shared" si="18"/>
        <v>31.7</v>
      </c>
      <c r="M11">
        <f t="shared" si="0"/>
        <v>986.67388127000004</v>
      </c>
      <c r="N11">
        <f t="shared" si="1"/>
        <v>994.30938532000005</v>
      </c>
      <c r="O11">
        <f t="shared" si="19"/>
        <v>2.3022390562966667E-2</v>
      </c>
      <c r="P11">
        <f t="shared" si="19"/>
        <v>3.3143646177333334E-2</v>
      </c>
      <c r="Q11">
        <f t="shared" si="20"/>
        <v>1.6444564687833334E-3</v>
      </c>
      <c r="R11">
        <f t="shared" si="21"/>
        <v>1.6571823088666669E-3</v>
      </c>
      <c r="S11">
        <f t="shared" si="2"/>
        <v>552.42916827555393</v>
      </c>
      <c r="T11">
        <f t="shared" si="3"/>
        <v>620.05796141478766</v>
      </c>
      <c r="U11">
        <f t="shared" si="22"/>
        <v>67.628793139233721</v>
      </c>
      <c r="V11">
        <f t="shared" si="4"/>
        <v>41.621746754303992</v>
      </c>
      <c r="W11">
        <f t="shared" si="5"/>
        <v>20.399999999999999</v>
      </c>
      <c r="X11">
        <f t="shared" si="6"/>
        <v>19.100000000000001</v>
      </c>
      <c r="Y11">
        <f t="shared" si="23"/>
        <v>0.14142135623730953</v>
      </c>
      <c r="Z11">
        <f t="shared" si="24"/>
        <v>19.742867137463531</v>
      </c>
      <c r="AA11">
        <f t="shared" si="25"/>
        <v>0.48920387619603906</v>
      </c>
      <c r="AB11">
        <f t="shared" si="26"/>
        <v>0.51115749021279555</v>
      </c>
      <c r="AC11">
        <f t="shared" si="27"/>
        <v>0.10006022309448184</v>
      </c>
      <c r="AD11">
        <f t="shared" si="7"/>
        <v>27.981202751817101</v>
      </c>
      <c r="AE11">
        <f t="shared" si="8"/>
        <v>31.406682580473959</v>
      </c>
      <c r="AF11">
        <f t="shared" si="28"/>
        <v>2.1082186805269365</v>
      </c>
      <c r="AG11">
        <f>AD11/Parameters!$B$25</f>
        <v>556.66834145102951</v>
      </c>
      <c r="AH11">
        <f>AE11/Parameters!$B$26</f>
        <v>555.39208653339495</v>
      </c>
      <c r="AI11">
        <f t="shared" si="29"/>
        <v>556.03021399221223</v>
      </c>
      <c r="AJ11">
        <f>S11/(Z11*AVERAGE(Parameters!$B$25,Parameters!$B$26))</f>
        <v>523.92314489508669</v>
      </c>
      <c r="AK11">
        <f>AF11/AVERAGE(Parameters!$B$25,Parameters!$B$26)</f>
        <v>39.474520485239445</v>
      </c>
      <c r="AL11">
        <f>I11/60000*1/Parameters!$B$9</f>
        <v>0.11605047933784035</v>
      </c>
      <c r="AM11">
        <f>J11/60000*1/Parameters!$B$10</f>
        <v>0.12057192658476923</v>
      </c>
      <c r="AN11">
        <f>Parameters!$B$18</f>
        <v>1.6E-2</v>
      </c>
      <c r="AO11">
        <f>Parameters!$B$22</f>
        <v>8.0000000000000002E-3</v>
      </c>
      <c r="AP11" s="1">
        <f t="shared" si="9"/>
        <v>5.1806498675000001E-4</v>
      </c>
      <c r="AQ11" s="1">
        <f t="shared" si="10"/>
        <v>7.5109316299999999E-4</v>
      </c>
      <c r="AR11" s="13">
        <f t="shared" si="11"/>
        <v>3536.3587132906623</v>
      </c>
      <c r="AS11" s="13">
        <f t="shared" si="12"/>
        <v>1276.9206709911173</v>
      </c>
      <c r="AT11" s="1">
        <f t="shared" si="13"/>
        <v>0.6455413215975</v>
      </c>
      <c r="AU11" s="1">
        <f t="shared" si="14"/>
        <v>0.62172284430999991</v>
      </c>
      <c r="AV11" s="15">
        <f t="shared" si="30"/>
        <v>3.2638813823694499</v>
      </c>
      <c r="AW11" s="15">
        <f t="shared" si="30"/>
        <v>4.9132759426125974</v>
      </c>
      <c r="AX11" s="15">
        <f t="shared" si="31"/>
        <v>0.8</v>
      </c>
      <c r="AY11" s="15">
        <f t="shared" si="32"/>
        <v>0.16</v>
      </c>
      <c r="AZ11" s="15">
        <f t="shared" si="15"/>
        <v>0.51076826839644696</v>
      </c>
      <c r="BA11" s="15">
        <f t="shared" si="16"/>
        <v>2.5095454453621571</v>
      </c>
      <c r="BB11" s="15">
        <f t="shared" si="33"/>
        <v>4.3133246769135547E-2</v>
      </c>
      <c r="BC11" s="15">
        <f t="shared" si="34"/>
        <v>21.060227182861379</v>
      </c>
      <c r="BD11" s="15">
        <f t="shared" si="35"/>
        <v>849.70293054799549</v>
      </c>
      <c r="BE11" s="15">
        <f t="shared" si="36"/>
        <v>50.190908907243141</v>
      </c>
      <c r="BF11" s="15">
        <f t="shared" si="37"/>
        <v>7.2040590408035019</v>
      </c>
      <c r="BG11" s="15">
        <f>BF11*(0.86*(Parameters!$B$14/Parameters!$B$17)^(0.16))</f>
        <v>6.5709452638529884</v>
      </c>
      <c r="BH11" s="15">
        <f t="shared" si="38"/>
        <v>510.66334740600036</v>
      </c>
      <c r="BI11" s="15">
        <f>1/(BD11*Parameters!$B$25)</f>
        <v>2.3413321493026416E-2</v>
      </c>
      <c r="BJ11" s="15">
        <f>1/(BH11*Parameters!$B$26)</f>
        <v>3.4629237942363361E-2</v>
      </c>
      <c r="BK11" s="24">
        <f>LN(Parameters!$B$17/Parameters!$B$18)/(2*PI()*Parameters!$B$6*1)</f>
        <v>1.2497168224721593E-3</v>
      </c>
      <c r="BL11" s="15">
        <f t="shared" si="39"/>
        <v>16.865603129335142</v>
      </c>
      <c r="BM11" s="15">
        <f>BL11/(AVERAGE(Parameters!$B$25, Parameters!$B$26))</f>
        <v>315.79342426586197</v>
      </c>
      <c r="BN11" s="15"/>
      <c r="BV11" s="11" t="s">
        <v>74</v>
      </c>
      <c r="BW11">
        <f>$D$5*$G$11^2+$E$5*$G$11+$F$5</f>
        <v>43212.273000000001</v>
      </c>
    </row>
    <row r="12" spans="1:75" x14ac:dyDescent="0.55000000000000004">
      <c r="A12" t="s">
        <v>42</v>
      </c>
      <c r="B12" s="2">
        <v>59.9</v>
      </c>
      <c r="C12" s="2">
        <v>54.4</v>
      </c>
      <c r="D12" s="2">
        <v>51.1</v>
      </c>
      <c r="E12" s="2">
        <v>48.6</v>
      </c>
      <c r="F12" s="2">
        <v>34.5</v>
      </c>
      <c r="G12" s="2">
        <v>31.3</v>
      </c>
      <c r="H12" s="2">
        <v>29.4</v>
      </c>
      <c r="I12" s="3">
        <v>1.4</v>
      </c>
      <c r="J12" s="3">
        <v>1.8</v>
      </c>
      <c r="K12">
        <f t="shared" si="17"/>
        <v>51.5</v>
      </c>
      <c r="L12">
        <f t="shared" si="18"/>
        <v>31.95</v>
      </c>
      <c r="M12">
        <f t="shared" si="0"/>
        <v>986.65117299999997</v>
      </c>
      <c r="N12">
        <f t="shared" si="1"/>
        <v>994.22936687000004</v>
      </c>
      <c r="O12">
        <f t="shared" si="19"/>
        <v>2.3021860703333331E-2</v>
      </c>
      <c r="P12">
        <f t="shared" si="19"/>
        <v>2.9826881006100002E-2</v>
      </c>
      <c r="Q12">
        <f t="shared" si="20"/>
        <v>1.6444186216666669E-3</v>
      </c>
      <c r="R12">
        <f t="shared" si="21"/>
        <v>1.6570489447833333E-3</v>
      </c>
      <c r="S12">
        <f t="shared" si="2"/>
        <v>543.05346338664833</v>
      </c>
      <c r="T12">
        <f t="shared" si="3"/>
        <v>618.66021776422463</v>
      </c>
      <c r="U12">
        <f t="shared" si="22"/>
        <v>75.606754377576294</v>
      </c>
      <c r="V12">
        <f t="shared" si="4"/>
        <v>40.987303760286395</v>
      </c>
      <c r="W12">
        <f t="shared" si="5"/>
        <v>19.899999999999999</v>
      </c>
      <c r="X12">
        <f t="shared" si="6"/>
        <v>19.200000000000003</v>
      </c>
      <c r="Y12">
        <f t="shared" si="23"/>
        <v>0.14142135623730953</v>
      </c>
      <c r="Z12">
        <f t="shared" si="24"/>
        <v>19.54791115990157</v>
      </c>
      <c r="AA12">
        <f t="shared" si="25"/>
        <v>0.49408480736804194</v>
      </c>
      <c r="AB12">
        <f t="shared" si="26"/>
        <v>0.50602205694146363</v>
      </c>
      <c r="AC12">
        <f t="shared" si="27"/>
        <v>0.10001781031228241</v>
      </c>
      <c r="AD12">
        <f t="shared" si="7"/>
        <v>27.780639012755916</v>
      </c>
      <c r="AE12">
        <f t="shared" si="8"/>
        <v>31.648405433378272</v>
      </c>
      <c r="AF12">
        <f t="shared" si="28"/>
        <v>2.0967887528208169</v>
      </c>
      <c r="AG12">
        <f>AD12/Parameters!$B$25</f>
        <v>552.67825264145688</v>
      </c>
      <c r="AH12">
        <f>AE12/Parameters!$B$26</f>
        <v>559.66668507761676</v>
      </c>
      <c r="AI12">
        <f t="shared" si="29"/>
        <v>556.17246885953682</v>
      </c>
      <c r="AJ12">
        <f>S12/(Z12*AVERAGE(Parameters!$B$25,Parameters!$B$26))</f>
        <v>520.16776719195946</v>
      </c>
      <c r="AK12">
        <f>AF12/AVERAGE(Parameters!$B$25,Parameters!$B$26)</f>
        <v>39.260505250696866</v>
      </c>
      <c r="AL12">
        <f>I12/60000*1/Parameters!$B$9</f>
        <v>0.11605047933784035</v>
      </c>
      <c r="AM12">
        <f>J12/60000*1/Parameters!$B$10</f>
        <v>0.10851473392629231</v>
      </c>
      <c r="AN12">
        <f>Parameters!$B$18</f>
        <v>1.6E-2</v>
      </c>
      <c r="AO12">
        <f>Parameters!$B$22</f>
        <v>8.0000000000000002E-3</v>
      </c>
      <c r="AP12" s="1">
        <f t="shared" si="9"/>
        <v>5.1764007500000001E-4</v>
      </c>
      <c r="AQ12" s="1">
        <f t="shared" si="10"/>
        <v>7.4733077674999997E-4</v>
      </c>
      <c r="AR12" s="13">
        <f t="shared" si="11"/>
        <v>3539.1801244412522</v>
      </c>
      <c r="AS12" s="13">
        <f t="shared" si="12"/>
        <v>1154.9213661644278</v>
      </c>
      <c r="AT12" s="1">
        <f t="shared" si="13"/>
        <v>0.64559397774999994</v>
      </c>
      <c r="AU12" s="1">
        <f t="shared" si="14"/>
        <v>0.6220619838975</v>
      </c>
      <c r="AV12" s="15">
        <f t="shared" si="30"/>
        <v>3.2609383878736158</v>
      </c>
      <c r="AW12" s="15">
        <f t="shared" si="30"/>
        <v>4.885999060735184</v>
      </c>
      <c r="AX12" s="15">
        <f t="shared" si="31"/>
        <v>0.8</v>
      </c>
      <c r="AY12" s="15">
        <f t="shared" si="32"/>
        <v>0.16</v>
      </c>
      <c r="AZ12" s="15">
        <f t="shared" si="15"/>
        <v>0.46196854646577112</v>
      </c>
      <c r="BA12" s="15">
        <f t="shared" si="16"/>
        <v>2.257177884120956</v>
      </c>
      <c r="BB12" s="15">
        <f t="shared" si="33"/>
        <v>4.3121961109298203E-2</v>
      </c>
      <c r="BC12" s="15">
        <f t="shared" si="34"/>
        <v>21.072852501036454</v>
      </c>
      <c r="BD12" s="15">
        <f t="shared" si="35"/>
        <v>850.28166679269748</v>
      </c>
      <c r="BE12" s="15">
        <f t="shared" si="36"/>
        <v>45.143557682419114</v>
      </c>
      <c r="BF12" s="15">
        <f t="shared" si="37"/>
        <v>6.9539917424063109</v>
      </c>
      <c r="BG12" s="15">
        <f>BF12*(0.86*(Parameters!$B$14/Parameters!$B$17)^(0.16))</f>
        <v>6.342854610966798</v>
      </c>
      <c r="BH12" s="15">
        <f t="shared" si="38"/>
        <v>493.20609035892647</v>
      </c>
      <c r="BI12" s="15">
        <f>1/(BD12*Parameters!$B$25)</f>
        <v>2.3397385435263363E-2</v>
      </c>
      <c r="BJ12" s="15">
        <f>1/(BH12*Parameters!$B$26)</f>
        <v>3.5854955791192397E-2</v>
      </c>
      <c r="BK12" s="24">
        <f>LN(Parameters!$B$17/Parameters!$B$18)/(2*PI()*Parameters!$B$6*1)</f>
        <v>1.2497168224721593E-3</v>
      </c>
      <c r="BL12" s="15">
        <f t="shared" si="39"/>
        <v>16.528363368917162</v>
      </c>
      <c r="BM12" s="15">
        <f>BL12/(AVERAGE(Parameters!$B$25, Parameters!$B$26))</f>
        <v>309.47890957437397</v>
      </c>
      <c r="BN12" s="15"/>
      <c r="BP12" s="25" t="s">
        <v>75</v>
      </c>
      <c r="BQ12" s="25"/>
      <c r="BR12" s="25"/>
      <c r="BS12" s="25"/>
      <c r="BT12">
        <v>39.799999999999997</v>
      </c>
      <c r="BV12" s="11" t="s">
        <v>61</v>
      </c>
      <c r="BW12" s="1">
        <f>$D$6*$G$11^2+$E$6*$G$11+$F$6</f>
        <v>46691.508000000002</v>
      </c>
    </row>
    <row r="13" spans="1:75" x14ac:dyDescent="0.55000000000000004">
      <c r="A13" t="s">
        <v>42</v>
      </c>
      <c r="B13" s="2">
        <v>59.5</v>
      </c>
      <c r="C13" s="2">
        <v>54.1</v>
      </c>
      <c r="D13" s="2">
        <v>50.5</v>
      </c>
      <c r="E13" s="2">
        <v>48.1</v>
      </c>
      <c r="F13" s="2">
        <v>33.4</v>
      </c>
      <c r="G13" s="2">
        <v>30.8</v>
      </c>
      <c r="H13" s="2">
        <v>29.6</v>
      </c>
      <c r="I13" s="3">
        <v>1.4</v>
      </c>
      <c r="J13" s="3">
        <v>2.4</v>
      </c>
      <c r="K13">
        <f t="shared" si="17"/>
        <v>51.1</v>
      </c>
      <c r="L13">
        <f t="shared" si="18"/>
        <v>31.5</v>
      </c>
      <c r="M13">
        <f t="shared" si="0"/>
        <v>986.83236148000003</v>
      </c>
      <c r="N13">
        <f t="shared" si="1"/>
        <v>994.37309300000004</v>
      </c>
      <c r="O13">
        <f t="shared" si="19"/>
        <v>2.3026088434533333E-2</v>
      </c>
      <c r="P13">
        <f t="shared" si="19"/>
        <v>3.9774923720000001E-2</v>
      </c>
      <c r="Q13">
        <f t="shared" si="20"/>
        <v>1.6447206024666667E-3</v>
      </c>
      <c r="R13">
        <f t="shared" si="21"/>
        <v>1.6572884883333334E-3</v>
      </c>
      <c r="S13">
        <f t="shared" si="2"/>
        <v>561.88260997948237</v>
      </c>
      <c r="T13">
        <f t="shared" si="3"/>
        <v>614.70553612311164</v>
      </c>
      <c r="U13">
        <f t="shared" si="22"/>
        <v>52.822926143629275</v>
      </c>
      <c r="V13">
        <f t="shared" si="4"/>
        <v>42.263121596335843</v>
      </c>
      <c r="W13">
        <f t="shared" si="5"/>
        <v>20.700000000000003</v>
      </c>
      <c r="X13">
        <f t="shared" si="6"/>
        <v>18.5</v>
      </c>
      <c r="Y13">
        <f t="shared" si="23"/>
        <v>0.14142135623730953</v>
      </c>
      <c r="Z13">
        <f t="shared" si="24"/>
        <v>19.579404455903884</v>
      </c>
      <c r="AA13">
        <f t="shared" si="25"/>
        <v>0.48178729445194574</v>
      </c>
      <c r="AB13">
        <f t="shared" si="26"/>
        <v>0.51926526814857688</v>
      </c>
      <c r="AC13">
        <f t="shared" si="27"/>
        <v>0.10017538777571459</v>
      </c>
      <c r="AD13">
        <f t="shared" si="7"/>
        <v>28.697635377262706</v>
      </c>
      <c r="AE13">
        <f t="shared" si="8"/>
        <v>31.395517545364161</v>
      </c>
      <c r="AF13">
        <f t="shared" si="28"/>
        <v>2.1585781555761483</v>
      </c>
      <c r="AG13">
        <f>AD13/Parameters!$B$25</f>
        <v>570.92131566752607</v>
      </c>
      <c r="AH13">
        <f>AE13/Parameters!$B$26</f>
        <v>555.19464536367059</v>
      </c>
      <c r="AI13">
        <f t="shared" si="29"/>
        <v>563.05798051559827</v>
      </c>
      <c r="AJ13">
        <f>S13/(Z13*AVERAGE(Parameters!$B$25,Parameters!$B$26))</f>
        <v>537.33770886355398</v>
      </c>
      <c r="AK13">
        <f>AF13/AVERAGE(Parameters!$B$25,Parameters!$B$26)</f>
        <v>40.417456883544745</v>
      </c>
      <c r="AL13">
        <f>I13/60000*1/Parameters!$B$9</f>
        <v>0.11605047933784035</v>
      </c>
      <c r="AM13">
        <f>J13/60000*1/Parameters!$B$10</f>
        <v>0.14468631190172307</v>
      </c>
      <c r="AN13">
        <f>Parameters!$B$18</f>
        <v>1.6E-2</v>
      </c>
      <c r="AO13">
        <f>Parameters!$B$22</f>
        <v>8.0000000000000002E-3</v>
      </c>
      <c r="AP13" s="1">
        <f t="shared" si="9"/>
        <v>5.2106270699999986E-4</v>
      </c>
      <c r="AQ13" s="1">
        <f t="shared" si="10"/>
        <v>7.5411807499999994E-4</v>
      </c>
      <c r="AR13" s="13">
        <f t="shared" si="11"/>
        <v>3516.5784704940543</v>
      </c>
      <c r="AS13" s="13">
        <f t="shared" si="12"/>
        <v>1526.2562216716963</v>
      </c>
      <c r="AT13" s="1">
        <f t="shared" si="13"/>
        <v>0.64517164759000001</v>
      </c>
      <c r="AU13" s="1">
        <f t="shared" si="14"/>
        <v>0.62145083774999998</v>
      </c>
      <c r="AV13" s="15">
        <f t="shared" si="30"/>
        <v>3.2846484145498365</v>
      </c>
      <c r="AW13" s="15">
        <f t="shared" si="30"/>
        <v>4.9352225867604433</v>
      </c>
      <c r="AX13" s="15">
        <f t="shared" si="31"/>
        <v>0.8</v>
      </c>
      <c r="AY13" s="15">
        <f t="shared" si="32"/>
        <v>0.16</v>
      </c>
      <c r="AZ13" s="15">
        <f t="shared" si="15"/>
        <v>0.61050248866867851</v>
      </c>
      <c r="BA13" s="15">
        <f t="shared" si="16"/>
        <v>3.0129656713511239</v>
      </c>
      <c r="BB13" s="15">
        <f t="shared" si="33"/>
        <v>4.3212746908061102E-2</v>
      </c>
      <c r="BC13" s="15">
        <f t="shared" si="34"/>
        <v>20.971383471797527</v>
      </c>
      <c r="BD13" s="15">
        <f t="shared" si="35"/>
        <v>845.63387667133145</v>
      </c>
      <c r="BE13" s="15">
        <f t="shared" si="36"/>
        <v>60.259313427022477</v>
      </c>
      <c r="BF13" s="15">
        <f t="shared" si="37"/>
        <v>7.656735351641859</v>
      </c>
      <c r="BG13" s="15">
        <f>BF13*(0.86*(Parameters!$B$14/Parameters!$B$17)^(0.16))</f>
        <v>6.9838390566320641</v>
      </c>
      <c r="BH13" s="15">
        <f t="shared" si="38"/>
        <v>542.51407905689575</v>
      </c>
      <c r="BI13" s="15">
        <f>1/(BD13*Parameters!$B$25)</f>
        <v>2.3525982621222692E-2</v>
      </c>
      <c r="BJ13" s="15">
        <f>1/(BH13*Parameters!$B$26)</f>
        <v>3.2596172612714011E-2</v>
      </c>
      <c r="BK13" s="24">
        <f>LN(Parameters!$B$17/Parameters!$B$18)/(2*PI()*Parameters!$B$6*1)</f>
        <v>1.2497168224721593E-3</v>
      </c>
      <c r="BL13" s="15">
        <f t="shared" si="39"/>
        <v>17.430144148282025</v>
      </c>
      <c r="BM13" s="15">
        <f>BL13/(AVERAGE(Parameters!$B$25, Parameters!$B$26))</f>
        <v>326.3639529415716</v>
      </c>
      <c r="BN13" s="15"/>
      <c r="BV13" s="11" t="s">
        <v>63</v>
      </c>
      <c r="BW13" s="12">
        <f>Parameters!V3</f>
        <v>0</v>
      </c>
    </row>
    <row r="14" spans="1:75" x14ac:dyDescent="0.55000000000000004">
      <c r="A14" t="s">
        <v>42</v>
      </c>
      <c r="B14" s="2">
        <v>59.4</v>
      </c>
      <c r="C14" s="2">
        <v>54.1</v>
      </c>
      <c r="D14" s="2">
        <v>50.5</v>
      </c>
      <c r="E14" s="2">
        <v>48.1</v>
      </c>
      <c r="F14" s="2">
        <v>33.299999999999997</v>
      </c>
      <c r="G14" s="2">
        <v>30.7</v>
      </c>
      <c r="H14" s="2">
        <v>29.6</v>
      </c>
      <c r="I14" s="3">
        <v>1.4</v>
      </c>
      <c r="J14" s="3">
        <v>2.7</v>
      </c>
      <c r="K14">
        <f t="shared" si="17"/>
        <v>51.1</v>
      </c>
      <c r="L14">
        <f t="shared" si="18"/>
        <v>31.45</v>
      </c>
      <c r="M14">
        <f t="shared" si="0"/>
        <v>986.83236148000003</v>
      </c>
      <c r="N14">
        <f t="shared" si="1"/>
        <v>994.38897727000005</v>
      </c>
      <c r="O14">
        <f t="shared" si="19"/>
        <v>2.3026088434533333E-2</v>
      </c>
      <c r="P14">
        <f t="shared" si="19"/>
        <v>4.4747503977150001E-2</v>
      </c>
      <c r="Q14">
        <f t="shared" si="20"/>
        <v>1.6447206024666667E-3</v>
      </c>
      <c r="R14">
        <f t="shared" si="21"/>
        <v>1.6573149621166669E-3</v>
      </c>
      <c r="S14">
        <f t="shared" si="2"/>
        <v>561.88260997948237</v>
      </c>
      <c r="T14">
        <f t="shared" si="3"/>
        <v>673.35596509775462</v>
      </c>
      <c r="U14">
        <f t="shared" si="22"/>
        <v>111.47335511827225</v>
      </c>
      <c r="V14">
        <f t="shared" si="4"/>
        <v>42.263121596335843</v>
      </c>
      <c r="W14">
        <f t="shared" si="5"/>
        <v>20.800000000000004</v>
      </c>
      <c r="X14">
        <f t="shared" si="6"/>
        <v>18.5</v>
      </c>
      <c r="Y14">
        <f t="shared" si="23"/>
        <v>0.14142135623730953</v>
      </c>
      <c r="Z14">
        <f t="shared" si="24"/>
        <v>19.627545206394245</v>
      </c>
      <c r="AA14">
        <f t="shared" si="25"/>
        <v>0.48102862591869816</v>
      </c>
      <c r="AB14">
        <f t="shared" si="26"/>
        <v>0.52011620471812037</v>
      </c>
      <c r="AC14">
        <f t="shared" si="27"/>
        <v>0.10019075859215887</v>
      </c>
      <c r="AD14">
        <f t="shared" si="7"/>
        <v>28.627248291672906</v>
      </c>
      <c r="AE14">
        <f t="shared" si="8"/>
        <v>34.306682675650606</v>
      </c>
      <c r="AF14">
        <f t="shared" si="28"/>
        <v>2.1532836517284615</v>
      </c>
      <c r="AG14">
        <f>AD14/Parameters!$B$25</f>
        <v>569.52100909234491</v>
      </c>
      <c r="AH14">
        <f>AE14/Parameters!$B$26</f>
        <v>606.67534765720939</v>
      </c>
      <c r="AI14">
        <f t="shared" si="29"/>
        <v>588.09817837477715</v>
      </c>
      <c r="AJ14">
        <f>S14/(Z14*AVERAGE(Parameters!$B$25,Parameters!$B$26))</f>
        <v>536.01977326338351</v>
      </c>
      <c r="AK14">
        <f>AF14/AVERAGE(Parameters!$B$25,Parameters!$B$26)</f>
        <v>40.318322006064932</v>
      </c>
      <c r="AL14">
        <f>I14/60000*1/Parameters!$B$9</f>
        <v>0.11605047933784035</v>
      </c>
      <c r="AM14">
        <f>J14/60000*1/Parameters!$B$10</f>
        <v>0.16277210088943847</v>
      </c>
      <c r="AN14">
        <f>Parameters!$B$18</f>
        <v>1.6E-2</v>
      </c>
      <c r="AO14">
        <f>Parameters!$B$22</f>
        <v>8.0000000000000002E-3</v>
      </c>
      <c r="AP14" s="1">
        <f t="shared" si="9"/>
        <v>5.2106270699999986E-4</v>
      </c>
      <c r="AQ14" s="1">
        <f t="shared" si="10"/>
        <v>7.5487638675E-4</v>
      </c>
      <c r="AR14" s="13">
        <f t="shared" si="11"/>
        <v>3516.5784704940543</v>
      </c>
      <c r="AS14" s="13">
        <f t="shared" si="12"/>
        <v>1715.3407977525451</v>
      </c>
      <c r="AT14" s="1">
        <f t="shared" si="13"/>
        <v>0.64517164759000001</v>
      </c>
      <c r="AU14" s="1">
        <f t="shared" si="14"/>
        <v>0.62138273959750001</v>
      </c>
      <c r="AV14" s="15">
        <f t="shared" si="30"/>
        <v>3.2846484145498365</v>
      </c>
      <c r="AW14" s="15">
        <f t="shared" si="30"/>
        <v>4.9407266556855003</v>
      </c>
      <c r="AX14" s="15">
        <f t="shared" si="31"/>
        <v>0.8</v>
      </c>
      <c r="AY14" s="15">
        <f t="shared" si="32"/>
        <v>0.16</v>
      </c>
      <c r="AZ14" s="15">
        <f t="shared" si="15"/>
        <v>0.68613631910101802</v>
      </c>
      <c r="BA14" s="15">
        <f t="shared" si="16"/>
        <v>3.3900120012163319</v>
      </c>
      <c r="BB14" s="15">
        <f t="shared" si="33"/>
        <v>4.3212746908061102E-2</v>
      </c>
      <c r="BC14" s="15">
        <f t="shared" si="34"/>
        <v>20.971383471797527</v>
      </c>
      <c r="BD14" s="15">
        <f t="shared" si="35"/>
        <v>845.63387667133145</v>
      </c>
      <c r="BE14" s="15">
        <f t="shared" si="36"/>
        <v>67.800240024326641</v>
      </c>
      <c r="BF14" s="15">
        <f t="shared" si="37"/>
        <v>7.963658968114709</v>
      </c>
      <c r="BG14" s="15">
        <f>BF14*(0.86*(Parameters!$B$14/Parameters!$B$17)^(0.16))</f>
        <v>7.2637893280837487</v>
      </c>
      <c r="BH14" s="15">
        <f t="shared" si="38"/>
        <v>564.1991640679704</v>
      </c>
      <c r="BI14" s="15">
        <f>1/(BD14*Parameters!$B$25)</f>
        <v>2.3525982621222692E-2</v>
      </c>
      <c r="BJ14" s="15">
        <f>1/(BH14*Parameters!$B$26)</f>
        <v>3.1343333510568144E-2</v>
      </c>
      <c r="BK14" s="24">
        <f>LN(Parameters!$B$17/Parameters!$B$18)/(2*PI()*Parameters!$B$6*1)</f>
        <v>1.2497168224721593E-3</v>
      </c>
      <c r="BL14" s="15">
        <f t="shared" si="39"/>
        <v>17.819266429893755</v>
      </c>
      <c r="BM14" s="15">
        <f>BL14/(AVERAGE(Parameters!$B$25, Parameters!$B$26))</f>
        <v>333.64992171636021</v>
      </c>
      <c r="BN14" s="15"/>
      <c r="BV14" s="11" t="s">
        <v>60</v>
      </c>
      <c r="BW14" s="1">
        <f>$D$8*$G$11^2+$E$8*$G$11+$F$8</f>
        <v>49103.402000000002</v>
      </c>
    </row>
    <row r="15" spans="1:75" x14ac:dyDescent="0.55000000000000004">
      <c r="A15" t="s">
        <v>43</v>
      </c>
      <c r="B15" s="3">
        <v>44.8</v>
      </c>
      <c r="C15" s="3">
        <v>41.3</v>
      </c>
      <c r="D15" s="3">
        <v>39.799999999999997</v>
      </c>
      <c r="E15" s="3">
        <v>39</v>
      </c>
      <c r="F15" s="3">
        <v>29.6</v>
      </c>
      <c r="G15" s="3">
        <v>30</v>
      </c>
      <c r="H15" s="3">
        <v>31.3</v>
      </c>
      <c r="I15" s="2">
        <v>1.4</v>
      </c>
      <c r="J15" s="2">
        <v>2.2000000000000002</v>
      </c>
      <c r="K15">
        <f t="shared" si="17"/>
        <v>40.15</v>
      </c>
      <c r="L15">
        <f t="shared" si="18"/>
        <v>30.450000000000003</v>
      </c>
      <c r="M15">
        <f t="shared" si="0"/>
        <v>991.36834423000005</v>
      </c>
      <c r="N15">
        <f t="shared" si="1"/>
        <v>994.70308006999994</v>
      </c>
      <c r="O15">
        <f t="shared" si="19"/>
        <v>2.3131928032033334E-2</v>
      </c>
      <c r="P15">
        <f t="shared" si="19"/>
        <v>3.6472446269233329E-2</v>
      </c>
      <c r="Q15">
        <f t="shared" si="20"/>
        <v>1.6522805737166667E-3</v>
      </c>
      <c r="R15">
        <f t="shared" si="21"/>
        <v>1.6578384667833334E-3</v>
      </c>
      <c r="S15">
        <f t="shared" si="2"/>
        <v>216.37836800444276</v>
      </c>
      <c r="T15">
        <f t="shared" ref="T15:T25" si="40">-P15*$BR$15*(F15-H15)</f>
        <v>252.16684626085217</v>
      </c>
      <c r="U15">
        <f t="shared" si="22"/>
        <v>35.788478256409405</v>
      </c>
      <c r="V15">
        <f t="shared" si="4"/>
        <v>20.393312970465502</v>
      </c>
      <c r="W15" s="13">
        <f t="shared" ref="W15:W25" si="41">(C15-H15)</f>
        <v>9.9999999999999964</v>
      </c>
      <c r="X15" s="13">
        <f t="shared" ref="X15:X25" si="42">(E15-F15)</f>
        <v>9.3999999999999986</v>
      </c>
      <c r="Y15">
        <f t="shared" si="23"/>
        <v>0.14142135623730953</v>
      </c>
      <c r="Z15">
        <f t="shared" si="24"/>
        <v>9.6969064272078036</v>
      </c>
      <c r="AA15">
        <f t="shared" si="25"/>
        <v>0.48984500234234329</v>
      </c>
      <c r="AB15">
        <f t="shared" si="26"/>
        <v>0.510474085508967</v>
      </c>
      <c r="AC15">
        <f t="shared" si="27"/>
        <v>0.10005317769026496</v>
      </c>
      <c r="AD15">
        <f t="shared" si="7"/>
        <v>22.314164793559659</v>
      </c>
      <c r="AE15">
        <f t="shared" si="8"/>
        <v>26.00487569451187</v>
      </c>
      <c r="AF15">
        <f t="shared" si="28"/>
        <v>2.1031860679453573</v>
      </c>
      <c r="AG15">
        <f>AD15/Parameters!$B$25</f>
        <v>443.92620348277023</v>
      </c>
      <c r="AH15">
        <f>AE15/Parameters!$B$26</f>
        <v>459.86716791909441</v>
      </c>
      <c r="AI15">
        <f t="shared" si="29"/>
        <v>451.89668570093232</v>
      </c>
      <c r="AJ15">
        <f>S15/(Z15*AVERAGE(Parameters!$B$25,Parameters!$B$26))</f>
        <v>417.81289739554853</v>
      </c>
      <c r="AK15">
        <f>AF15/AVERAGE(Parameters!$B$25,Parameters!$B$26)</f>
        <v>39.380289288883588</v>
      </c>
      <c r="AL15">
        <f>I15/60000*1/Parameters!$B$9</f>
        <v>0.11605047933784035</v>
      </c>
      <c r="AM15">
        <f>J15/60000*1/Parameters!$B$10</f>
        <v>0.13262911924324616</v>
      </c>
      <c r="AN15">
        <f>Parameters!$B$18</f>
        <v>1.6E-2</v>
      </c>
      <c r="AO15">
        <f>Parameters!$B$22</f>
        <v>8.0000000000000002E-3</v>
      </c>
      <c r="AP15" s="1">
        <f t="shared" si="9"/>
        <v>6.3547515074999998E-4</v>
      </c>
      <c r="AQ15" s="1">
        <f t="shared" si="10"/>
        <v>7.7021765674999988E-4</v>
      </c>
      <c r="AR15" s="13">
        <f t="shared" si="11"/>
        <v>2896.6991747820784</v>
      </c>
      <c r="AS15" s="13">
        <f t="shared" si="12"/>
        <v>1370.2785674886131</v>
      </c>
      <c r="AT15" s="1">
        <f t="shared" si="13"/>
        <v>0.63265077427749994</v>
      </c>
      <c r="AU15" s="1">
        <f t="shared" si="14"/>
        <v>0.6200126694975</v>
      </c>
      <c r="AV15" s="15">
        <f t="shared" si="30"/>
        <v>4.0851565242321497</v>
      </c>
      <c r="AW15" s="15">
        <f t="shared" si="30"/>
        <v>5.0522761293588054</v>
      </c>
      <c r="AX15" s="15">
        <f t="shared" si="31"/>
        <v>0.8</v>
      </c>
      <c r="AY15" s="15">
        <f t="shared" si="32"/>
        <v>0.16</v>
      </c>
      <c r="AZ15" s="15">
        <f t="shared" si="15"/>
        <v>0.54811142699544524</v>
      </c>
      <c r="BA15" s="15">
        <f t="shared" si="16"/>
        <v>2.7692102788378796</v>
      </c>
      <c r="BB15" s="15">
        <f t="shared" si="33"/>
        <v>4.610229403025768E-2</v>
      </c>
      <c r="BC15" s="15">
        <f t="shared" si="34"/>
        <v>17.863387193845163</v>
      </c>
      <c r="BD15" s="15">
        <f t="shared" si="35"/>
        <v>706.33035871280742</v>
      </c>
      <c r="BE15" s="15">
        <f t="shared" si="36"/>
        <v>55.384205576757594</v>
      </c>
      <c r="BF15" s="15">
        <f>3.657+((0.19*(BE15)^(0.8))/(1+0.117*(BE15)^0.467))</f>
        <v>6.3317723215934576</v>
      </c>
      <c r="BG15" s="15">
        <f>BF15*(0.86*(Parameters!$B$14/Parameters!$B$17)^(0.16))</f>
        <v>5.7753176525507062</v>
      </c>
      <c r="BH15" s="15">
        <f t="shared" si="38"/>
        <v>447.59626436924981</v>
      </c>
      <c r="BI15" s="15">
        <f>1/(BD15*Parameters!$B$25)</f>
        <v>2.8165811707062598E-2</v>
      </c>
      <c r="BJ15" s="15">
        <f>1/(BH15*Parameters!$B$26)</f>
        <v>3.9508557093715202E-2</v>
      </c>
      <c r="BK15" s="24">
        <f>LN(Parameters!$B$17/Parameters!$B$18)/(2*PI()*Parameters!$B$6*1)</f>
        <v>1.2497168224721593E-3</v>
      </c>
      <c r="BL15" s="15">
        <f t="shared" si="39"/>
        <v>14.508716234063073</v>
      </c>
      <c r="BM15" s="15">
        <f>BL15/(AVERAGE(Parameters!$B$25, Parameters!$B$26))</f>
        <v>271.66281253750196</v>
      </c>
      <c r="BN15" s="15"/>
      <c r="BQ15" t="s">
        <v>85</v>
      </c>
      <c r="BR15">
        <v>4067</v>
      </c>
    </row>
    <row r="16" spans="1:75" x14ac:dyDescent="0.55000000000000004">
      <c r="A16" t="s">
        <v>43</v>
      </c>
      <c r="B16" s="3">
        <v>50</v>
      </c>
      <c r="C16" s="3">
        <v>45.7</v>
      </c>
      <c r="D16" s="3">
        <v>43.5</v>
      </c>
      <c r="E16" s="3">
        <v>42.2</v>
      </c>
      <c r="F16" s="3">
        <v>29.8</v>
      </c>
      <c r="G16" s="3">
        <v>30.6</v>
      </c>
      <c r="H16" s="3">
        <v>32.200000000000003</v>
      </c>
      <c r="I16" s="2">
        <v>1.4</v>
      </c>
      <c r="J16" s="2">
        <v>2.2000000000000002</v>
      </c>
      <c r="K16">
        <f t="shared" si="17"/>
        <v>43.95</v>
      </c>
      <c r="L16">
        <f t="shared" si="18"/>
        <v>31</v>
      </c>
      <c r="M16">
        <f t="shared" si="0"/>
        <v>989.88691727000003</v>
      </c>
      <c r="N16">
        <f t="shared" si="1"/>
        <v>994.53116799999998</v>
      </c>
      <c r="O16">
        <f t="shared" si="19"/>
        <v>2.3097361402966664E-2</v>
      </c>
      <c r="P16">
        <f t="shared" si="19"/>
        <v>3.6466142826666673E-2</v>
      </c>
      <c r="Q16">
        <f t="shared" si="20"/>
        <v>1.6498115287833335E-3</v>
      </c>
      <c r="R16">
        <f t="shared" si="21"/>
        <v>1.6575519466666667E-3</v>
      </c>
      <c r="S16">
        <f t="shared" si="2"/>
        <v>328.77939089052899</v>
      </c>
      <c r="T16">
        <f t="shared" si="40"/>
        <v>355.9387269025284</v>
      </c>
      <c r="U16">
        <f t="shared" si="22"/>
        <v>27.159336011999414</v>
      </c>
      <c r="V16">
        <f t="shared" si="4"/>
        <v>26.981340112303691</v>
      </c>
      <c r="W16" s="13">
        <f t="shared" si="41"/>
        <v>13.5</v>
      </c>
      <c r="X16" s="13">
        <f t="shared" si="42"/>
        <v>12.400000000000002</v>
      </c>
      <c r="Y16">
        <f t="shared" si="23"/>
        <v>0.14142135623730953</v>
      </c>
      <c r="Z16">
        <f t="shared" si="24"/>
        <v>12.942209893350743</v>
      </c>
      <c r="AA16">
        <f t="shared" si="25"/>
        <v>0.48613041324507089</v>
      </c>
      <c r="AB16">
        <f t="shared" si="26"/>
        <v>0.514471718914711</v>
      </c>
      <c r="AC16">
        <f t="shared" si="27"/>
        <v>0.10010034248142022</v>
      </c>
      <c r="AD16">
        <f t="shared" si="7"/>
        <v>25.403651586538121</v>
      </c>
      <c r="AE16">
        <f t="shared" si="8"/>
        <v>27.502159973884932</v>
      </c>
      <c r="AF16">
        <f t="shared" si="28"/>
        <v>2.0848176122185507</v>
      </c>
      <c r="AG16">
        <f>AD16/Parameters!$B$25</f>
        <v>505.38959032272641</v>
      </c>
      <c r="AH16">
        <f>AE16/Parameters!$B$26</f>
        <v>486.3449672830954</v>
      </c>
      <c r="AI16">
        <f t="shared" si="29"/>
        <v>495.8672788029109</v>
      </c>
      <c r="AJ16">
        <f>S16/(Z16*AVERAGE(Parameters!$B$25,Parameters!$B$26))</f>
        <v>475.66079089197791</v>
      </c>
      <c r="AK16">
        <f>AF16/AVERAGE(Parameters!$B$25,Parameters!$B$26)</f>
        <v>39.036356285838188</v>
      </c>
      <c r="AL16">
        <f>I16/60000*1/Parameters!$B$9</f>
        <v>0.11605047933784035</v>
      </c>
      <c r="AM16">
        <f>J16/60000*1/Parameters!$B$10</f>
        <v>0.13262911924324616</v>
      </c>
      <c r="AN16">
        <f>Parameters!$B$18</f>
        <v>1.6E-2</v>
      </c>
      <c r="AO16">
        <f>Parameters!$B$22</f>
        <v>8.0000000000000002E-3</v>
      </c>
      <c r="AP16" s="1">
        <f t="shared" si="9"/>
        <v>5.9124113674999994E-4</v>
      </c>
      <c r="AQ16" s="1">
        <f t="shared" si="10"/>
        <v>7.617387E-4</v>
      </c>
      <c r="AR16" s="13">
        <f t="shared" si="11"/>
        <v>3108.7647756286642</v>
      </c>
      <c r="AS16" s="13">
        <f t="shared" si="12"/>
        <v>1385.2917581506297</v>
      </c>
      <c r="AT16" s="1">
        <f t="shared" si="13"/>
        <v>0.63720569709749997</v>
      </c>
      <c r="AU16" s="1">
        <f t="shared" si="14"/>
        <v>0.62076811899999995</v>
      </c>
      <c r="AV16" s="15">
        <f t="shared" si="30"/>
        <v>3.7736286949649185</v>
      </c>
      <c r="AW16" s="15">
        <f t="shared" si="30"/>
        <v>4.9905773155531534</v>
      </c>
      <c r="AX16" s="15">
        <f t="shared" si="31"/>
        <v>0.8</v>
      </c>
      <c r="AY16" s="15">
        <f t="shared" si="32"/>
        <v>0.16</v>
      </c>
      <c r="AZ16" s="15">
        <f t="shared" si="15"/>
        <v>0.55411670326025186</v>
      </c>
      <c r="BA16" s="15">
        <f t="shared" si="16"/>
        <v>2.7653622494597112</v>
      </c>
      <c r="BB16" s="15">
        <f t="shared" si="33"/>
        <v>4.5016813528021844E-2</v>
      </c>
      <c r="BC16" s="15">
        <f t="shared" si="34"/>
        <v>19.002454613526456</v>
      </c>
      <c r="BD16" s="15">
        <f t="shared" si="35"/>
        <v>756.77952116098311</v>
      </c>
      <c r="BE16" s="15">
        <f t="shared" si="36"/>
        <v>55.307244989194224</v>
      </c>
      <c r="BF16" s="15">
        <f t="shared" ref="BF16:BF25" si="43">3.657+((0.19*(BE16)^(0.8))/(1+0.117*(BE16)^0.467))</f>
        <v>6.329549152286039</v>
      </c>
      <c r="BG16" s="15">
        <f>BF16*(0.86*(Parameters!$B$14/Parameters!$B$17)^(0.16))</f>
        <v>5.773289861863736</v>
      </c>
      <c r="BH16" s="15">
        <f t="shared" si="38"/>
        <v>447.98428599886512</v>
      </c>
      <c r="BI16" s="15">
        <f>1/(BD16*Parameters!$B$25)</f>
        <v>2.6288195346468632E-2</v>
      </c>
      <c r="BJ16" s="15">
        <f>1/(BH16*Parameters!$B$26)</f>
        <v>3.9474336753434584E-2</v>
      </c>
      <c r="BK16" s="24">
        <f>LN(Parameters!$B$17/Parameters!$B$18)/(2*PI()*Parameters!$B$6*1)</f>
        <v>1.2497168224721593E-3</v>
      </c>
      <c r="BL16" s="15">
        <f t="shared" si="39"/>
        <v>14.922644980298525</v>
      </c>
      <c r="BM16" s="15">
        <f>BL16/(AVERAGE(Parameters!$B$25, Parameters!$B$26))</f>
        <v>279.41326030823171</v>
      </c>
      <c r="BN16" s="15"/>
    </row>
    <row r="17" spans="1:73" x14ac:dyDescent="0.55000000000000004">
      <c r="A17" t="s">
        <v>43</v>
      </c>
      <c r="B17" s="3">
        <v>54.8</v>
      </c>
      <c r="C17" s="3">
        <v>49.1</v>
      </c>
      <c r="D17" s="3">
        <v>46.4</v>
      </c>
      <c r="E17" s="3">
        <v>44.7</v>
      </c>
      <c r="F17" s="3">
        <v>29.8</v>
      </c>
      <c r="G17" s="3">
        <v>31</v>
      </c>
      <c r="H17" s="3">
        <v>32.799999999999997</v>
      </c>
      <c r="I17" s="2">
        <v>1.4</v>
      </c>
      <c r="J17" s="2">
        <v>2.2000000000000002</v>
      </c>
      <c r="K17">
        <f t="shared" si="17"/>
        <v>46.900000000000006</v>
      </c>
      <c r="L17">
        <f t="shared" si="18"/>
        <v>31.299999999999997</v>
      </c>
      <c r="M17">
        <f t="shared" si="0"/>
        <v>988.66892068000004</v>
      </c>
      <c r="N17">
        <f t="shared" si="1"/>
        <v>994.43652771999996</v>
      </c>
      <c r="O17">
        <f t="shared" si="19"/>
        <v>2.3068941482533335E-2</v>
      </c>
      <c r="P17">
        <f t="shared" si="19"/>
        <v>3.6462672683066674E-2</v>
      </c>
      <c r="Q17">
        <f t="shared" si="20"/>
        <v>1.647781534466667E-3</v>
      </c>
      <c r="R17">
        <f t="shared" si="21"/>
        <v>1.6573942128666668E-3</v>
      </c>
      <c r="S17">
        <f t="shared" si="2"/>
        <v>412.81409404163736</v>
      </c>
      <c r="T17">
        <f t="shared" si="40"/>
        <v>444.88106940609595</v>
      </c>
      <c r="U17">
        <f t="shared" si="22"/>
        <v>32.066975364458585</v>
      </c>
      <c r="V17">
        <f t="shared" si="4"/>
        <v>32.334436151093037</v>
      </c>
      <c r="W17" s="13">
        <f t="shared" si="41"/>
        <v>16.300000000000004</v>
      </c>
      <c r="X17" s="13">
        <f t="shared" si="42"/>
        <v>14.900000000000002</v>
      </c>
      <c r="Y17">
        <f t="shared" si="23"/>
        <v>0.14142135623730953</v>
      </c>
      <c r="Z17">
        <f t="shared" si="24"/>
        <v>15.58952428691671</v>
      </c>
      <c r="AA17">
        <f t="shared" si="25"/>
        <v>0.4853627688157906</v>
      </c>
      <c r="AB17">
        <f t="shared" si="26"/>
        <v>0.51530947350464618</v>
      </c>
      <c r="AC17">
        <f t="shared" si="27"/>
        <v>0.10011202433635696</v>
      </c>
      <c r="AD17">
        <f t="shared" si="7"/>
        <v>26.480223927556647</v>
      </c>
      <c r="AE17">
        <f t="shared" si="8"/>
        <v>28.537180559092246</v>
      </c>
      <c r="AF17">
        <f t="shared" si="28"/>
        <v>2.0741558412508421</v>
      </c>
      <c r="AG17">
        <f>AD17/Parameters!$B$25</f>
        <v>526.80731653136536</v>
      </c>
      <c r="AH17">
        <f>AE17/Parameters!$B$26</f>
        <v>504.6481497650521</v>
      </c>
      <c r="AI17">
        <f t="shared" si="29"/>
        <v>515.7277331482087</v>
      </c>
      <c r="AJ17">
        <f>S17/(Z17*AVERAGE(Parameters!$B$25,Parameters!$B$26))</f>
        <v>495.81865085304992</v>
      </c>
      <c r="AK17">
        <f>AF17/AVERAGE(Parameters!$B$25,Parameters!$B$26)</f>
        <v>38.836724103294131</v>
      </c>
      <c r="AL17">
        <f>I17/60000*1/Parameters!$B$9</f>
        <v>0.11605047933784035</v>
      </c>
      <c r="AM17">
        <f>J17/60000*1/Parameters!$B$10</f>
        <v>0.13262911924324616</v>
      </c>
      <c r="AN17">
        <f>Parameters!$B$18</f>
        <v>1.6E-2</v>
      </c>
      <c r="AO17">
        <f>Parameters!$B$22</f>
        <v>8.0000000000000002E-3</v>
      </c>
      <c r="AP17" s="1">
        <f t="shared" si="9"/>
        <v>5.602209869999999E-4</v>
      </c>
      <c r="AQ17" s="1">
        <f t="shared" si="10"/>
        <v>7.5715632299999994E-4</v>
      </c>
      <c r="AR17" s="13">
        <f t="shared" si="11"/>
        <v>3276.8640893873339</v>
      </c>
      <c r="AS17" s="13">
        <f t="shared" si="12"/>
        <v>1393.543043182807</v>
      </c>
      <c r="AT17" s="1">
        <f t="shared" si="13"/>
        <v>0.64058801118999997</v>
      </c>
      <c r="AU17" s="1">
        <f t="shared" si="14"/>
        <v>0.62117821350999991</v>
      </c>
      <c r="AV17" s="15">
        <f t="shared" si="30"/>
        <v>3.5567614665414258</v>
      </c>
      <c r="AW17" s="15">
        <f t="shared" si="30"/>
        <v>4.9572806944418497</v>
      </c>
      <c r="AX17" s="15">
        <f t="shared" si="31"/>
        <v>0.8</v>
      </c>
      <c r="AY17" s="15">
        <f t="shared" si="32"/>
        <v>0.16</v>
      </c>
      <c r="AZ17" s="15">
        <f t="shared" si="15"/>
        <v>0.55741721727312277</v>
      </c>
      <c r="BA17" s="15">
        <f t="shared" si="16"/>
        <v>2.7632736099375497</v>
      </c>
      <c r="BB17" s="15">
        <f t="shared" si="33"/>
        <v>4.4232497568927956E-2</v>
      </c>
      <c r="BC17" s="15">
        <f t="shared" si="34"/>
        <v>19.847025122540934</v>
      </c>
      <c r="BD17" s="15">
        <f t="shared" si="35"/>
        <v>794.61039695540387</v>
      </c>
      <c r="BE17" s="15">
        <f t="shared" si="36"/>
        <v>55.265472198750992</v>
      </c>
      <c r="BF17" s="15">
        <f t="shared" si="43"/>
        <v>6.3283418202446331</v>
      </c>
      <c r="BG17" s="15">
        <f>BF17*(0.86*(Parameters!$B$14/Parameters!$B$17)^(0.16))</f>
        <v>5.7721886336930002</v>
      </c>
      <c r="BH17" s="15">
        <f t="shared" si="38"/>
        <v>448.19472794001814</v>
      </c>
      <c r="BI17" s="15">
        <f>1/(BD17*Parameters!$B$25)</f>
        <v>2.5036631741433724E-2</v>
      </c>
      <c r="BJ17" s="15">
        <f>1/(BH17*Parameters!$B$26)</f>
        <v>3.9455802273811624E-2</v>
      </c>
      <c r="BK17" s="24">
        <f>LN(Parameters!$B$17/Parameters!$B$18)/(2*PI()*Parameters!$B$6*1)</f>
        <v>1.2497168224721593E-3</v>
      </c>
      <c r="BL17" s="15">
        <f t="shared" si="39"/>
        <v>15.210941340639577</v>
      </c>
      <c r="BM17" s="15">
        <f>BL17/(AVERAGE(Parameters!$B$25, Parameters!$B$26))</f>
        <v>284.81135334631182</v>
      </c>
      <c r="BN17" s="15"/>
    </row>
    <row r="18" spans="1:73" x14ac:dyDescent="0.55000000000000004">
      <c r="A18" t="s">
        <v>43</v>
      </c>
      <c r="B18" s="3">
        <v>59.5</v>
      </c>
      <c r="C18" s="3">
        <v>53.9</v>
      </c>
      <c r="D18" s="3">
        <v>50.3</v>
      </c>
      <c r="E18" s="3">
        <v>48.1</v>
      </c>
      <c r="F18" s="3">
        <v>29.9</v>
      </c>
      <c r="G18" s="3">
        <v>31.6</v>
      </c>
      <c r="H18" s="3">
        <v>33.700000000000003</v>
      </c>
      <c r="I18" s="2">
        <v>1.3</v>
      </c>
      <c r="J18" s="2">
        <v>2.2000000000000002</v>
      </c>
      <c r="K18">
        <f t="shared" si="17"/>
        <v>51</v>
      </c>
      <c r="L18">
        <f t="shared" si="18"/>
        <v>31.8</v>
      </c>
      <c r="M18">
        <f t="shared" si="0"/>
        <v>986.87748799999997</v>
      </c>
      <c r="N18">
        <f t="shared" si="1"/>
        <v>994.27742911999997</v>
      </c>
      <c r="O18">
        <f t="shared" si="19"/>
        <v>2.1382345573333336E-2</v>
      </c>
      <c r="P18">
        <f t="shared" si="19"/>
        <v>3.6456839067733338E-2</v>
      </c>
      <c r="Q18">
        <f t="shared" si="20"/>
        <v>1.6447958133333335E-3</v>
      </c>
      <c r="R18">
        <f t="shared" si="21"/>
        <v>1.6571290485333334E-3</v>
      </c>
      <c r="S18">
        <f t="shared" si="2"/>
        <v>504.37959679113044</v>
      </c>
      <c r="T18">
        <f t="shared" si="40"/>
        <v>563.42586505619227</v>
      </c>
      <c r="U18">
        <f t="shared" si="22"/>
        <v>59.046268265061826</v>
      </c>
      <c r="V18">
        <f t="shared" si="4"/>
        <v>40.700933625122218</v>
      </c>
      <c r="W18" s="13">
        <f t="shared" si="41"/>
        <v>20.199999999999996</v>
      </c>
      <c r="X18" s="13">
        <f t="shared" si="42"/>
        <v>18.200000000000003</v>
      </c>
      <c r="Y18">
        <f t="shared" si="23"/>
        <v>0.14142135623730953</v>
      </c>
      <c r="Z18">
        <f t="shared" si="24"/>
        <v>19.182626312338382</v>
      </c>
      <c r="AA18">
        <f t="shared" si="25"/>
        <v>0.48306681362421228</v>
      </c>
      <c r="AB18">
        <f t="shared" si="26"/>
        <v>0.51783937786423262</v>
      </c>
      <c r="AC18">
        <f t="shared" si="27"/>
        <v>0.10015100276001884</v>
      </c>
      <c r="AD18">
        <f t="shared" si="7"/>
        <v>26.293563174230759</v>
      </c>
      <c r="AE18">
        <f t="shared" si="8"/>
        <v>29.371674966831488</v>
      </c>
      <c r="AF18">
        <f t="shared" si="28"/>
        <v>2.1217891477563144</v>
      </c>
      <c r="AG18">
        <f>AD18/Parameters!$B$25</f>
        <v>523.09381883473145</v>
      </c>
      <c r="AH18">
        <f>AE18/Parameters!$B$26</f>
        <v>519.4052508733015</v>
      </c>
      <c r="AI18">
        <f t="shared" si="29"/>
        <v>521.24953485401647</v>
      </c>
      <c r="AJ18">
        <f>S18/(Z18*AVERAGE(Parameters!$B$25,Parameters!$B$26))</f>
        <v>492.3235941973943</v>
      </c>
      <c r="AK18">
        <f>AF18/AVERAGE(Parameters!$B$25,Parameters!$B$26)</f>
        <v>39.728615419312632</v>
      </c>
      <c r="AL18">
        <f>I18/60000*1/Parameters!$B$9</f>
        <v>0.10776115938513749</v>
      </c>
      <c r="AM18">
        <f>J18/60000*1/Parameters!$B$10</f>
        <v>0.13262911924324616</v>
      </c>
      <c r="AN18">
        <f>Parameters!$B$18</f>
        <v>1.6E-2</v>
      </c>
      <c r="AO18">
        <f>Parameters!$B$22</f>
        <v>8.0000000000000002E-3</v>
      </c>
      <c r="AP18" s="1">
        <f t="shared" si="9"/>
        <v>5.2192669999999984E-4</v>
      </c>
      <c r="AQ18" s="1">
        <f t="shared" si="10"/>
        <v>7.4958570799999998E-4</v>
      </c>
      <c r="AR18" s="13">
        <f t="shared" si="11"/>
        <v>3260.1378631282018</v>
      </c>
      <c r="AS18" s="13">
        <f t="shared" si="12"/>
        <v>1407.3922520158264</v>
      </c>
      <c r="AT18" s="1">
        <f t="shared" si="13"/>
        <v>0.645065679</v>
      </c>
      <c r="AU18" s="1">
        <f t="shared" si="14"/>
        <v>0.62185861595999992</v>
      </c>
      <c r="AV18" s="15">
        <f t="shared" si="30"/>
        <v>3.2906352918831998</v>
      </c>
      <c r="AW18" s="15">
        <f t="shared" si="30"/>
        <v>4.9023443531931283</v>
      </c>
      <c r="AX18" s="15">
        <f t="shared" si="31"/>
        <v>0.8</v>
      </c>
      <c r="AY18" s="15">
        <f t="shared" si="32"/>
        <v>0.16</v>
      </c>
      <c r="AZ18" s="15">
        <f t="shared" si="15"/>
        <v>0.56295690080633065</v>
      </c>
      <c r="BA18" s="15">
        <f t="shared" si="16"/>
        <v>2.7598085837590189</v>
      </c>
      <c r="BB18" s="15">
        <f t="shared" si="33"/>
        <v>4.4307811226869477E-2</v>
      </c>
      <c r="BC18" s="15">
        <f t="shared" si="34"/>
        <v>19.195823564727679</v>
      </c>
      <c r="BD18" s="15">
        <f t="shared" si="35"/>
        <v>773.91043510907878</v>
      </c>
      <c r="BE18" s="15">
        <f t="shared" si="36"/>
        <v>55.196171675180381</v>
      </c>
      <c r="BF18" s="15">
        <f t="shared" si="43"/>
        <v>6.3263378822856184</v>
      </c>
      <c r="BG18" s="15">
        <f>BF18*(0.86*(Parameters!$B$14/Parameters!$B$17)^(0.16))</f>
        <v>5.7703608076623887</v>
      </c>
      <c r="BH18" s="15">
        <f t="shared" si="38"/>
        <v>448.54357318034505</v>
      </c>
      <c r="BI18" s="15">
        <f>1/(BD18*Parameters!$B$25)</f>
        <v>2.5706292335601993E-2</v>
      </c>
      <c r="BJ18" s="15">
        <f>1/(BH18*Parameters!$B$26)</f>
        <v>3.9425116361339607E-2</v>
      </c>
      <c r="BK18" s="24">
        <f>LN(Parameters!$B$17/Parameters!$B$18)/(2*PI()*Parameters!$B$6*1)</f>
        <v>1.2497168224721593E-3</v>
      </c>
      <c r="BL18" s="15">
        <f t="shared" si="39"/>
        <v>15.064523118209873</v>
      </c>
      <c r="BM18" s="15">
        <f>BL18/(AVERAGE(Parameters!$B$25, Parameters!$B$26))</f>
        <v>282.06980230414524</v>
      </c>
      <c r="BN18" s="15"/>
    </row>
    <row r="19" spans="1:73" x14ac:dyDescent="0.55000000000000004">
      <c r="A19" t="s">
        <v>43</v>
      </c>
      <c r="B19" s="3">
        <v>59.7</v>
      </c>
      <c r="C19" s="3">
        <v>54</v>
      </c>
      <c r="D19" s="3">
        <v>49.6</v>
      </c>
      <c r="E19" s="3">
        <v>48.2</v>
      </c>
      <c r="F19" s="3">
        <v>29.9</v>
      </c>
      <c r="G19" s="3">
        <v>31.4</v>
      </c>
      <c r="H19" s="3">
        <v>33.4</v>
      </c>
      <c r="I19" s="2">
        <v>1.2</v>
      </c>
      <c r="J19" s="2">
        <v>2.2000000000000002</v>
      </c>
      <c r="K19">
        <f t="shared" si="17"/>
        <v>51.1</v>
      </c>
      <c r="L19">
        <f t="shared" si="18"/>
        <v>31.65</v>
      </c>
      <c r="M19">
        <f t="shared" si="0"/>
        <v>986.83236148000003</v>
      </c>
      <c r="N19">
        <f t="shared" si="1"/>
        <v>994.32533782999997</v>
      </c>
      <c r="O19">
        <f t="shared" si="19"/>
        <v>1.9736647229599998E-2</v>
      </c>
      <c r="P19">
        <f t="shared" si="19"/>
        <v>3.6458595720433334E-2</v>
      </c>
      <c r="Q19">
        <f t="shared" si="20"/>
        <v>1.6447206024666667E-3</v>
      </c>
      <c r="R19">
        <f t="shared" si="21"/>
        <v>1.6572088963833333E-3</v>
      </c>
      <c r="S19">
        <f t="shared" si="2"/>
        <v>465.55987684014229</v>
      </c>
      <c r="T19">
        <f t="shared" si="40"/>
        <v>518.96988078250831</v>
      </c>
      <c r="U19">
        <f t="shared" si="22"/>
        <v>53.410003942366018</v>
      </c>
      <c r="V19">
        <f t="shared" si="4"/>
        <v>40.423292993083535</v>
      </c>
      <c r="W19" s="13">
        <f t="shared" si="41"/>
        <v>20.6</v>
      </c>
      <c r="X19" s="13">
        <f t="shared" si="42"/>
        <v>18.300000000000004</v>
      </c>
      <c r="Y19">
        <f t="shared" si="23"/>
        <v>0.14142135623730953</v>
      </c>
      <c r="Z19">
        <f t="shared" si="24"/>
        <v>19.427313879297962</v>
      </c>
      <c r="AA19">
        <f t="shared" si="25"/>
        <v>0.48083877899481919</v>
      </c>
      <c r="AB19">
        <f t="shared" si="26"/>
        <v>0.52032978316964429</v>
      </c>
      <c r="AC19">
        <f t="shared" si="27"/>
        <v>0.10019471190023931</v>
      </c>
      <c r="AD19">
        <f t="shared" si="7"/>
        <v>23.964191845186065</v>
      </c>
      <c r="AE19">
        <f t="shared" si="8"/>
        <v>26.713414114111288</v>
      </c>
      <c r="AF19">
        <f t="shared" si="28"/>
        <v>2.0807730213623468</v>
      </c>
      <c r="AG19">
        <f>AD19/Parameters!$B$25</f>
        <v>476.75244867048127</v>
      </c>
      <c r="AH19">
        <f>AE19/Parameters!$B$26</f>
        <v>472.39687812462404</v>
      </c>
      <c r="AI19">
        <f t="shared" si="29"/>
        <v>474.57466339755263</v>
      </c>
      <c r="AJ19">
        <f>S19/(Z19*AVERAGE(Parameters!$B$25,Parameters!$B$26))</f>
        <v>448.7081869839825</v>
      </c>
      <c r="AK19">
        <f>AF19/AVERAGE(Parameters!$B$25,Parameters!$B$26)</f>
        <v>38.960624917891231</v>
      </c>
      <c r="AL19">
        <f>I19/60000*1/Parameters!$B$9</f>
        <v>9.9471839432434581E-2</v>
      </c>
      <c r="AM19">
        <f>J19/60000*1/Parameters!$B$10</f>
        <v>0.13262911924324616</v>
      </c>
      <c r="AN19">
        <f>Parameters!$B$18</f>
        <v>1.6E-2</v>
      </c>
      <c r="AO19">
        <f>Parameters!$B$22</f>
        <v>8.0000000000000002E-3</v>
      </c>
      <c r="AP19" s="1">
        <f t="shared" si="9"/>
        <v>5.2106270699999986E-4</v>
      </c>
      <c r="AQ19" s="1">
        <f t="shared" si="10"/>
        <v>7.5184814075000004E-4</v>
      </c>
      <c r="AR19" s="13">
        <f t="shared" si="11"/>
        <v>3014.2101175663324</v>
      </c>
      <c r="AS19" s="13">
        <f t="shared" si="12"/>
        <v>1403.2247912838757</v>
      </c>
      <c r="AT19" s="1">
        <f t="shared" si="13"/>
        <v>0.64517164759000001</v>
      </c>
      <c r="AU19" s="1">
        <f t="shared" si="14"/>
        <v>0.62165490057749995</v>
      </c>
      <c r="AV19" s="15">
        <f t="shared" si="30"/>
        <v>3.2846484145498365</v>
      </c>
      <c r="AW19" s="15">
        <f t="shared" si="30"/>
        <v>4.9187521655337569</v>
      </c>
      <c r="AX19" s="15">
        <f t="shared" si="31"/>
        <v>0.8</v>
      </c>
      <c r="AY19" s="15">
        <f t="shared" si="32"/>
        <v>0.16</v>
      </c>
      <c r="AZ19" s="15">
        <f t="shared" si="15"/>
        <v>0.56128991651355031</v>
      </c>
      <c r="BA19" s="15">
        <f t="shared" si="16"/>
        <v>2.7608459923432873</v>
      </c>
      <c r="BB19" s="15">
        <f t="shared" si="33"/>
        <v>4.5486585483990323E-2</v>
      </c>
      <c r="BC19" s="15">
        <f t="shared" si="34"/>
        <v>17.428172279447747</v>
      </c>
      <c r="BD19" s="15">
        <f t="shared" si="35"/>
        <v>702.76016400085427</v>
      </c>
      <c r="BE19" s="15">
        <f t="shared" si="36"/>
        <v>55.216919846865743</v>
      </c>
      <c r="BF19" s="15">
        <f t="shared" si="43"/>
        <v>6.3269379792013076</v>
      </c>
      <c r="BG19" s="15">
        <f>BF19*(0.86*(Parameters!$B$14/Parameters!$B$17)^(0.16))</f>
        <v>5.7709081663061292</v>
      </c>
      <c r="BH19" s="15">
        <f t="shared" si="38"/>
        <v>448.43916779586488</v>
      </c>
      <c r="BI19" s="15">
        <f>1/(BD19*Parameters!$B$25)</f>
        <v>2.8308900967333052E-2</v>
      </c>
      <c r="BJ19" s="15">
        <f>1/(BH19*Parameters!$B$26)</f>
        <v>3.943429529736367E-2</v>
      </c>
      <c r="BK19" s="24">
        <f>LN(Parameters!$B$17/Parameters!$B$18)/(2*PI()*Parameters!$B$6*1)</f>
        <v>1.2497168224721593E-3</v>
      </c>
      <c r="BL19" s="15">
        <f t="shared" si="39"/>
        <v>14.494242310605921</v>
      </c>
      <c r="BM19" s="15">
        <f>BL19/(AVERAGE(Parameters!$B$25, Parameters!$B$26))</f>
        <v>271.39180118877965</v>
      </c>
      <c r="BN19" s="15"/>
      <c r="BP19" s="25" t="s">
        <v>42</v>
      </c>
      <c r="BQ19" s="25"/>
      <c r="BT19" s="25" t="s">
        <v>43</v>
      </c>
      <c r="BU19" s="25"/>
    </row>
    <row r="20" spans="1:73" x14ac:dyDescent="0.55000000000000004">
      <c r="A20" t="s">
        <v>43</v>
      </c>
      <c r="B20" s="3">
        <v>59.5</v>
      </c>
      <c r="C20" s="3">
        <v>54.1</v>
      </c>
      <c r="D20" s="3">
        <v>50.3</v>
      </c>
      <c r="E20" s="3">
        <v>48.4</v>
      </c>
      <c r="F20" s="3">
        <v>29.9</v>
      </c>
      <c r="G20" s="3">
        <v>31.6</v>
      </c>
      <c r="H20" s="3">
        <v>33.6</v>
      </c>
      <c r="I20" s="2">
        <v>1.3</v>
      </c>
      <c r="J20" s="2">
        <v>2.2000000000000002</v>
      </c>
      <c r="K20">
        <f t="shared" si="17"/>
        <v>51.25</v>
      </c>
      <c r="L20">
        <f t="shared" si="18"/>
        <v>31.75</v>
      </c>
      <c r="M20">
        <f t="shared" si="0"/>
        <v>986.76454375000003</v>
      </c>
      <c r="N20">
        <f t="shared" si="1"/>
        <v>994.29341575000001</v>
      </c>
      <c r="O20">
        <f t="shared" si="19"/>
        <v>2.137989844791667E-2</v>
      </c>
      <c r="P20">
        <f t="shared" si="19"/>
        <v>3.6457425244166668E-2</v>
      </c>
      <c r="Q20">
        <f t="shared" si="20"/>
        <v>1.6446075729166668E-3</v>
      </c>
      <c r="R20">
        <f t="shared" si="21"/>
        <v>1.6571556929166668E-3</v>
      </c>
      <c r="S20">
        <f t="shared" si="2"/>
        <v>495.6266678297597</v>
      </c>
      <c r="T20">
        <f t="shared" si="40"/>
        <v>548.60768933169595</v>
      </c>
      <c r="U20">
        <f t="shared" si="22"/>
        <v>52.981021501936254</v>
      </c>
      <c r="V20">
        <f t="shared" si="4"/>
        <v>40.059188421464775</v>
      </c>
      <c r="W20" s="13">
        <f t="shared" si="41"/>
        <v>20.5</v>
      </c>
      <c r="X20" s="13">
        <f t="shared" si="42"/>
        <v>18.5</v>
      </c>
      <c r="Y20">
        <f t="shared" si="23"/>
        <v>0.14142135623730953</v>
      </c>
      <c r="Z20">
        <f t="shared" si="24"/>
        <v>19.482893978449251</v>
      </c>
      <c r="AA20">
        <f t="shared" si="25"/>
        <v>0.48332118982232725</v>
      </c>
      <c r="AB20">
        <f t="shared" si="26"/>
        <v>0.51755727497791915</v>
      </c>
      <c r="AC20">
        <f t="shared" si="27"/>
        <v>0.10014638340088369</v>
      </c>
      <c r="AD20">
        <f t="shared" si="7"/>
        <v>25.439068157840957</v>
      </c>
      <c r="AE20">
        <f t="shared" si="8"/>
        <v>28.158429129601135</v>
      </c>
      <c r="AF20">
        <f t="shared" si="28"/>
        <v>2.0561482129750051</v>
      </c>
      <c r="AG20">
        <f>AD20/Parameters!$B$25</f>
        <v>506.09418062150303</v>
      </c>
      <c r="AH20">
        <f>AE20/Parameters!$B$26</f>
        <v>497.95035396431524</v>
      </c>
      <c r="AI20">
        <f t="shared" si="29"/>
        <v>502.02226729290913</v>
      </c>
      <c r="AJ20">
        <f>S20/(Z20*AVERAGE(Parameters!$B$25,Parameters!$B$26))</f>
        <v>476.3239347025912</v>
      </c>
      <c r="AK20">
        <f>AF20/AVERAGE(Parameters!$B$25,Parameters!$B$26)</f>
        <v>38.499547273475208</v>
      </c>
      <c r="AL20">
        <f>I20/60000*1/Parameters!$B$9</f>
        <v>0.10776115938513749</v>
      </c>
      <c r="AM20">
        <f>J20/60000*1/Parameters!$B$10</f>
        <v>0.13262911924324616</v>
      </c>
      <c r="AN20">
        <f>Parameters!$B$18</f>
        <v>1.6E-2</v>
      </c>
      <c r="AO20">
        <f>Parameters!$B$22</f>
        <v>8.0000000000000002E-3</v>
      </c>
      <c r="AP20" s="1">
        <f t="shared" si="9"/>
        <v>5.1977296874999987E-4</v>
      </c>
      <c r="AQ20" s="1">
        <f t="shared" si="10"/>
        <v>7.5033901874999997E-4</v>
      </c>
      <c r="AR20" s="13">
        <f t="shared" si="11"/>
        <v>3273.2719142473488</v>
      </c>
      <c r="AS20" s="13">
        <f t="shared" si="12"/>
        <v>1406.0018919977699</v>
      </c>
      <c r="AT20" s="1">
        <f t="shared" si="13"/>
        <v>0.64533031093749993</v>
      </c>
      <c r="AU20" s="1">
        <f t="shared" si="14"/>
        <v>0.62179074943750001</v>
      </c>
      <c r="AV20" s="15">
        <f t="shared" si="30"/>
        <v>3.2757126514563826</v>
      </c>
      <c r="AW20" s="15">
        <f t="shared" si="30"/>
        <v>4.9078066729311924</v>
      </c>
      <c r="AX20" s="15">
        <f t="shared" si="31"/>
        <v>0.8</v>
      </c>
      <c r="AY20" s="15">
        <f t="shared" si="32"/>
        <v>0.16</v>
      </c>
      <c r="AZ20" s="15">
        <f t="shared" si="15"/>
        <v>0.56240075679910795</v>
      </c>
      <c r="BA20" s="15">
        <f t="shared" si="16"/>
        <v>2.7601541870802149</v>
      </c>
      <c r="BB20" s="15">
        <f t="shared" si="33"/>
        <v>4.4248623516148097E-2</v>
      </c>
      <c r="BC20" s="15">
        <f t="shared" si="34"/>
        <v>19.257751230696357</v>
      </c>
      <c r="BD20" s="15">
        <f t="shared" si="35"/>
        <v>776.72566185389394</v>
      </c>
      <c r="BE20" s="15">
        <f t="shared" si="36"/>
        <v>55.203083741604296</v>
      </c>
      <c r="BF20" s="15">
        <f t="shared" si="43"/>
        <v>6.3265378114756716</v>
      </c>
      <c r="BG20" s="15">
        <f>BF20*(0.86*(Parameters!$B$14/Parameters!$B$17)^(0.16))</f>
        <v>5.7705431664905227</v>
      </c>
      <c r="BH20" s="15">
        <f t="shared" si="38"/>
        <v>448.50879501919832</v>
      </c>
      <c r="BI20" s="15">
        <f>1/(BD20*Parameters!$B$25)</f>
        <v>2.5613120389254177E-2</v>
      </c>
      <c r="BJ20" s="15">
        <f>1/(BH20*Parameters!$B$26)</f>
        <v>3.942817345423337E-2</v>
      </c>
      <c r="BK20" s="24">
        <f>LN(Parameters!$B$17/Parameters!$B$18)/(2*PI()*Parameters!$B$6*1)</f>
        <v>1.2497168224721593E-3</v>
      </c>
      <c r="BL20" s="15">
        <f t="shared" si="39"/>
        <v>15.085001570408972</v>
      </c>
      <c r="BM20" s="15">
        <f>BL20/(AVERAGE(Parameters!$B$25, Parameters!$B$26))</f>
        <v>282.4532431152461</v>
      </c>
      <c r="BN20" s="15"/>
      <c r="BP20" t="s">
        <v>92</v>
      </c>
      <c r="BQ20" t="s">
        <v>93</v>
      </c>
      <c r="BT20" t="s">
        <v>92</v>
      </c>
      <c r="BU20" t="s">
        <v>96</v>
      </c>
    </row>
    <row r="21" spans="1:73" x14ac:dyDescent="0.55000000000000004">
      <c r="A21" t="s">
        <v>43</v>
      </c>
      <c r="B21" s="3">
        <v>59.6</v>
      </c>
      <c r="C21" s="3">
        <v>54.3</v>
      </c>
      <c r="D21" s="3">
        <v>50.6</v>
      </c>
      <c r="E21" s="3">
        <v>48.5</v>
      </c>
      <c r="F21" s="3">
        <v>29.8</v>
      </c>
      <c r="G21" s="3">
        <v>31.6</v>
      </c>
      <c r="H21" s="3">
        <v>33.700000000000003</v>
      </c>
      <c r="I21" s="2">
        <v>1.4</v>
      </c>
      <c r="J21" s="2">
        <v>2.2000000000000002</v>
      </c>
      <c r="K21">
        <f t="shared" si="17"/>
        <v>51.4</v>
      </c>
      <c r="L21">
        <f t="shared" si="18"/>
        <v>31.75</v>
      </c>
      <c r="M21">
        <f t="shared" si="0"/>
        <v>986.69657247999999</v>
      </c>
      <c r="N21">
        <f t="shared" si="1"/>
        <v>994.29341575000001</v>
      </c>
      <c r="O21">
        <f t="shared" si="19"/>
        <v>2.3022920024533329E-2</v>
      </c>
      <c r="P21">
        <f t="shared" si="19"/>
        <v>3.6457425244166668E-2</v>
      </c>
      <c r="Q21">
        <f t="shared" si="20"/>
        <v>1.6444942874666668E-3</v>
      </c>
      <c r="R21">
        <f t="shared" si="21"/>
        <v>1.6571556929166668E-3</v>
      </c>
      <c r="S21">
        <f t="shared" si="2"/>
        <v>543.07845129070665</v>
      </c>
      <c r="T21">
        <f t="shared" si="40"/>
        <v>578.262159025301</v>
      </c>
      <c r="U21">
        <f t="shared" si="22"/>
        <v>35.18370773459435</v>
      </c>
      <c r="V21">
        <f t="shared" si="4"/>
        <v>40.989189738156021</v>
      </c>
      <c r="W21" s="13">
        <f t="shared" si="41"/>
        <v>20.599999999999994</v>
      </c>
      <c r="X21" s="13">
        <f t="shared" si="42"/>
        <v>18.7</v>
      </c>
      <c r="Y21">
        <f t="shared" si="23"/>
        <v>0.14142135623730953</v>
      </c>
      <c r="Z21">
        <f t="shared" si="24"/>
        <v>19.634680861580158</v>
      </c>
      <c r="AA21">
        <f t="shared" si="25"/>
        <v>0.4842548086982475</v>
      </c>
      <c r="AB21">
        <f t="shared" si="26"/>
        <v>0.51652576483403956</v>
      </c>
      <c r="AC21">
        <f t="shared" si="27"/>
        <v>0.10013007395231124</v>
      </c>
      <c r="AD21">
        <f t="shared" si="7"/>
        <v>27.659143284236748</v>
      </c>
      <c r="AE21">
        <f t="shared" si="8"/>
        <v>29.451059739748867</v>
      </c>
      <c r="AF21">
        <f t="shared" si="28"/>
        <v>2.0876184856628179</v>
      </c>
      <c r="AG21">
        <f>AD21/Parameters!$B$25</f>
        <v>550.26117192165987</v>
      </c>
      <c r="AH21">
        <f>AE21/Parameters!$B$26</f>
        <v>520.80908187508237</v>
      </c>
      <c r="AI21">
        <f t="shared" si="29"/>
        <v>535.53512689837112</v>
      </c>
      <c r="AJ21">
        <f>S21/(Z21*AVERAGE(Parameters!$B$25,Parameters!$B$26))</f>
        <v>517.89286769097407</v>
      </c>
      <c r="AK21">
        <f>AF21/AVERAGE(Parameters!$B$25,Parameters!$B$26)</f>
        <v>39.088800150971124</v>
      </c>
      <c r="AL21">
        <f>I21/60000*1/Parameters!$B$9</f>
        <v>0.11605047933784035</v>
      </c>
      <c r="AM21">
        <f>J21/60000*1/Parameters!$B$10</f>
        <v>0.13262911924324616</v>
      </c>
      <c r="AN21">
        <f>Parameters!$B$18</f>
        <v>1.6E-2</v>
      </c>
      <c r="AO21">
        <f>Parameters!$B$22</f>
        <v>8.0000000000000002E-3</v>
      </c>
      <c r="AP21" s="1">
        <f t="shared" si="9"/>
        <v>5.1849073200000003E-4</v>
      </c>
      <c r="AQ21" s="1">
        <f t="shared" si="10"/>
        <v>7.5033901874999997E-4</v>
      </c>
      <c r="AR21" s="13">
        <f t="shared" si="11"/>
        <v>3533.5361850921763</v>
      </c>
      <c r="AS21" s="13">
        <f t="shared" si="12"/>
        <v>1406.0018919977699</v>
      </c>
      <c r="AT21" s="1">
        <f t="shared" si="13"/>
        <v>0.64548862683999997</v>
      </c>
      <c r="AU21" s="1">
        <f t="shared" si="14"/>
        <v>0.62179074943750001</v>
      </c>
      <c r="AV21" s="15">
        <f t="shared" si="30"/>
        <v>3.2668303039934008</v>
      </c>
      <c r="AW21" s="15">
        <f t="shared" si="30"/>
        <v>4.9078066729311924</v>
      </c>
      <c r="AX21" s="15">
        <f t="shared" si="31"/>
        <v>0.8</v>
      </c>
      <c r="AY21" s="15">
        <f t="shared" si="32"/>
        <v>0.16</v>
      </c>
      <c r="AZ21" s="15">
        <f t="shared" si="15"/>
        <v>0.56240075679910795</v>
      </c>
      <c r="BA21" s="15">
        <f t="shared" si="16"/>
        <v>2.7601541870802149</v>
      </c>
      <c r="BB21" s="15">
        <f t="shared" si="33"/>
        <v>4.314455034911012E-2</v>
      </c>
      <c r="BC21" s="15">
        <f t="shared" si="34"/>
        <v>21.047585110099572</v>
      </c>
      <c r="BD21" s="15">
        <f t="shared" si="35"/>
        <v>849.12355068851264</v>
      </c>
      <c r="BE21" s="15">
        <f t="shared" si="36"/>
        <v>55.203083741604296</v>
      </c>
      <c r="BF21" s="15">
        <f t="shared" si="43"/>
        <v>6.3265378114756716</v>
      </c>
      <c r="BG21" s="15">
        <f>BF21*(0.86*(Parameters!$B$14/Parameters!$B$17)^(0.16))</f>
        <v>5.7705431664905227</v>
      </c>
      <c r="BH21" s="15">
        <f t="shared" si="38"/>
        <v>448.50879501919832</v>
      </c>
      <c r="BI21" s="15">
        <f>1/(BD21*Parameters!$B$25)</f>
        <v>2.3429297032635063E-2</v>
      </c>
      <c r="BJ21" s="15">
        <f>1/(BH21*Parameters!$B$26)</f>
        <v>3.942817345423337E-2</v>
      </c>
      <c r="BK21" s="24">
        <f>LN(Parameters!$B$17/Parameters!$B$18)/(2*PI()*Parameters!$B$6*1)</f>
        <v>1.2497168224721593E-3</v>
      </c>
      <c r="BL21" s="15">
        <f t="shared" si="39"/>
        <v>15.598874977537772</v>
      </c>
      <c r="BM21" s="15">
        <f>BL21/(AVERAGE(Parameters!$B$25, Parameters!$B$26))</f>
        <v>292.0750658056017</v>
      </c>
      <c r="BN21" s="15"/>
      <c r="BP21" t="s">
        <v>94</v>
      </c>
      <c r="BQ21" t="s">
        <v>95</v>
      </c>
      <c r="BT21" t="s">
        <v>94</v>
      </c>
      <c r="BU21" t="s">
        <v>97</v>
      </c>
    </row>
    <row r="22" spans="1:73" x14ac:dyDescent="0.55000000000000004">
      <c r="A22" t="s">
        <v>43</v>
      </c>
      <c r="B22" s="3">
        <v>59.9</v>
      </c>
      <c r="C22" s="3">
        <v>54.4</v>
      </c>
      <c r="D22" s="3">
        <v>50.7</v>
      </c>
      <c r="E22" s="3">
        <v>48.8</v>
      </c>
      <c r="F22" s="3">
        <v>29.8</v>
      </c>
      <c r="G22" s="3">
        <v>31.8</v>
      </c>
      <c r="H22" s="3">
        <v>34</v>
      </c>
      <c r="I22" s="2">
        <v>1.4</v>
      </c>
      <c r="J22" s="2">
        <v>2</v>
      </c>
      <c r="K22">
        <f t="shared" si="17"/>
        <v>51.599999999999994</v>
      </c>
      <c r="L22">
        <f t="shared" si="18"/>
        <v>31.9</v>
      </c>
      <c r="M22">
        <f t="shared" si="0"/>
        <v>986.60570528000005</v>
      </c>
      <c r="N22">
        <f t="shared" si="1"/>
        <v>994.24540467999998</v>
      </c>
      <c r="O22">
        <f t="shared" si="19"/>
        <v>2.3020799789866663E-2</v>
      </c>
      <c r="P22">
        <f t="shared" si="19"/>
        <v>3.3141513489333335E-2</v>
      </c>
      <c r="Q22">
        <f t="shared" si="20"/>
        <v>1.6443428421333334E-3</v>
      </c>
      <c r="R22">
        <f t="shared" si="21"/>
        <v>1.6570756744666668E-3</v>
      </c>
      <c r="S22">
        <f t="shared" si="2"/>
        <v>524.30331937417134</v>
      </c>
      <c r="T22">
        <f t="shared" si="40"/>
        <v>566.10344851669834</v>
      </c>
      <c r="U22">
        <f t="shared" si="22"/>
        <v>41.800129142526998</v>
      </c>
      <c r="V22">
        <f t="shared" si="4"/>
        <v>39.721974913724225</v>
      </c>
      <c r="W22" s="13">
        <f t="shared" si="41"/>
        <v>20.399999999999999</v>
      </c>
      <c r="X22" s="13">
        <f t="shared" si="42"/>
        <v>18.999999999999996</v>
      </c>
      <c r="Y22">
        <f t="shared" si="23"/>
        <v>0.14142135623730953</v>
      </c>
      <c r="Z22">
        <f t="shared" si="24"/>
        <v>19.691706174481979</v>
      </c>
      <c r="AA22">
        <f t="shared" si="25"/>
        <v>0.48835832973740784</v>
      </c>
      <c r="AB22">
        <f t="shared" si="26"/>
        <v>0.51206296041257326</v>
      </c>
      <c r="AC22">
        <f t="shared" si="27"/>
        <v>0.10007020871871902</v>
      </c>
      <c r="AD22">
        <f t="shared" si="7"/>
        <v>26.625591237675675</v>
      </c>
      <c r="AE22">
        <f t="shared" si="8"/>
        <v>28.748318886166327</v>
      </c>
      <c r="AF22">
        <f t="shared" si="28"/>
        <v>2.0172192024145059</v>
      </c>
      <c r="AG22">
        <f>AD22/Parameters!$B$25</f>
        <v>529.6993072775424</v>
      </c>
      <c r="AH22">
        <f>AE22/Parameters!$B$26</f>
        <v>508.38189514616249</v>
      </c>
      <c r="AI22">
        <f t="shared" si="29"/>
        <v>519.04060121185239</v>
      </c>
      <c r="AJ22">
        <f>S22/(Z22*AVERAGE(Parameters!$B$25,Parameters!$B$26))</f>
        <v>498.5405244965105</v>
      </c>
      <c r="AK22">
        <f>AF22/AVERAGE(Parameters!$B$25,Parameters!$B$26)</f>
        <v>37.770636160489325</v>
      </c>
      <c r="AL22">
        <f>I22/60000*1/Parameters!$B$9</f>
        <v>0.11605047933784035</v>
      </c>
      <c r="AM22">
        <f>J22/60000*1/Parameters!$B$10</f>
        <v>0.12057192658476923</v>
      </c>
      <c r="AN22">
        <f>Parameters!$B$18</f>
        <v>1.6E-2</v>
      </c>
      <c r="AO22">
        <f>Parameters!$B$22</f>
        <v>8.0000000000000002E-3</v>
      </c>
      <c r="AP22" s="1">
        <f t="shared" si="9"/>
        <v>5.1679275200000011E-4</v>
      </c>
      <c r="AQ22" s="1">
        <f t="shared" si="10"/>
        <v>7.4808158700000009E-4</v>
      </c>
      <c r="AR22" s="13">
        <f t="shared" si="11"/>
        <v>3544.8195299826352</v>
      </c>
      <c r="AS22" s="13">
        <f t="shared" si="12"/>
        <v>1281.9787148732066</v>
      </c>
      <c r="AT22" s="1">
        <f t="shared" si="13"/>
        <v>0.64569917424000001</v>
      </c>
      <c r="AU22" s="1">
        <f t="shared" si="14"/>
        <v>0.62199423318999991</v>
      </c>
      <c r="AV22" s="15">
        <f t="shared" si="30"/>
        <v>3.2550701723567386</v>
      </c>
      <c r="AW22" s="15">
        <f t="shared" si="30"/>
        <v>4.8914405503814811</v>
      </c>
      <c r="AX22" s="15">
        <f t="shared" si="31"/>
        <v>0.8</v>
      </c>
      <c r="AY22" s="15">
        <f t="shared" si="32"/>
        <v>0.16</v>
      </c>
      <c r="AZ22" s="15">
        <f t="shared" si="15"/>
        <v>0.5127914859492827</v>
      </c>
      <c r="BA22" s="15">
        <f t="shared" si="16"/>
        <v>2.5082890682626968</v>
      </c>
      <c r="BB22" s="15">
        <f t="shared" si="33"/>
        <v>4.3099443638970655E-2</v>
      </c>
      <c r="BC22" s="15">
        <f t="shared" si="34"/>
        <v>21.09805268443964</v>
      </c>
      <c r="BD22" s="15">
        <f t="shared" si="35"/>
        <v>851.43719977591809</v>
      </c>
      <c r="BE22" s="15">
        <f t="shared" si="36"/>
        <v>50.165781365253935</v>
      </c>
      <c r="BF22" s="15">
        <f t="shared" si="43"/>
        <v>6.1774315565105677</v>
      </c>
      <c r="BG22" s="15">
        <f>BF22*(0.86*(Parameters!$B$14/Parameters!$B$17)^(0.16))</f>
        <v>5.6345408052765968</v>
      </c>
      <c r="BH22" s="15">
        <f t="shared" si="38"/>
        <v>438.08148594447266</v>
      </c>
      <c r="BI22" s="15">
        <f>1/(BD22*Parameters!$B$25)</f>
        <v>2.3365631536562806E-2</v>
      </c>
      <c r="BJ22" s="15">
        <f>1/(BH22*Parameters!$B$26)</f>
        <v>4.0366651258135121E-2</v>
      </c>
      <c r="BK22" s="24">
        <f>LN(Parameters!$B$17/Parameters!$B$18)/(2*PI()*Parameters!$B$6*1)</f>
        <v>1.2497168224721593E-3</v>
      </c>
      <c r="BL22" s="15">
        <f t="shared" si="39"/>
        <v>15.388877010423235</v>
      </c>
      <c r="BM22" s="15">
        <f>BL22/(AVERAGE(Parameters!$B$25, Parameters!$B$26))</f>
        <v>288.14304056965727</v>
      </c>
      <c r="BN22" s="15"/>
    </row>
    <row r="23" spans="1:73" x14ac:dyDescent="0.55000000000000004">
      <c r="A23" t="s">
        <v>43</v>
      </c>
      <c r="B23" s="3">
        <v>59.9</v>
      </c>
      <c r="C23" s="3">
        <v>54.4</v>
      </c>
      <c r="D23" s="3">
        <v>50.9</v>
      </c>
      <c r="E23" s="3">
        <v>49</v>
      </c>
      <c r="F23" s="3">
        <v>29.9</v>
      </c>
      <c r="G23" s="3">
        <v>32.299999999999997</v>
      </c>
      <c r="H23" s="3">
        <v>34.5</v>
      </c>
      <c r="I23" s="2">
        <v>1.4</v>
      </c>
      <c r="J23" s="2">
        <v>1.8</v>
      </c>
      <c r="K23">
        <f t="shared" si="17"/>
        <v>51.7</v>
      </c>
      <c r="L23">
        <f t="shared" si="18"/>
        <v>32.200000000000003</v>
      </c>
      <c r="M23">
        <f t="shared" si="0"/>
        <v>986.56016932</v>
      </c>
      <c r="N23">
        <f t="shared" si="1"/>
        <v>994.14892192000002</v>
      </c>
      <c r="O23">
        <f t="shared" si="19"/>
        <v>2.301973728413333E-2</v>
      </c>
      <c r="P23">
        <f t="shared" si="19"/>
        <v>2.9824467657599999E-2</v>
      </c>
      <c r="Q23">
        <f t="shared" si="20"/>
        <v>1.6442669488666666E-3</v>
      </c>
      <c r="R23">
        <f t="shared" si="21"/>
        <v>1.6569148698666668E-3</v>
      </c>
      <c r="S23">
        <f t="shared" si="2"/>
        <v>505.55486628667927</v>
      </c>
      <c r="T23">
        <f t="shared" si="40"/>
        <v>557.96210583191248</v>
      </c>
      <c r="U23">
        <f t="shared" si="22"/>
        <v>52.40723954523321</v>
      </c>
      <c r="V23">
        <f t="shared" si="4"/>
        <v>38.461768544936824</v>
      </c>
      <c r="W23" s="13">
        <f t="shared" si="41"/>
        <v>19.899999999999999</v>
      </c>
      <c r="X23" s="13">
        <f t="shared" si="42"/>
        <v>19.100000000000001</v>
      </c>
      <c r="Y23">
        <f t="shared" si="23"/>
        <v>0.14142135623730953</v>
      </c>
      <c r="Z23">
        <f t="shared" si="24"/>
        <v>19.497264650306693</v>
      </c>
      <c r="AA23">
        <f t="shared" si="25"/>
        <v>0.49323101111833789</v>
      </c>
      <c r="AB23">
        <f t="shared" si="26"/>
        <v>0.50690929471469026</v>
      </c>
      <c r="AC23">
        <f t="shared" si="27"/>
        <v>0.10002338360573121</v>
      </c>
      <c r="AD23">
        <f t="shared" si="7"/>
        <v>25.929527826290588</v>
      </c>
      <c r="AE23">
        <f t="shared" si="8"/>
        <v>28.617455619505872</v>
      </c>
      <c r="AF23">
        <f t="shared" si="28"/>
        <v>1.972701061054192</v>
      </c>
      <c r="AG23">
        <f>AD23/Parameters!$B$25</f>
        <v>515.85156569912442</v>
      </c>
      <c r="AH23">
        <f>AE23/Parameters!$B$26</f>
        <v>506.06772450636646</v>
      </c>
      <c r="AI23">
        <f t="shared" si="29"/>
        <v>510.95964510274541</v>
      </c>
      <c r="AJ23">
        <f>S23/(Z23*AVERAGE(Parameters!$B$25,Parameters!$B$26))</f>
        <v>485.50735595211717</v>
      </c>
      <c r="AK23">
        <f>AF23/AVERAGE(Parameters!$B$25,Parameters!$B$26)</f>
        <v>36.937073542282533</v>
      </c>
      <c r="AL23">
        <f>I23/60000*1/Parameters!$B$9</f>
        <v>0.11605047933784035</v>
      </c>
      <c r="AM23">
        <f>J23/60000*1/Parameters!$B$10</f>
        <v>0.10851473392629231</v>
      </c>
      <c r="AN23">
        <f>Parameters!$B$18</f>
        <v>1.6E-2</v>
      </c>
      <c r="AO23">
        <f>Parameters!$B$22</f>
        <v>8.0000000000000002E-3</v>
      </c>
      <c r="AP23" s="1">
        <f t="shared" si="9"/>
        <v>5.1594876299999989E-4</v>
      </c>
      <c r="AQ23" s="1">
        <f t="shared" si="10"/>
        <v>7.4358922799999997E-4</v>
      </c>
      <c r="AR23" s="13">
        <f t="shared" si="11"/>
        <v>3550.4542700557095</v>
      </c>
      <c r="AS23" s="13">
        <f t="shared" si="12"/>
        <v>1160.6387148497979</v>
      </c>
      <c r="AT23" s="1">
        <f t="shared" si="13"/>
        <v>0.64580421630999996</v>
      </c>
      <c r="AU23" s="1">
        <f t="shared" si="14"/>
        <v>0.62240015835999996</v>
      </c>
      <c r="AV23" s="15">
        <f t="shared" si="30"/>
        <v>3.2492256416513392</v>
      </c>
      <c r="AW23" s="15">
        <f t="shared" si="30"/>
        <v>4.8588955990059333</v>
      </c>
      <c r="AX23" s="15">
        <f t="shared" si="31"/>
        <v>0.8</v>
      </c>
      <c r="AY23" s="15">
        <f t="shared" si="32"/>
        <v>0.16</v>
      </c>
      <c r="AZ23" s="15">
        <f t="shared" si="15"/>
        <v>0.46425548593991917</v>
      </c>
      <c r="BA23" s="15">
        <f t="shared" si="16"/>
        <v>2.2557689374478342</v>
      </c>
      <c r="BB23" s="15">
        <f t="shared" si="33"/>
        <v>4.3076998116089213E-2</v>
      </c>
      <c r="BC23" s="15">
        <f t="shared" si="34"/>
        <v>21.123185281657548</v>
      </c>
      <c r="BD23" s="15">
        <f t="shared" si="35"/>
        <v>852.59013229948619</v>
      </c>
      <c r="BE23" s="15">
        <f t="shared" si="36"/>
        <v>45.11537874895668</v>
      </c>
      <c r="BF23" s="15">
        <f t="shared" si="43"/>
        <v>6.0204544347563962</v>
      </c>
      <c r="BG23" s="15">
        <f>BF23*(0.86*(Parameters!$B$14/Parameters!$B$17)^(0.16))</f>
        <v>5.4913592920655665</v>
      </c>
      <c r="BH23" s="15">
        <f t="shared" si="38"/>
        <v>427.22786162415821</v>
      </c>
      <c r="BI23" s="15">
        <f>1/(BD23*Parameters!$B$25)</f>
        <v>2.3334034881251353E-2</v>
      </c>
      <c r="BJ23" s="15">
        <f>1/(BH23*Parameters!$B$26)</f>
        <v>4.1392156631683004E-2</v>
      </c>
      <c r="BK23" s="24">
        <f>LN(Parameters!$B$17/Parameters!$B$18)/(2*PI()*Parameters!$B$6*1)</f>
        <v>1.2497168224721593E-3</v>
      </c>
      <c r="BL23" s="15">
        <f t="shared" si="39"/>
        <v>15.157047856260311</v>
      </c>
      <c r="BM23" s="15">
        <f>BL23/(AVERAGE(Parameters!$B$25, Parameters!$B$26))</f>
        <v>283.80224576520521</v>
      </c>
      <c r="BN23" s="15"/>
    </row>
    <row r="24" spans="1:73" x14ac:dyDescent="0.55000000000000004">
      <c r="A24" t="s">
        <v>43</v>
      </c>
      <c r="B24" s="3">
        <v>59.7</v>
      </c>
      <c r="C24" s="3">
        <v>54.3</v>
      </c>
      <c r="D24" s="3">
        <v>50.5</v>
      </c>
      <c r="E24" s="3">
        <v>48.4</v>
      </c>
      <c r="F24" s="3">
        <v>30.1</v>
      </c>
      <c r="G24" s="3">
        <v>31.5</v>
      </c>
      <c r="H24" s="3">
        <v>33.5</v>
      </c>
      <c r="I24" s="2">
        <v>1.4</v>
      </c>
      <c r="J24" s="2">
        <v>2.5</v>
      </c>
      <c r="K24">
        <f t="shared" si="17"/>
        <v>51.349999999999994</v>
      </c>
      <c r="L24">
        <f t="shared" si="18"/>
        <v>31.8</v>
      </c>
      <c r="M24">
        <f t="shared" si="0"/>
        <v>986.71924663000004</v>
      </c>
      <c r="N24">
        <f t="shared" si="1"/>
        <v>994.27742911999997</v>
      </c>
      <c r="O24">
        <f t="shared" si="19"/>
        <v>2.3023449088033332E-2</v>
      </c>
      <c r="P24">
        <f t="shared" si="19"/>
        <v>4.1428226213333329E-2</v>
      </c>
      <c r="Q24">
        <f t="shared" si="20"/>
        <v>1.6445320777166669E-3</v>
      </c>
      <c r="R24">
        <f t="shared" si="21"/>
        <v>1.6571290485333334E-3</v>
      </c>
      <c r="S24">
        <f t="shared" si="2"/>
        <v>552.45456790208607</v>
      </c>
      <c r="T24">
        <f t="shared" si="40"/>
        <v>572.8612264327304</v>
      </c>
      <c r="U24">
        <f t="shared" si="22"/>
        <v>20.406658530644336</v>
      </c>
      <c r="V24">
        <f t="shared" si="4"/>
        <v>41.623660441856877</v>
      </c>
      <c r="W24" s="13">
        <f t="shared" si="41"/>
        <v>20.799999999999997</v>
      </c>
      <c r="X24" s="13">
        <f t="shared" si="42"/>
        <v>18.299999999999997</v>
      </c>
      <c r="Y24">
        <f t="shared" si="23"/>
        <v>0.14142135623730953</v>
      </c>
      <c r="Z24">
        <f t="shared" si="24"/>
        <v>19.523329803035903</v>
      </c>
      <c r="AA24">
        <f t="shared" si="25"/>
        <v>0.47932410201994236</v>
      </c>
      <c r="AB24">
        <f t="shared" si="26"/>
        <v>0.52204308639460384</v>
      </c>
      <c r="AC24">
        <f t="shared" si="27"/>
        <v>0.10022779842235667</v>
      </c>
      <c r="AD24">
        <f t="shared" si="7"/>
        <v>28.297148768965563</v>
      </c>
      <c r="AE24">
        <f t="shared" si="8"/>
        <v>29.342393547213945</v>
      </c>
      <c r="AF24">
        <f t="shared" si="28"/>
        <v>2.1320240635694563</v>
      </c>
      <c r="AG24">
        <f>AD24/Parameters!$B$25</f>
        <v>562.95388774845128</v>
      </c>
      <c r="AH24">
        <f>AE24/Parameters!$B$26</f>
        <v>518.88744168742585</v>
      </c>
      <c r="AI24">
        <f t="shared" si="29"/>
        <v>540.92066471793851</v>
      </c>
      <c r="AJ24">
        <f>S24/(Z24*AVERAGE(Parameters!$B$25,Parameters!$B$26))</f>
        <v>529.8389531750131</v>
      </c>
      <c r="AK24">
        <f>AF24/AVERAGE(Parameters!$B$25,Parameters!$B$26)</f>
        <v>39.920255118582155</v>
      </c>
      <c r="AL24">
        <f>I24/60000*1/Parameters!$B$9</f>
        <v>0.11605047933784035</v>
      </c>
      <c r="AM24">
        <f>J24/60000*1/Parameters!$B$10</f>
        <v>0.15071490823096154</v>
      </c>
      <c r="AN24">
        <f>Parameters!$B$18</f>
        <v>1.6E-2</v>
      </c>
      <c r="AO24">
        <f>Parameters!$B$22</f>
        <v>8.0000000000000002E-3</v>
      </c>
      <c r="AP24" s="1">
        <f t="shared" si="9"/>
        <v>5.1891731074999988E-4</v>
      </c>
      <c r="AQ24" s="1">
        <f t="shared" si="10"/>
        <v>7.4958570799999998E-4</v>
      </c>
      <c r="AR24" s="13">
        <f t="shared" si="11"/>
        <v>3530.7125561961184</v>
      </c>
      <c r="AS24" s="13">
        <f t="shared" si="12"/>
        <v>1599.3093772907118</v>
      </c>
      <c r="AT24" s="1">
        <f t="shared" si="13"/>
        <v>0.64543589347749997</v>
      </c>
      <c r="AU24" s="1">
        <f t="shared" si="14"/>
        <v>0.62185861595999992</v>
      </c>
      <c r="AV24" s="15">
        <f t="shared" si="30"/>
        <v>3.2697851547263226</v>
      </c>
      <c r="AW24" s="15">
        <f t="shared" si="30"/>
        <v>4.9023443531931283</v>
      </c>
      <c r="AX24" s="15">
        <f t="shared" si="31"/>
        <v>0.8</v>
      </c>
      <c r="AY24" s="15">
        <f t="shared" si="32"/>
        <v>0.16</v>
      </c>
      <c r="AZ24" s="15">
        <f t="shared" si="15"/>
        <v>0.63972375091628475</v>
      </c>
      <c r="BA24" s="15">
        <f t="shared" si="16"/>
        <v>3.1361461179079759</v>
      </c>
      <c r="BB24" s="15">
        <f t="shared" si="33"/>
        <v>4.3155871826999662E-2</v>
      </c>
      <c r="BC24" s="15">
        <f t="shared" si="34"/>
        <v>21.034926330012308</v>
      </c>
      <c r="BD24" s="15">
        <f t="shared" si="35"/>
        <v>848.54352937780516</v>
      </c>
      <c r="BE24" s="15">
        <f t="shared" si="36"/>
        <v>62.722922358159515</v>
      </c>
      <c r="BF24" s="15">
        <f t="shared" si="43"/>
        <v>6.5371762800823827</v>
      </c>
      <c r="BG24" s="15">
        <f>BF24*(0.86*(Parameters!$B$14/Parameters!$B$17)^(0.16))</f>
        <v>5.9626701104587863</v>
      </c>
      <c r="BH24" s="15">
        <f t="shared" si="38"/>
        <v>463.49222278949509</v>
      </c>
      <c r="BI24" s="15">
        <f>1/(BD24*Parameters!$B$25)</f>
        <v>2.344531211153595E-2</v>
      </c>
      <c r="BJ24" s="15">
        <f>1/(BH24*Parameters!$B$26)</f>
        <v>3.8153569135069745E-2</v>
      </c>
      <c r="BK24" s="24">
        <f>LN(Parameters!$B$17/Parameters!$B$18)/(2*PI()*Parameters!$B$6*1)</f>
        <v>1.2497168224721593E-3</v>
      </c>
      <c r="BL24" s="15">
        <f t="shared" si="39"/>
        <v>15.911253881922468</v>
      </c>
      <c r="BM24" s="15">
        <f>BL24/(AVERAGE(Parameters!$B$25, Parameters!$B$26))</f>
        <v>297.92408307036112</v>
      </c>
      <c r="BN24" s="15"/>
    </row>
    <row r="25" spans="1:73" x14ac:dyDescent="0.55000000000000004">
      <c r="A25" t="s">
        <v>43</v>
      </c>
      <c r="B25" s="3">
        <v>59.5</v>
      </c>
      <c r="C25" s="3">
        <v>54.2</v>
      </c>
      <c r="D25" s="3">
        <v>50.3</v>
      </c>
      <c r="E25" s="3">
        <v>48.2</v>
      </c>
      <c r="F25" s="3">
        <v>30</v>
      </c>
      <c r="G25" s="3">
        <v>31.4</v>
      </c>
      <c r="H25" s="3">
        <v>33.299999999999997</v>
      </c>
      <c r="I25" s="2">
        <v>1.4</v>
      </c>
      <c r="J25" s="2">
        <v>2.7</v>
      </c>
      <c r="K25">
        <f t="shared" si="17"/>
        <v>51.2</v>
      </c>
      <c r="L25">
        <f t="shared" si="18"/>
        <v>31.65</v>
      </c>
      <c r="M25">
        <f t="shared" si="0"/>
        <v>986.78716671999996</v>
      </c>
      <c r="N25">
        <f t="shared" si="1"/>
        <v>994.32533782999997</v>
      </c>
      <c r="O25">
        <f t="shared" si="19"/>
        <v>2.3025033890133328E-2</v>
      </c>
      <c r="P25">
        <f t="shared" si="19"/>
        <v>4.474464020235E-2</v>
      </c>
      <c r="Q25">
        <f t="shared" si="20"/>
        <v>1.6446452778666669E-3</v>
      </c>
      <c r="R25">
        <f t="shared" si="21"/>
        <v>1.6572088963833333E-3</v>
      </c>
      <c r="S25">
        <f t="shared" si="2"/>
        <v>561.8568769870335</v>
      </c>
      <c r="T25">
        <f t="shared" si="40"/>
        <v>600.52229061975913</v>
      </c>
      <c r="U25">
        <f t="shared" si="22"/>
        <v>38.665413632725631</v>
      </c>
      <c r="V25">
        <f t="shared" si="4"/>
        <v>42.261186037965494</v>
      </c>
      <c r="W25" s="13">
        <f t="shared" si="41"/>
        <v>20.900000000000006</v>
      </c>
      <c r="X25" s="13">
        <f t="shared" si="42"/>
        <v>18.200000000000003</v>
      </c>
      <c r="Y25">
        <f t="shared" si="23"/>
        <v>0.14142135623730953</v>
      </c>
      <c r="Z25">
        <f t="shared" si="24"/>
        <v>19.518886218996265</v>
      </c>
      <c r="AA25">
        <f t="shared" si="25"/>
        <v>0.47772111903065584</v>
      </c>
      <c r="AB25">
        <f t="shared" si="26"/>
        <v>0.5238744412777846</v>
      </c>
      <c r="AC25">
        <f t="shared" si="27"/>
        <v>0.10026583643415271</v>
      </c>
      <c r="AD25">
        <f t="shared" si="7"/>
        <v>28.78529392933396</v>
      </c>
      <c r="AE25">
        <f t="shared" si="8"/>
        <v>30.766217082372041</v>
      </c>
      <c r="AF25">
        <f t="shared" si="28"/>
        <v>2.1651718822800752</v>
      </c>
      <c r="AG25">
        <f>AD25/Parameters!$B$25</f>
        <v>572.66522715082829</v>
      </c>
      <c r="AH25">
        <f>AE25/Parameters!$B$26</f>
        <v>544.06616987753569</v>
      </c>
      <c r="AI25">
        <f t="shared" si="29"/>
        <v>558.36569851418199</v>
      </c>
      <c r="AJ25">
        <f>S25/(Z25*AVERAGE(Parameters!$B$25,Parameters!$B$26))</f>
        <v>538.97903731842678</v>
      </c>
      <c r="AK25">
        <f>AF25/AVERAGE(Parameters!$B$25,Parameters!$B$26)</f>
        <v>40.540918553936152</v>
      </c>
      <c r="AL25">
        <f>I25/60000*1/Parameters!$B$9</f>
        <v>0.11605047933784035</v>
      </c>
      <c r="AM25">
        <f>J25/60000*1/Parameters!$B$10</f>
        <v>0.16277210088943847</v>
      </c>
      <c r="AN25">
        <f>Parameters!$B$18</f>
        <v>1.6E-2</v>
      </c>
      <c r="AO25">
        <f>Parameters!$B$22</f>
        <v>8.0000000000000002E-3</v>
      </c>
      <c r="AP25" s="1">
        <f t="shared" si="9"/>
        <v>5.202020479999998E-4</v>
      </c>
      <c r="AQ25" s="1">
        <f t="shared" si="10"/>
        <v>7.5184814075000004E-4</v>
      </c>
      <c r="AR25" s="13">
        <f t="shared" si="11"/>
        <v>3522.2352281791991</v>
      </c>
      <c r="AS25" s="13">
        <f t="shared" si="12"/>
        <v>1722.1395165756655</v>
      </c>
      <c r="AT25" s="1">
        <f t="shared" si="13"/>
        <v>0.64527746176</v>
      </c>
      <c r="AU25" s="1">
        <f t="shared" si="14"/>
        <v>0.62165490057749995</v>
      </c>
      <c r="AV25" s="15">
        <f t="shared" si="30"/>
        <v>3.2786853014291144</v>
      </c>
      <c r="AW25" s="15">
        <f t="shared" si="30"/>
        <v>4.9187521655337569</v>
      </c>
      <c r="AX25" s="15">
        <f t="shared" si="31"/>
        <v>0.8</v>
      </c>
      <c r="AY25" s="15">
        <f t="shared" si="32"/>
        <v>0.16</v>
      </c>
      <c r="AZ25" s="15">
        <f t="shared" si="15"/>
        <v>0.68885580663026624</v>
      </c>
      <c r="BA25" s="15">
        <f t="shared" si="16"/>
        <v>3.388310990603125</v>
      </c>
      <c r="BB25" s="15">
        <f t="shared" si="33"/>
        <v>4.3189943426077806E-2</v>
      </c>
      <c r="BC25" s="15">
        <f t="shared" si="34"/>
        <v>20.996850217975258</v>
      </c>
      <c r="BD25" s="15">
        <f t="shared" si="35"/>
        <v>846.79963835062358</v>
      </c>
      <c r="BE25" s="15">
        <f t="shared" si="36"/>
        <v>67.766219812062502</v>
      </c>
      <c r="BF25" s="15">
        <f t="shared" si="43"/>
        <v>6.6714444655210379</v>
      </c>
      <c r="BG25" s="15">
        <f>BF25*(0.86*(Parameters!$B$14/Parameters!$B$17)^(0.16))</f>
        <v>6.0851384150905403</v>
      </c>
      <c r="BH25" s="15">
        <f t="shared" si="38"/>
        <v>472.85701455417944</v>
      </c>
      <c r="BI25" s="15">
        <f>1/(BD25*Parameters!$B$25)</f>
        <v>2.349359516170401E-2</v>
      </c>
      <c r="BJ25" s="15">
        <f>1/(BH25*Parameters!$B$26)</f>
        <v>3.7397949108228683E-2</v>
      </c>
      <c r="BK25" s="24">
        <f>LN(Parameters!$B$17/Parameters!$B$18)/(2*PI()*Parameters!$B$6*1)</f>
        <v>1.2497168224721593E-3</v>
      </c>
      <c r="BL25" s="15">
        <f t="shared" si="39"/>
        <v>16.092367332439345</v>
      </c>
      <c r="BM25" s="15">
        <f>BL25/(AVERAGE(Parameters!$B$25, Parameters!$B$26))</f>
        <v>301.31527141273642</v>
      </c>
      <c r="BN25" s="15"/>
    </row>
    <row r="27" spans="1:73" s="5" customFormat="1" x14ac:dyDescent="0.55000000000000004">
      <c r="A27" s="5" t="s">
        <v>44</v>
      </c>
      <c r="B27" s="3">
        <v>0.1</v>
      </c>
      <c r="C27" s="3">
        <v>0.1</v>
      </c>
      <c r="D27" s="3">
        <v>0.1</v>
      </c>
      <c r="E27" s="3">
        <v>0.1</v>
      </c>
      <c r="F27" s="3">
        <v>0.1</v>
      </c>
      <c r="G27" s="3">
        <v>0.1</v>
      </c>
      <c r="H27" s="3">
        <v>0.1</v>
      </c>
      <c r="I27" s="3">
        <v>0.1</v>
      </c>
      <c r="J27" s="3">
        <v>0.1</v>
      </c>
      <c r="AR27" s="13"/>
      <c r="AS27" s="13"/>
      <c r="AX27" s="15"/>
      <c r="AZ27" s="15"/>
      <c r="BK27" s="24"/>
      <c r="BL27" s="15"/>
      <c r="BM27" s="15"/>
    </row>
  </sheetData>
  <mergeCells count="4">
    <mergeCell ref="BQ8:BS8"/>
    <mergeCell ref="BP12:BS12"/>
    <mergeCell ref="BP19:BQ19"/>
    <mergeCell ref="BT19:BU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26B3-D2F3-403C-8E4F-BF06A1472BAB}">
  <dimension ref="A2:J28"/>
  <sheetViews>
    <sheetView topLeftCell="A10" workbookViewId="0">
      <selection activeCell="B25" sqref="B25:B26"/>
    </sheetView>
  </sheetViews>
  <sheetFormatPr defaultColWidth="8.89453125" defaultRowHeight="14.4" x14ac:dyDescent="0.55000000000000004"/>
  <cols>
    <col min="1" max="1" width="12.1015625" customWidth="1"/>
    <col min="6" max="6" width="13.734375" bestFit="1" customWidth="1"/>
    <col min="7" max="7" width="9.05078125" bestFit="1" customWidth="1"/>
    <col min="8" max="8" width="9.5234375" bestFit="1" customWidth="1"/>
    <col min="9" max="9" width="9.9453125" bestFit="1" customWidth="1"/>
    <col min="10" max="10" width="9.5234375" bestFit="1" customWidth="1"/>
    <col min="11" max="11" width="13.734375" customWidth="1"/>
    <col min="12" max="12" width="9.05078125" bestFit="1" customWidth="1"/>
    <col min="13" max="13" width="9.578125" bestFit="1" customWidth="1"/>
    <col min="14" max="14" width="10" bestFit="1" customWidth="1"/>
    <col min="15" max="15" width="9.5234375" customWidth="1"/>
  </cols>
  <sheetData>
    <row r="2" spans="1:10" x14ac:dyDescent="0.55000000000000004">
      <c r="A2" t="s">
        <v>20</v>
      </c>
      <c r="B2" s="1">
        <v>4070</v>
      </c>
      <c r="C2" t="s">
        <v>21</v>
      </c>
      <c r="D2" t="s">
        <v>45</v>
      </c>
    </row>
    <row r="3" spans="1:10" x14ac:dyDescent="0.55000000000000004">
      <c r="A3" t="s">
        <v>22</v>
      </c>
      <c r="B3" t="s">
        <v>48</v>
      </c>
      <c r="C3" t="s">
        <v>28</v>
      </c>
      <c r="D3" t="s">
        <v>51</v>
      </c>
    </row>
    <row r="4" spans="1:10" x14ac:dyDescent="0.55000000000000004">
      <c r="A4" t="s">
        <v>59</v>
      </c>
      <c r="B4" s="1" t="s">
        <v>48</v>
      </c>
      <c r="C4" t="s">
        <v>23</v>
      </c>
      <c r="D4" t="s">
        <v>52</v>
      </c>
    </row>
    <row r="5" spans="1:10" x14ac:dyDescent="0.55000000000000004">
      <c r="A5" t="s">
        <v>53</v>
      </c>
      <c r="B5" t="s">
        <v>48</v>
      </c>
      <c r="C5" t="s">
        <v>37</v>
      </c>
      <c r="D5" t="s">
        <v>56</v>
      </c>
    </row>
    <row r="6" spans="1:10" x14ac:dyDescent="0.55000000000000004">
      <c r="A6" t="s">
        <v>54</v>
      </c>
      <c r="B6">
        <v>15</v>
      </c>
      <c r="C6" t="s">
        <v>37</v>
      </c>
      <c r="D6" t="s">
        <v>55</v>
      </c>
    </row>
    <row r="8" spans="1:10" x14ac:dyDescent="0.55000000000000004">
      <c r="A8" t="s">
        <v>50</v>
      </c>
    </row>
    <row r="9" spans="1:10" x14ac:dyDescent="0.55000000000000004">
      <c r="A9" t="s">
        <v>25</v>
      </c>
      <c r="B9">
        <f>PI()*($B$18/2)^2</f>
        <v>2.0106192982974675E-4</v>
      </c>
      <c r="C9" t="s">
        <v>26</v>
      </c>
      <c r="D9" t="s">
        <v>38</v>
      </c>
    </row>
    <row r="10" spans="1:10" x14ac:dyDescent="0.55000000000000004">
      <c r="A10" t="s">
        <v>27</v>
      </c>
      <c r="B10">
        <f>PI()*($B$14/2)^2-PI()*($B$17/2)^2</f>
        <v>2.7646015351590172E-4</v>
      </c>
      <c r="C10" t="s">
        <v>26</v>
      </c>
      <c r="D10" t="s">
        <v>39</v>
      </c>
    </row>
    <row r="11" spans="1:10" x14ac:dyDescent="0.55000000000000004">
      <c r="F11" s="7" t="s">
        <v>64</v>
      </c>
      <c r="G11" s="6" t="s">
        <v>62</v>
      </c>
      <c r="H11" s="6" t="s">
        <v>61</v>
      </c>
      <c r="I11" s="7" t="s">
        <v>63</v>
      </c>
      <c r="J11" s="6" t="s">
        <v>60</v>
      </c>
    </row>
    <row r="12" spans="1:10" x14ac:dyDescent="0.55000000000000004">
      <c r="A12" t="s">
        <v>46</v>
      </c>
      <c r="F12" s="7">
        <v>28</v>
      </c>
      <c r="G12" s="8">
        <v>995.8</v>
      </c>
      <c r="H12" s="9">
        <v>8.1189999999999995E-4</v>
      </c>
      <c r="I12" s="8">
        <v>4071</v>
      </c>
      <c r="J12" s="9">
        <v>0.61660000000000004</v>
      </c>
    </row>
    <row r="13" spans="1:10" x14ac:dyDescent="0.55000000000000004">
      <c r="A13" t="s">
        <v>29</v>
      </c>
      <c r="B13">
        <v>2.8000000000000001E-2</v>
      </c>
      <c r="C13" t="s">
        <v>24</v>
      </c>
      <c r="F13" s="7">
        <v>30</v>
      </c>
      <c r="G13" s="8">
        <v>995.2</v>
      </c>
      <c r="H13" s="8">
        <v>7.7729999999999997E-4</v>
      </c>
      <c r="I13" s="8">
        <v>4070</v>
      </c>
      <c r="J13" s="7">
        <v>0.61939999999999995</v>
      </c>
    </row>
    <row r="14" spans="1:10" x14ac:dyDescent="0.55000000000000004">
      <c r="A14" t="s">
        <v>30</v>
      </c>
      <c r="B14">
        <v>2.5999999999999999E-2</v>
      </c>
      <c r="C14" t="s">
        <v>24</v>
      </c>
      <c r="F14" s="7">
        <v>32</v>
      </c>
      <c r="G14" s="8">
        <v>994.6</v>
      </c>
      <c r="H14" s="8">
        <v>7.4509999999999995E-4</v>
      </c>
      <c r="I14" s="8">
        <v>4069</v>
      </c>
      <c r="J14" s="7">
        <v>0.62219999999999998</v>
      </c>
    </row>
    <row r="15" spans="1:10" x14ac:dyDescent="0.55000000000000004">
      <c r="F15" s="7">
        <v>34</v>
      </c>
      <c r="G15" s="8">
        <v>993.9</v>
      </c>
      <c r="H15" s="8">
        <v>7.1489999999999998E-4</v>
      </c>
      <c r="I15" s="8">
        <v>4069</v>
      </c>
      <c r="J15" s="7">
        <v>0.62480000000000002</v>
      </c>
    </row>
    <row r="16" spans="1:10" x14ac:dyDescent="0.55000000000000004">
      <c r="A16" t="s">
        <v>47</v>
      </c>
      <c r="F16" s="7">
        <v>36</v>
      </c>
      <c r="G16" s="8">
        <v>993.2</v>
      </c>
      <c r="H16" s="8">
        <v>6.8670000000000005E-4</v>
      </c>
      <c r="I16" s="8">
        <v>4068</v>
      </c>
      <c r="J16" s="7">
        <v>0.62739999999999996</v>
      </c>
    </row>
    <row r="17" spans="1:10" x14ac:dyDescent="0.55000000000000004">
      <c r="A17" t="s">
        <v>31</v>
      </c>
      <c r="B17">
        <v>1.7999999999999999E-2</v>
      </c>
      <c r="C17" t="s">
        <v>24</v>
      </c>
      <c r="F17" s="7">
        <v>38</v>
      </c>
      <c r="G17" s="8">
        <v>992.5</v>
      </c>
      <c r="H17" s="8">
        <v>6.602E-4</v>
      </c>
      <c r="I17" s="8">
        <v>4068</v>
      </c>
      <c r="J17" s="7">
        <v>0.63</v>
      </c>
    </row>
    <row r="18" spans="1:10" x14ac:dyDescent="0.55000000000000004">
      <c r="A18" t="s">
        <v>32</v>
      </c>
      <c r="B18">
        <v>1.6E-2</v>
      </c>
      <c r="C18" t="s">
        <v>24</v>
      </c>
      <c r="F18" s="7">
        <v>40</v>
      </c>
      <c r="G18" s="8">
        <v>991.8</v>
      </c>
      <c r="H18" s="8">
        <v>6.3540000000000005E-4</v>
      </c>
      <c r="I18" s="8">
        <v>4067</v>
      </c>
      <c r="J18" s="7">
        <v>0.63249999999999995</v>
      </c>
    </row>
    <row r="19" spans="1:10" x14ac:dyDescent="0.55000000000000004">
      <c r="F19" s="7">
        <v>42</v>
      </c>
      <c r="G19" s="8">
        <v>991</v>
      </c>
      <c r="H19" s="8">
        <v>6.1209999999999997E-4</v>
      </c>
      <c r="I19" s="8">
        <v>4067</v>
      </c>
      <c r="J19" s="7">
        <v>0.63490000000000002</v>
      </c>
    </row>
    <row r="20" spans="1:10" x14ac:dyDescent="0.55000000000000004">
      <c r="A20" t="s">
        <v>49</v>
      </c>
      <c r="F20" s="7">
        <v>44</v>
      </c>
      <c r="G20" s="8">
        <v>990.2</v>
      </c>
      <c r="H20" s="8">
        <v>5.9020000000000003E-4</v>
      </c>
      <c r="I20" s="8">
        <v>4067</v>
      </c>
      <c r="J20" s="7">
        <v>0.63729999999999998</v>
      </c>
    </row>
    <row r="21" spans="1:10" x14ac:dyDescent="0.55000000000000004">
      <c r="A21" t="s">
        <v>57</v>
      </c>
      <c r="B21">
        <f>4*$B$9/(PI()*B18)</f>
        <v>1.5999999999999997E-2</v>
      </c>
      <c r="C21" t="s">
        <v>24</v>
      </c>
      <c r="F21" s="7">
        <v>46</v>
      </c>
      <c r="G21" s="8">
        <v>989.4</v>
      </c>
      <c r="H21" s="8">
        <v>5.6959999999999997E-4</v>
      </c>
      <c r="I21" s="8">
        <v>4066</v>
      </c>
      <c r="J21" s="7">
        <v>0.63959999999999995</v>
      </c>
    </row>
    <row r="22" spans="1:10" x14ac:dyDescent="0.55000000000000004">
      <c r="A22" t="s">
        <v>58</v>
      </c>
      <c r="B22">
        <f>B14-B17</f>
        <v>8.0000000000000002E-3</v>
      </c>
      <c r="C22" t="s">
        <v>24</v>
      </c>
      <c r="F22" s="7">
        <v>48</v>
      </c>
      <c r="G22" s="8">
        <v>988.6</v>
      </c>
      <c r="H22" s="8">
        <v>5.5020000000000004E-4</v>
      </c>
      <c r="I22" s="8">
        <v>4066</v>
      </c>
      <c r="J22" s="7">
        <v>0.64180000000000004</v>
      </c>
    </row>
    <row r="23" spans="1:10" x14ac:dyDescent="0.55000000000000004">
      <c r="F23" s="7">
        <v>50</v>
      </c>
      <c r="G23" s="8">
        <v>987.7</v>
      </c>
      <c r="H23" s="8">
        <v>5.3189999999999997E-4</v>
      </c>
      <c r="I23" s="8">
        <v>4066</v>
      </c>
      <c r="J23" s="7">
        <v>0.64400000000000002</v>
      </c>
    </row>
    <row r="24" spans="1:10" x14ac:dyDescent="0.55000000000000004">
      <c r="A24" t="s">
        <v>35</v>
      </c>
      <c r="F24" s="7">
        <v>52</v>
      </c>
      <c r="G24" s="8">
        <v>986.8</v>
      </c>
      <c r="H24" s="8">
        <v>5.1449999999999998E-4</v>
      </c>
      <c r="I24" s="8">
        <v>4066</v>
      </c>
      <c r="J24" s="7">
        <v>0.64610000000000001</v>
      </c>
    </row>
    <row r="25" spans="1:10" x14ac:dyDescent="0.55000000000000004">
      <c r="A25" t="s">
        <v>33</v>
      </c>
      <c r="B25">
        <f>PI()*$B$18*$B$27</f>
        <v>5.0265482457436693E-2</v>
      </c>
      <c r="C25" t="s">
        <v>26</v>
      </c>
      <c r="F25" s="7">
        <v>54</v>
      </c>
      <c r="G25" s="8">
        <v>985.8</v>
      </c>
      <c r="H25" s="8">
        <v>4.9819999999999997E-4</v>
      </c>
      <c r="I25" s="8">
        <v>4066</v>
      </c>
      <c r="J25" s="7">
        <v>0.6482</v>
      </c>
    </row>
    <row r="26" spans="1:10" x14ac:dyDescent="0.55000000000000004">
      <c r="A26" t="s">
        <v>34</v>
      </c>
      <c r="B26">
        <f>PI()*$B$17*$B$27</f>
        <v>5.654866776461627E-2</v>
      </c>
      <c r="C26" t="s">
        <v>26</v>
      </c>
      <c r="F26" s="7">
        <v>56</v>
      </c>
      <c r="G26" s="8">
        <v>984.9</v>
      </c>
      <c r="H26" s="8">
        <v>4.8270000000000002E-4</v>
      </c>
      <c r="I26" s="8">
        <v>4066</v>
      </c>
      <c r="J26" s="7">
        <v>0.6502</v>
      </c>
    </row>
    <row r="27" spans="1:10" x14ac:dyDescent="0.55000000000000004">
      <c r="A27" t="s">
        <v>36</v>
      </c>
      <c r="B27">
        <v>1</v>
      </c>
      <c r="C27" t="s">
        <v>24</v>
      </c>
      <c r="F27" s="7">
        <v>58</v>
      </c>
      <c r="G27" s="8">
        <v>983.9</v>
      </c>
      <c r="H27" s="8">
        <v>4.6799999999999999E-4</v>
      </c>
      <c r="I27" s="8">
        <v>4066</v>
      </c>
      <c r="J27" s="7">
        <v>0.65210000000000001</v>
      </c>
    </row>
    <row r="28" spans="1:10" x14ac:dyDescent="0.55000000000000004">
      <c r="F28" s="7">
        <v>60</v>
      </c>
      <c r="G28" s="8">
        <v>982.9</v>
      </c>
      <c r="H28" s="8">
        <v>4.5399999999999998E-4</v>
      </c>
      <c r="I28" s="8">
        <v>4066</v>
      </c>
      <c r="J28" s="7">
        <v>0.65400000000000003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B8-319A-42D6-B659-757F31D3D2A3}">
  <dimension ref="B2:F19"/>
  <sheetViews>
    <sheetView topLeftCell="A26" workbookViewId="0">
      <selection activeCell="I38" sqref="I38"/>
    </sheetView>
  </sheetViews>
  <sheetFormatPr defaultRowHeight="14.4" x14ac:dyDescent="0.55000000000000004"/>
  <cols>
    <col min="2" max="2" width="13.20703125" bestFit="1" customWidth="1"/>
    <col min="3" max="3" width="8.3671875" bestFit="1" customWidth="1"/>
    <col min="4" max="4" width="9.68359375" bestFit="1" customWidth="1"/>
    <col min="5" max="5" width="9.41796875" bestFit="1" customWidth="1"/>
    <col min="6" max="6" width="9.15625" bestFit="1" customWidth="1"/>
  </cols>
  <sheetData>
    <row r="2" spans="2:6" x14ac:dyDescent="0.55000000000000004">
      <c r="B2" s="10" t="str">
        <f>Parameters!F11</f>
        <v>Water Temp [C]</v>
      </c>
      <c r="C2" s="10" t="str">
        <f>Parameters!G11</f>
        <v>ρ [kg/m3]</v>
      </c>
      <c r="D2" s="10" t="str">
        <f>Parameters!H11</f>
        <v>µ [kg/m*s]</v>
      </c>
      <c r="E2" s="10" t="str">
        <f>Parameters!I11</f>
        <v>Cp [J/kg*K]</v>
      </c>
      <c r="F2" s="10" t="str">
        <f>Parameters!J11</f>
        <v>k [W/m*K]</v>
      </c>
    </row>
    <row r="3" spans="2:6" x14ac:dyDescent="0.55000000000000004">
      <c r="B3" s="10">
        <f>Parameters!F12</f>
        <v>28</v>
      </c>
      <c r="C3" s="10">
        <f>Parameters!G12</f>
        <v>995.8</v>
      </c>
      <c r="D3" s="10">
        <f>Parameters!H12</f>
        <v>8.1189999999999995E-4</v>
      </c>
      <c r="E3" s="10">
        <f>Parameters!I12</f>
        <v>4071</v>
      </c>
      <c r="F3" s="10">
        <f>Parameters!J12</f>
        <v>0.61660000000000004</v>
      </c>
    </row>
    <row r="4" spans="2:6" x14ac:dyDescent="0.55000000000000004">
      <c r="B4" s="10">
        <f>Parameters!F13</f>
        <v>30</v>
      </c>
      <c r="C4" s="10">
        <f>Parameters!G13</f>
        <v>995.2</v>
      </c>
      <c r="D4" s="10">
        <f>Parameters!H13</f>
        <v>7.7729999999999997E-4</v>
      </c>
      <c r="E4" s="10">
        <f>Parameters!I13</f>
        <v>4070</v>
      </c>
      <c r="F4" s="10">
        <f>Parameters!J13</f>
        <v>0.61939999999999995</v>
      </c>
    </row>
    <row r="5" spans="2:6" x14ac:dyDescent="0.55000000000000004">
      <c r="B5" s="10">
        <f>Parameters!F14</f>
        <v>32</v>
      </c>
      <c r="C5" s="10">
        <f>Parameters!G14</f>
        <v>994.6</v>
      </c>
      <c r="D5" s="10">
        <f>Parameters!H14</f>
        <v>7.4509999999999995E-4</v>
      </c>
      <c r="E5" s="10">
        <f>Parameters!I14</f>
        <v>4069</v>
      </c>
      <c r="F5" s="10">
        <f>Parameters!J14</f>
        <v>0.62219999999999998</v>
      </c>
    </row>
    <row r="6" spans="2:6" x14ac:dyDescent="0.55000000000000004">
      <c r="B6" s="10">
        <f>Parameters!F15</f>
        <v>34</v>
      </c>
      <c r="C6" s="10">
        <f>Parameters!G15</f>
        <v>993.9</v>
      </c>
      <c r="D6" s="10">
        <f>Parameters!H15</f>
        <v>7.1489999999999998E-4</v>
      </c>
      <c r="E6" s="10">
        <f>Parameters!I15</f>
        <v>4069</v>
      </c>
      <c r="F6" s="10">
        <f>Parameters!J15</f>
        <v>0.62480000000000002</v>
      </c>
    </row>
    <row r="7" spans="2:6" x14ac:dyDescent="0.55000000000000004">
      <c r="B7" s="10">
        <f>Parameters!F16</f>
        <v>36</v>
      </c>
      <c r="C7" s="10">
        <f>Parameters!G16</f>
        <v>993.2</v>
      </c>
      <c r="D7" s="10">
        <f>Parameters!H16</f>
        <v>6.8670000000000005E-4</v>
      </c>
      <c r="E7" s="10">
        <f>Parameters!I16</f>
        <v>4068</v>
      </c>
      <c r="F7" s="10">
        <f>Parameters!J16</f>
        <v>0.62739999999999996</v>
      </c>
    </row>
    <row r="8" spans="2:6" x14ac:dyDescent="0.55000000000000004">
      <c r="B8" s="10">
        <f>Parameters!F17</f>
        <v>38</v>
      </c>
      <c r="C8" s="10">
        <f>Parameters!G17</f>
        <v>992.5</v>
      </c>
      <c r="D8" s="10">
        <f>Parameters!H17</f>
        <v>6.602E-4</v>
      </c>
      <c r="E8" s="10">
        <f>Parameters!I17</f>
        <v>4068</v>
      </c>
      <c r="F8" s="10">
        <f>Parameters!J17</f>
        <v>0.63</v>
      </c>
    </row>
    <row r="9" spans="2:6" x14ac:dyDescent="0.55000000000000004">
      <c r="B9" s="10">
        <f>Parameters!F18</f>
        <v>40</v>
      </c>
      <c r="C9" s="10">
        <f>Parameters!G18</f>
        <v>991.8</v>
      </c>
      <c r="D9" s="10">
        <f>Parameters!H18</f>
        <v>6.3540000000000005E-4</v>
      </c>
      <c r="E9" s="10">
        <f>Parameters!I18</f>
        <v>4067</v>
      </c>
      <c r="F9" s="10">
        <f>Parameters!J18</f>
        <v>0.63249999999999995</v>
      </c>
    </row>
    <row r="10" spans="2:6" x14ac:dyDescent="0.55000000000000004">
      <c r="B10" s="10">
        <f>Parameters!F19</f>
        <v>42</v>
      </c>
      <c r="C10" s="10">
        <f>Parameters!G19</f>
        <v>991</v>
      </c>
      <c r="D10" s="10">
        <f>Parameters!H19</f>
        <v>6.1209999999999997E-4</v>
      </c>
      <c r="E10" s="10">
        <f>Parameters!I19</f>
        <v>4067</v>
      </c>
      <c r="F10" s="10">
        <f>Parameters!J19</f>
        <v>0.63490000000000002</v>
      </c>
    </row>
    <row r="11" spans="2:6" x14ac:dyDescent="0.55000000000000004">
      <c r="B11" s="10">
        <f>Parameters!F20</f>
        <v>44</v>
      </c>
      <c r="C11" s="10">
        <f>Parameters!G20</f>
        <v>990.2</v>
      </c>
      <c r="D11" s="10">
        <f>Parameters!H20</f>
        <v>5.9020000000000003E-4</v>
      </c>
      <c r="E11" s="10">
        <f>Parameters!I20</f>
        <v>4067</v>
      </c>
      <c r="F11" s="10">
        <f>Parameters!J20</f>
        <v>0.63729999999999998</v>
      </c>
    </row>
    <row r="12" spans="2:6" x14ac:dyDescent="0.55000000000000004">
      <c r="B12" s="10">
        <f>Parameters!F21</f>
        <v>46</v>
      </c>
      <c r="C12" s="10">
        <f>Parameters!G21</f>
        <v>989.4</v>
      </c>
      <c r="D12" s="10">
        <f>Parameters!H21</f>
        <v>5.6959999999999997E-4</v>
      </c>
      <c r="E12" s="10">
        <f>Parameters!I21</f>
        <v>4066</v>
      </c>
      <c r="F12" s="10">
        <f>Parameters!J21</f>
        <v>0.63959999999999995</v>
      </c>
    </row>
    <row r="13" spans="2:6" x14ac:dyDescent="0.55000000000000004">
      <c r="B13" s="10">
        <f>Parameters!F22</f>
        <v>48</v>
      </c>
      <c r="C13" s="10">
        <f>Parameters!G22</f>
        <v>988.6</v>
      </c>
      <c r="D13" s="10">
        <f>Parameters!H22</f>
        <v>5.5020000000000004E-4</v>
      </c>
      <c r="E13" s="10">
        <f>Parameters!I22</f>
        <v>4066</v>
      </c>
      <c r="F13" s="10">
        <f>Parameters!J22</f>
        <v>0.64180000000000004</v>
      </c>
    </row>
    <row r="14" spans="2:6" x14ac:dyDescent="0.55000000000000004">
      <c r="B14" s="10">
        <f>Parameters!F23</f>
        <v>50</v>
      </c>
      <c r="C14" s="10">
        <f>Parameters!G23</f>
        <v>987.7</v>
      </c>
      <c r="D14" s="10">
        <f>Parameters!H23</f>
        <v>5.3189999999999997E-4</v>
      </c>
      <c r="E14" s="10">
        <f>Parameters!I23</f>
        <v>4066</v>
      </c>
      <c r="F14" s="10">
        <f>Parameters!J23</f>
        <v>0.64400000000000002</v>
      </c>
    </row>
    <row r="15" spans="2:6" x14ac:dyDescent="0.55000000000000004">
      <c r="B15" s="10">
        <f>Parameters!F24</f>
        <v>52</v>
      </c>
      <c r="C15" s="10">
        <f>Parameters!G24</f>
        <v>986.8</v>
      </c>
      <c r="D15" s="10">
        <f>Parameters!H24</f>
        <v>5.1449999999999998E-4</v>
      </c>
      <c r="E15" s="10">
        <f>Parameters!I24</f>
        <v>4066</v>
      </c>
      <c r="F15" s="10">
        <f>Parameters!J24</f>
        <v>0.64610000000000001</v>
      </c>
    </row>
    <row r="16" spans="2:6" x14ac:dyDescent="0.55000000000000004">
      <c r="B16" s="10">
        <f>Parameters!F25</f>
        <v>54</v>
      </c>
      <c r="C16" s="10">
        <f>Parameters!G25</f>
        <v>985.8</v>
      </c>
      <c r="D16" s="10">
        <f>Parameters!H25</f>
        <v>4.9819999999999997E-4</v>
      </c>
      <c r="E16" s="10">
        <f>Parameters!I25</f>
        <v>4066</v>
      </c>
      <c r="F16" s="10">
        <f>Parameters!J25</f>
        <v>0.6482</v>
      </c>
    </row>
    <row r="17" spans="2:6" x14ac:dyDescent="0.55000000000000004">
      <c r="B17" s="10">
        <f>Parameters!F26</f>
        <v>56</v>
      </c>
      <c r="C17" s="10">
        <f>Parameters!G26</f>
        <v>984.9</v>
      </c>
      <c r="D17" s="10">
        <f>Parameters!H26</f>
        <v>4.8270000000000002E-4</v>
      </c>
      <c r="E17" s="10">
        <f>Parameters!I26</f>
        <v>4066</v>
      </c>
      <c r="F17" s="10">
        <f>Parameters!J26</f>
        <v>0.6502</v>
      </c>
    </row>
    <row r="18" spans="2:6" x14ac:dyDescent="0.55000000000000004">
      <c r="B18" s="10">
        <f>Parameters!F27</f>
        <v>58</v>
      </c>
      <c r="C18" s="10">
        <f>Parameters!G27</f>
        <v>983.9</v>
      </c>
      <c r="D18" s="10">
        <f>Parameters!H27</f>
        <v>4.6799999999999999E-4</v>
      </c>
      <c r="E18" s="10">
        <f>Parameters!I27</f>
        <v>4066</v>
      </c>
      <c r="F18" s="10">
        <f>Parameters!J27</f>
        <v>0.65210000000000001</v>
      </c>
    </row>
    <row r="19" spans="2:6" x14ac:dyDescent="0.55000000000000004">
      <c r="B19" s="10">
        <f>Parameters!F28</f>
        <v>60</v>
      </c>
      <c r="C19" s="10">
        <f>Parameters!G28</f>
        <v>982.9</v>
      </c>
      <c r="D19" s="10">
        <f>Parameters!H28</f>
        <v>4.5399999999999998E-4</v>
      </c>
      <c r="E19" s="10">
        <f>Parameters!I28</f>
        <v>4066</v>
      </c>
      <c r="F19" s="10">
        <f>Parameters!J28</f>
        <v>0.65400000000000003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49F6-5A37-4E2D-A26B-3AA8578A1954}">
  <dimension ref="B2:J13"/>
  <sheetViews>
    <sheetView workbookViewId="0">
      <selection activeCell="J11" sqref="J11"/>
    </sheetView>
  </sheetViews>
  <sheetFormatPr defaultRowHeight="14.4" x14ac:dyDescent="0.55000000000000004"/>
  <cols>
    <col min="3" max="3" width="9.41796875" bestFit="1" customWidth="1"/>
    <col min="9" max="9" width="9.41796875" bestFit="1" customWidth="1"/>
  </cols>
  <sheetData>
    <row r="2" spans="2:10" x14ac:dyDescent="0.55000000000000004">
      <c r="B2" t="s">
        <v>65</v>
      </c>
      <c r="C2" t="s">
        <v>66</v>
      </c>
      <c r="D2" t="s">
        <v>67</v>
      </c>
      <c r="E2" t="s">
        <v>68</v>
      </c>
      <c r="F2" t="s">
        <v>69</v>
      </c>
    </row>
    <row r="4" spans="2:10" x14ac:dyDescent="0.55000000000000004">
      <c r="C4" t="s">
        <v>72</v>
      </c>
      <c r="D4" t="s">
        <v>70</v>
      </c>
      <c r="E4" t="s">
        <v>71</v>
      </c>
      <c r="F4" t="s">
        <v>69</v>
      </c>
    </row>
    <row r="5" spans="2:10" x14ac:dyDescent="0.55000000000000004">
      <c r="C5" s="11" t="s">
        <v>74</v>
      </c>
      <c r="D5">
        <v>-3.4120000000000001E-3</v>
      </c>
      <c r="E5">
        <v>-0.10290000000000001</v>
      </c>
      <c r="F5">
        <v>1001</v>
      </c>
    </row>
    <row r="6" spans="2:10" x14ac:dyDescent="0.55000000000000004">
      <c r="C6" s="11" t="s">
        <v>61</v>
      </c>
      <c r="D6" s="1">
        <v>1.667E-7</v>
      </c>
      <c r="E6" s="1">
        <v>-2.5660000000000002E-5</v>
      </c>
      <c r="F6">
        <v>1.397E-3</v>
      </c>
    </row>
    <row r="7" spans="2:10" x14ac:dyDescent="0.55000000000000004">
      <c r="C7" s="11" t="s">
        <v>63</v>
      </c>
      <c r="D7" s="25" t="s">
        <v>73</v>
      </c>
      <c r="E7" s="25"/>
      <c r="F7" s="25"/>
    </row>
    <row r="8" spans="2:10" x14ac:dyDescent="0.55000000000000004">
      <c r="C8" s="11" t="s">
        <v>60</v>
      </c>
      <c r="D8" s="1">
        <v>-7.7209999999999994E-6</v>
      </c>
      <c r="E8">
        <v>1.848E-3</v>
      </c>
      <c r="F8">
        <v>0.57089999999999996</v>
      </c>
    </row>
    <row r="10" spans="2:10" x14ac:dyDescent="0.55000000000000004">
      <c r="I10" s="11" t="s">
        <v>74</v>
      </c>
      <c r="J10">
        <f>$D$5*$G$11^2+$E$5*$G$11+$F$5</f>
        <v>991.49983552000003</v>
      </c>
    </row>
    <row r="11" spans="2:10" x14ac:dyDescent="0.55000000000000004">
      <c r="C11" s="25" t="s">
        <v>75</v>
      </c>
      <c r="D11" s="25"/>
      <c r="E11" s="25"/>
      <c r="F11" s="25"/>
      <c r="G11">
        <v>39.799999999999997</v>
      </c>
      <c r="I11" s="11" t="s">
        <v>61</v>
      </c>
      <c r="J11" s="1">
        <f>$D$6*$G$11^2+$E$6*$G$11+$F$6</f>
        <v>6.3979146799999988E-4</v>
      </c>
    </row>
    <row r="12" spans="2:10" x14ac:dyDescent="0.55000000000000004">
      <c r="I12" s="11" t="s">
        <v>63</v>
      </c>
      <c r="J12" s="12">
        <f>Parameters!B2</f>
        <v>4070</v>
      </c>
    </row>
    <row r="13" spans="2:10" x14ac:dyDescent="0.55000000000000004">
      <c r="I13" s="11" t="s">
        <v>60</v>
      </c>
      <c r="J13" s="1">
        <f>$D$8*$G$11^2+$E$8*$G$11+$F$8</f>
        <v>0.63222002715999992</v>
      </c>
    </row>
  </sheetData>
  <mergeCells count="2">
    <mergeCell ref="D7:F7"/>
    <mergeCell ref="C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Raw Data - Error</vt:lpstr>
      <vt:lpstr>Parameters</vt:lpstr>
      <vt:lpstr>Fluid Properties</vt:lpstr>
      <vt:lpstr>Fluid Properties (Curve Fits)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</dc:creator>
  <cp:lastModifiedBy>Chase Novak</cp:lastModifiedBy>
  <dcterms:created xsi:type="dcterms:W3CDTF">2020-08-03T16:55:29Z</dcterms:created>
  <dcterms:modified xsi:type="dcterms:W3CDTF">2020-09-18T15:00:30Z</dcterms:modified>
</cp:coreProperties>
</file>