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2 Fowler Ave, Buffalo, NY 142" sheetId="1" r:id="rId4"/>
    <sheet state="visible" name="8290 Stahley Rd East Amherst, N" sheetId="2" r:id="rId5"/>
    <sheet state="visible" name="382 Woodlin Ave, North Tonawand" sheetId="3" r:id="rId6"/>
    <sheet state="visible" name="37 Campus Dr W, Amherst, NY 142" sheetId="4" r:id="rId7"/>
    <sheet state="visible" name="598 Emerson Dr, Amherst, NY 142" sheetId="5" r:id="rId8"/>
    <sheet state="visible" name="88 Kelvin Dr, Buffalo, NY 14223" sheetId="6" r:id="rId9"/>
    <sheet state="visible" name="325 Meyer Rd, Amherst, NY 14226" sheetId="7" r:id="rId10"/>
    <sheet state="visible" name="51 Redmond Ave, Buffalo, NY 142" sheetId="8" r:id="rId11"/>
    <sheet state="visible" name="367 Crosby Ave, Buffalo, NY 142" sheetId="9" r:id="rId12"/>
    <sheet state="visible" name="714 Mt Vernon Rd, Cheektowaga, " sheetId="10" r:id="rId13"/>
    <sheet state="visible" name="466 Moore Ave, Buffalo, NY 1422" sheetId="11" r:id="rId14"/>
    <sheet state="visible" name="132 Louvaine Drive Tonawanda-To" sheetId="12" r:id="rId15"/>
    <sheet state="visible" name="2389 Eggert Road Tonawanda-Town" sheetId="13" r:id="rId16"/>
    <sheet state="visible" name="33 Costin Rd, Amherst, NY 14226" sheetId="14" r:id="rId17"/>
    <sheet state="visible" name="372 Oakvale Blvd, Buffalo, NY 1" sheetId="15" r:id="rId18"/>
    <sheet state="visible" name="4291 Harlem Rd, Buffalo, NY 142" sheetId="16" r:id="rId19"/>
    <sheet state="visible" name="58 Gresham Drive Amherst, NY 14" sheetId="17" r:id="rId20"/>
    <sheet state="visible" name="121 Calvin Ct N Tonawanda-Town," sheetId="18" r:id="rId21"/>
    <sheet state="visible" name="166 Jeanmoor Rd, Amherst, NY 14" sheetId="19" r:id="rId22"/>
    <sheet state="visible" name="155 E Somerset Avenue Tonawanda" sheetId="20" r:id="rId23"/>
    <sheet state="visible" name="163 Edgewood Avenue Tonawanda-T" sheetId="21" r:id="rId24"/>
    <sheet state="visible" name="19 Greentree Road Tonawanda-Tow" sheetId="22" r:id="rId25"/>
    <sheet state="visible" name="105 Dale Dr, Tonawanda, NY 1415" sheetId="23" r:id="rId26"/>
    <sheet state="visible" name="218 Sunrise Boulevard, Amherst," sheetId="24" r:id="rId27"/>
    <sheet state="visible" name="552 Englewood Ave, Tonawanda-To" sheetId="25" r:id="rId28"/>
    <sheet state="visible" name="131 Hewitt Ave, Buffalo, NY 142" sheetId="26" r:id="rId29"/>
    <sheet state="visible" name="151 Parkridge Ave, Buffalo, NY " sheetId="27" r:id="rId30"/>
    <sheet state="visible" name="83 Custer St, Buffalo, New York" sheetId="28" r:id="rId31"/>
    <sheet state="visible" name="5 Greenwich Dr APT 4, Buffalo, " sheetId="29" r:id="rId32"/>
  </sheets>
  <definedNames/>
  <calcPr/>
</workbook>
</file>

<file path=xl/sharedStrings.xml><?xml version="1.0" encoding="utf-8"?>
<sst xmlns="http://schemas.openxmlformats.org/spreadsheetml/2006/main" count="1235" uniqueCount="130">
  <si>
    <t>122 Fowler Ave, Buffalo, NY 14217 4bd 2ba 1,792 sqft</t>
  </si>
  <si>
    <t>sold</t>
  </si>
  <si>
    <t>Assumed %</t>
  </si>
  <si>
    <t>Manual Input</t>
  </si>
  <si>
    <t>Zillow</t>
  </si>
  <si>
    <t>https://www.zillow.com/homedetails/122-Fowler-Ave-Buffalo-NY-14217/30391837_zpid/?</t>
  </si>
  <si>
    <t>Purchase Price</t>
  </si>
  <si>
    <t>Homes</t>
  </si>
  <si>
    <t>https://www.homes.com/property/122-fowler-ave-buffalo-ny/d2t48130rgvf2/</t>
  </si>
  <si>
    <t>Down Payment</t>
  </si>
  <si>
    <t>Closing Costs</t>
  </si>
  <si>
    <t>Notes:</t>
  </si>
  <si>
    <t>Interest Rate</t>
  </si>
  <si>
    <t>10-13 min drive to campus</t>
  </si>
  <si>
    <t>Term in years</t>
  </si>
  <si>
    <t>W+D not provided but separate</t>
  </si>
  <si>
    <t>Financed Amount</t>
  </si>
  <si>
    <t>laundry hookup in basement</t>
  </si>
  <si>
    <t>Mortgage Payment</t>
  </si>
  <si>
    <t>Single driveway</t>
  </si>
  <si>
    <t>Renovations/Repairs</t>
  </si>
  <si>
    <t>Duplex - Residential</t>
  </si>
  <si>
    <t>Out of Pocket Costs</t>
  </si>
  <si>
    <t>West of UB</t>
  </si>
  <si>
    <t>Expenses</t>
  </si>
  <si>
    <t>/month</t>
  </si>
  <si>
    <t>/year</t>
  </si>
  <si>
    <t>Cash-on-cash Return</t>
  </si>
  <si>
    <t>Mortgage</t>
  </si>
  <si>
    <t>Insurance</t>
  </si>
  <si>
    <t>Water</t>
  </si>
  <si>
    <t>Gas</t>
  </si>
  <si>
    <t>Internet</t>
  </si>
  <si>
    <t>Property Tax</t>
  </si>
  <si>
    <t>Total Expense</t>
  </si>
  <si>
    <t>Rental Income</t>
  </si>
  <si>
    <t>Total Net</t>
  </si>
  <si>
    <t>8290 Stahley Rd East Amherst, NY 14051 4bd 1ba 1,526sqft</t>
  </si>
  <si>
    <t>https://www.zillow.com/homes/8290-Stahley-Rd-East-Amherst,-NY-14051_rb/84096602_zpid/</t>
  </si>
  <si>
    <t>https://www.homes.com/property/8290-stahley-rd-east-amherst-ny/6de1st9kyyqzd/</t>
  </si>
  <si>
    <t>Detached garage</t>
  </si>
  <si>
    <t>2.5+ car garage space</t>
  </si>
  <si>
    <t>Single Family - Residential</t>
  </si>
  <si>
    <t>Under Contract</t>
  </si>
  <si>
    <t>East of UB</t>
  </si>
  <si>
    <t>382 Woodlin Ave, North Tonawanda, NY 14120 3bd 2ba 1,720 sqft</t>
  </si>
  <si>
    <t>https://www.zillow.com/homes/382-Woodlin-Ave-North-Tonawanda,-NY-14120_rb/31459599_zpid/</t>
  </si>
  <si>
    <t>37 Campus Dr W, Amherst, NY 14226 3bd 1ba 1,128 sqft</t>
  </si>
  <si>
    <t>https://www.zillow.com/homes/37-Campus-Dr-W-Amherst,-NY-14226_rb/30258617_zpid/</t>
  </si>
  <si>
    <t>2 car garage</t>
  </si>
  <si>
    <t>close to daemon and ub</t>
  </si>
  <si>
    <t>near main road</t>
  </si>
  <si>
    <t>598 Emerson Dr, Amherst, NY 14226 3bd 1ba 1,148 sqft</t>
  </si>
  <si>
    <t>https://www.zillow.com/homes/598-Emerson-Dr-Amherst,-NY-14226_rb/30246726_zpid/</t>
  </si>
  <si>
    <t>88 Kelvin Dr, Buffalo, NY 14223 3bd 2ba 1,786 sqft</t>
  </si>
  <si>
    <t>https://www.zillow.com/homedetails/88-Kelvin-Dr-Buffalo-NY-14223/30400435_zpid/</t>
  </si>
  <si>
    <t>Asking Price</t>
  </si>
  <si>
    <t>inbetween ub south and north</t>
  </si>
  <si>
    <t>also near daemon</t>
  </si>
  <si>
    <t>325 Meyer Rd, Amherst, NY 14226 3bd 2ba 1,438 sqft</t>
  </si>
  <si>
    <t>https://www.zillow.com/homes/325-Meyer-Rd-Amherst,-NY-14226_rb/30246192_zpid/</t>
  </si>
  <si>
    <t>near north campus</t>
  </si>
  <si>
    <t>1 bed 1 half bath on the first floor</t>
  </si>
  <si>
    <t>2 bed 1 bath on the second floor</t>
  </si>
  <si>
    <t>attached garage</t>
  </si>
  <si>
    <t>51 Redmond Ave, Buffalo, NY 14216 4bd 2ba 1,438 sqft</t>
  </si>
  <si>
    <t>https://www.zillow.com/homes/51-Redmond-Ave-Buffalo,-NY-14216_rb/30154175_zpid/</t>
  </si>
  <si>
    <t>needs work</t>
  </si>
  <si>
    <t>367 Crosby Ave, Buffalo, NY 14217 4bd 2ba 2,072 sqft</t>
  </si>
  <si>
    <t>https://www.zillow.com/homedetails/367-Crosby-Ave-Buffalo-NY-14217/30379606_zpid/</t>
  </si>
  <si>
    <t>duplex</t>
  </si>
  <si>
    <t>714 Mt Vernon Rd, Cheektowaga, NY 14215 3bd 2ba 1,444 sqft</t>
  </si>
  <si>
    <t>https://www.zillow.com/homedetails/714-Mount-Vernon-Rd-Buffalo-NY-14215/30283011_zpid/</t>
  </si>
  <si>
    <t>466 Moore Ave, Buffalo, NY 14223 4bd 2ba 1,456 sqft</t>
  </si>
  <si>
    <t>https://www.zillow.com/homedetails/466-Moore-Ave-Buffalo-NY-14223/30399692_zpid/</t>
  </si>
  <si>
    <t>10min from campus</t>
  </si>
  <si>
    <t>next to a walmart</t>
  </si>
  <si>
    <t>5min from south campus</t>
  </si>
  <si>
    <t>132 Louvaine Drive Tonawanda-Town, NY 14223 4bd 2ba 2,330 sqft</t>
  </si>
  <si>
    <t>https://www.zillow.com/homedetails/132-Louvaine-Dr-Buffalo-NY-14223/30401559_zpid/</t>
  </si>
  <si>
    <t>2389 Eggert Road Tonawanda-Town, NY 14150 3bd 1ba 1,337 sqft</t>
  </si>
  <si>
    <t>33 Costin Rd, Amherst, NY 14226 4bd 2ba 1,933 sqft</t>
  </si>
  <si>
    <t>372 Oakvale Blvd, Buffalo, NY 14223 4bd 2ba 2,136 sqft</t>
  </si>
  <si>
    <t>https://www.zillow.com/homedetails/372-Oakvale-Blvd-Buffalo-NY-14223/30394858_zpid/</t>
  </si>
  <si>
    <t>4291 Harlem Rd, Buffalo, NY 14226 4bd 1ba 1,296 sqft</t>
  </si>
  <si>
    <t>58 Gresham Drive Amherst, NY 14226 5bd 2ba 1,504 sqft</t>
  </si>
  <si>
    <t>https://www.zillow.com/homes/58-Gresham-Dr-Amherst,-NY-14226_rb/30256199_zpid/</t>
  </si>
  <si>
    <t>121 Calvin Ct N Tonawanda-Town, NY 14150 4bd 1.5ba 1,454 sqft</t>
  </si>
  <si>
    <t>166 Jeanmoor Rd, Amherst, NY 14228 3bd 2ba 1,248 sqft</t>
  </si>
  <si>
    <t>155 E Somerset Avenue Tonawanda-Town, NY 14150 5bd 1ba 1,637 sqft</t>
  </si>
  <si>
    <t>https://www.zillow.com/homes/155-E-Somerset-Ave-Tonawanda,-NY-14150_rb/30393534_zpid/</t>
  </si>
  <si>
    <t>Electric</t>
  </si>
  <si>
    <t>163 Edgewood Avenue Tonawanda-Town, NY 14223 4bd 1ba 1,375 sqft</t>
  </si>
  <si>
    <t>https://www.zillow.com/homes/163-Edgewood-Ave-Buffalo,-NY-14223_rb/30401036_zpid/</t>
  </si>
  <si>
    <t>19 Greentree Road Tonawanda-Town, NY 14150 4bd 2ba 1,748 sqft</t>
  </si>
  <si>
    <t>https://www.zillow.com/homedetails/19-Greentree-Rd-Tonawanda-NY-14150/30388601_zpid/</t>
  </si>
  <si>
    <t>105 Dale Dr, Tonawanda, NY 14150 4bd 2ba 1,440 sqft</t>
  </si>
  <si>
    <t>https://www.zillow.com/homedetails/105-Dale-Dr-Tonawanda-NY-14150/30382527_zpid/</t>
  </si>
  <si>
    <t>218 Sunrise Boulevard, Amherst, New York 14221 4bd 1.5ba 1,620 sqft</t>
  </si>
  <si>
    <t>552 Englewood Ave, Tonawanda-Town, NY 14223 4bd 2ba 1,848 sqft</t>
  </si>
  <si>
    <t>https://www.zillow.com/homes/552-Englewood-Ave-Buffalo,-NY-14223_rb/30401972_zpid/</t>
  </si>
  <si>
    <t>Lawyer fee</t>
  </si>
  <si>
    <t>Inspection $300 - $500</t>
  </si>
  <si>
    <t>Appliances</t>
  </si>
  <si>
    <t>2x Fridge 1x Washer Dryer 1x Stove</t>
  </si>
  <si>
    <t>20 Windows</t>
  </si>
  <si>
    <t>Washer Dryer Set $1000</t>
  </si>
  <si>
    <t>Stove $700</t>
  </si>
  <si>
    <t>Fridge x2 $700ea</t>
  </si>
  <si>
    <t>Cash-on-cash Return (ROI)</t>
  </si>
  <si>
    <t>Down</t>
  </si>
  <si>
    <t>50% down payment</t>
  </si>
  <si>
    <t>70% down payment</t>
  </si>
  <si>
    <t>Full Cash Deal</t>
  </si>
  <si>
    <t>insurance</t>
  </si>
  <si>
    <t>water</t>
  </si>
  <si>
    <t>property tax</t>
  </si>
  <si>
    <t>net</t>
  </si>
  <si>
    <t>131 Hewitt Ave, Buffalo, NY 14215 4bd 2ba 1,706 sqft</t>
  </si>
  <si>
    <t>https://www.huntrealestate.com/realestate/details/33192894/131-hewitt-avenue-buffalo-ny-14215</t>
  </si>
  <si>
    <t>151 Parkridge Ave, Buffalo, NY 14215 4bd 2ba 1,771 sqft</t>
  </si>
  <si>
    <t>https://www.zillow.com/homedetails/151-Parkridge-Ave-Buffalo-NY-14215/30173021_zpid/</t>
  </si>
  <si>
    <t>Blinds</t>
  </si>
  <si>
    <t>Home depot receipt</t>
  </si>
  <si>
    <t>Fridge</t>
  </si>
  <si>
    <t>straight walk to south campus</t>
  </si>
  <si>
    <t>blinds run about 100$ per bedroom window</t>
  </si>
  <si>
    <t>100% down payment</t>
  </si>
  <si>
    <t>83 Custer St, Buffalo, New York 14214 4bd 1ba 1,292 sqft</t>
  </si>
  <si>
    <t>https://www.zillow.com/homedetails/83-Custer-St-Buffalo-NY-14214/30160566_zpid/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</si>
</sst>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b/>
      <color theme="1"/>
      <name val="Arial"/>
      <scheme val="minor"/>
    </font>
    <font>
      <b/>
      <color rgb="FFFF0000"/>
      <name val="Arial"/>
      <scheme val="minor"/>
    </font>
    <font>
      <u/>
      <color rgb="FF0000FF"/>
    </font>
    <font>
      <u/>
      <color rgb="FF222222"/>
      <name val="Arial"/>
    </font>
    <font>
      <u/>
      <color rgb="FF0000FF"/>
      <name val="Arial"/>
    </font>
    <font>
      <sz val="9.0"/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3" fontId="2" numFmtId="0" xfId="0" applyAlignment="1" applyBorder="1" applyFill="1" applyFont="1">
      <alignment readingOrder="0" vertical="bottom"/>
    </xf>
    <xf borderId="6" fillId="3" fontId="3" numFmtId="0" xfId="0" applyAlignment="1" applyBorder="1" applyFont="1">
      <alignment readingOrder="0" vertical="bottom"/>
    </xf>
    <xf borderId="7" fillId="3" fontId="2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0" fillId="2" fontId="1" numFmtId="0" xfId="0" applyFont="1"/>
    <xf borderId="1" fillId="0" fontId="1" numFmtId="0" xfId="0" applyAlignment="1" applyBorder="1" applyFont="1">
      <alignment readingOrder="0"/>
    </xf>
    <xf borderId="3" fillId="4" fontId="4" numFmtId="0" xfId="0" applyAlignment="1" applyBorder="1" applyFill="1" applyFont="1">
      <alignment readingOrder="0" shrinkToFit="0" wrapText="0"/>
    </xf>
    <xf borderId="8" fillId="2" fontId="1" numFmtId="0" xfId="0" applyBorder="1" applyFont="1"/>
    <xf borderId="9" fillId="5" fontId="3" numFmtId="0" xfId="0" applyAlignment="1" applyBorder="1" applyFill="1" applyFont="1">
      <alignment vertical="bottom"/>
    </xf>
    <xf borderId="8" fillId="4" fontId="3" numFmtId="164" xfId="0" applyAlignment="1" applyBorder="1" applyFont="1" applyNumberFormat="1">
      <alignment horizontal="right" readingOrder="0" vertical="bottom"/>
    </xf>
    <xf borderId="0" fillId="5" fontId="3" numFmtId="0" xfId="0" applyAlignment="1" applyFont="1">
      <alignment vertical="bottom"/>
    </xf>
    <xf borderId="8" fillId="5" fontId="3" numFmtId="0" xfId="0" applyAlignment="1" applyBorder="1" applyFont="1">
      <alignment vertical="bottom"/>
    </xf>
    <xf borderId="10" fillId="0" fontId="1" numFmtId="0" xfId="0" applyAlignment="1" applyBorder="1" applyFont="1">
      <alignment readingOrder="0"/>
    </xf>
    <xf borderId="11" fillId="4" fontId="5" numFmtId="0" xfId="0" applyAlignment="1" applyBorder="1" applyFont="1">
      <alignment readingOrder="0" shrinkToFit="0" wrapText="0"/>
    </xf>
    <xf borderId="4" fillId="0" fontId="1" numFmtId="0" xfId="0" applyAlignment="1" applyBorder="1" applyFont="1">
      <alignment readingOrder="0"/>
    </xf>
    <xf borderId="9" fillId="4" fontId="1" numFmtId="0" xfId="0" applyBorder="1" applyFont="1"/>
    <xf borderId="4" fillId="0" fontId="1" numFmtId="0" xfId="0" applyBorder="1" applyFont="1"/>
    <xf borderId="8" fillId="0" fontId="1" numFmtId="0" xfId="0" applyBorder="1" applyFont="1"/>
    <xf borderId="8" fillId="5" fontId="3" numFmtId="164" xfId="0" applyAlignment="1" applyBorder="1" applyFont="1" applyNumberFormat="1">
      <alignment horizontal="right" vertical="bottom"/>
    </xf>
    <xf borderId="0" fillId="4" fontId="3" numFmtId="10" xfId="0" applyAlignment="1" applyFont="1" applyNumberFormat="1">
      <alignment horizontal="right" vertical="bottom"/>
    </xf>
    <xf borderId="8" fillId="4" fontId="3" numFmtId="165" xfId="0" applyAlignment="1" applyBorder="1" applyFont="1" applyNumberFormat="1">
      <alignment vertical="bottom"/>
    </xf>
    <xf borderId="0" fillId="4" fontId="3" numFmtId="10" xfId="0" applyAlignment="1" applyFont="1" applyNumberFormat="1">
      <alignment horizontal="right" readingOrder="0" vertical="bottom"/>
    </xf>
    <xf borderId="0" fillId="2" fontId="6" numFmtId="0" xfId="0" applyAlignment="1" applyFont="1">
      <alignment readingOrder="0"/>
    </xf>
    <xf borderId="8" fillId="4" fontId="3" numFmtId="10" xfId="0" applyAlignment="1" applyBorder="1" applyFont="1" applyNumberFormat="1">
      <alignment horizontal="right" readingOrder="0" vertical="bottom"/>
    </xf>
    <xf borderId="0" fillId="2" fontId="1" numFmtId="0" xfId="0" applyAlignment="1" applyFont="1">
      <alignment readingOrder="0"/>
    </xf>
    <xf borderId="8" fillId="4" fontId="3" numFmtId="0" xfId="0" applyAlignment="1" applyBorder="1" applyFont="1">
      <alignment horizontal="right" vertical="bottom"/>
    </xf>
    <xf borderId="9" fillId="5" fontId="3" numFmtId="0" xfId="0" applyAlignment="1" applyBorder="1" applyFont="1">
      <alignment readingOrder="0" vertical="bottom"/>
    </xf>
    <xf borderId="11" fillId="5" fontId="3" numFmtId="0" xfId="0" applyAlignment="1" applyBorder="1" applyFont="1">
      <alignment vertical="bottom"/>
    </xf>
    <xf borderId="12" fillId="5" fontId="3" numFmtId="0" xfId="0" applyAlignment="1" applyBorder="1" applyFont="1">
      <alignment vertical="bottom"/>
    </xf>
    <xf borderId="5" fillId="2" fontId="1" numFmtId="0" xfId="0" applyBorder="1" applyFont="1"/>
    <xf borderId="13" fillId="2" fontId="1" numFmtId="0" xfId="0" applyBorder="1" applyFont="1"/>
    <xf borderId="7" fillId="2" fontId="1" numFmtId="0" xfId="0" applyBorder="1" applyFont="1"/>
    <xf borderId="6" fillId="2" fontId="1" numFmtId="0" xfId="0" applyBorder="1" applyFont="1"/>
    <xf borderId="14" fillId="6" fontId="6" numFmtId="0" xfId="0" applyAlignment="1" applyBorder="1" applyFill="1" applyFont="1">
      <alignment readingOrder="0"/>
    </xf>
    <xf borderId="5" fillId="6" fontId="1" numFmtId="0" xfId="0" applyBorder="1" applyFont="1"/>
    <xf borderId="5" fillId="6" fontId="6" numFmtId="0" xfId="0" applyAlignment="1" applyBorder="1" applyFont="1">
      <alignment readingOrder="0"/>
    </xf>
    <xf borderId="5" fillId="7" fontId="6" numFmtId="0" xfId="0" applyAlignment="1" applyBorder="1" applyFill="1" applyFont="1">
      <alignment readingOrder="0"/>
    </xf>
    <xf borderId="15" fillId="0" fontId="1" numFmtId="0" xfId="0" applyAlignment="1" applyBorder="1" applyFont="1">
      <alignment readingOrder="0"/>
    </xf>
    <xf borderId="1" fillId="4" fontId="1" numFmtId="164" xfId="0" applyBorder="1" applyFont="1" applyNumberFormat="1"/>
    <xf borderId="3" fillId="0" fontId="1" numFmtId="164" xfId="0" applyBorder="1" applyFont="1" applyNumberFormat="1"/>
    <xf borderId="5" fillId="5" fontId="1" numFmtId="10" xfId="0" applyBorder="1" applyFont="1" applyNumberFormat="1"/>
    <xf borderId="9" fillId="0" fontId="1" numFmtId="0" xfId="0" applyAlignment="1" applyBorder="1" applyFont="1">
      <alignment readingOrder="0"/>
    </xf>
    <xf borderId="4" fillId="4" fontId="1" numFmtId="164" xfId="0" applyAlignment="1" applyBorder="1" applyFont="1" applyNumberFormat="1">
      <alignment readingOrder="0"/>
    </xf>
    <xf borderId="8" fillId="0" fontId="1" numFmtId="164" xfId="0" applyBorder="1" applyFont="1" applyNumberFormat="1"/>
    <xf borderId="4" fillId="0" fontId="1" numFmtId="164" xfId="0" applyAlignment="1" applyBorder="1" applyFont="1" applyNumberFormat="1">
      <alignment readingOrder="0"/>
    </xf>
    <xf borderId="2" fillId="0" fontId="1" numFmtId="0" xfId="0" applyBorder="1" applyFont="1"/>
    <xf borderId="1" fillId="8" fontId="1" numFmtId="164" xfId="0" applyBorder="1" applyFill="1" applyFont="1" applyNumberFormat="1"/>
    <xf borderId="3" fillId="9" fontId="1" numFmtId="164" xfId="0" applyBorder="1" applyFill="1" applyFont="1" applyNumberFormat="1"/>
    <xf borderId="0" fillId="4" fontId="1" numFmtId="164" xfId="0" applyAlignment="1" applyFont="1" applyNumberFormat="1">
      <alignment readingOrder="0"/>
    </xf>
    <xf borderId="14" fillId="0" fontId="1" numFmtId="0" xfId="0" applyAlignment="1" applyBorder="1" applyFont="1">
      <alignment readingOrder="0"/>
    </xf>
    <xf borderId="12" fillId="0" fontId="1" numFmtId="0" xfId="0" applyBorder="1" applyFont="1"/>
    <xf borderId="10" fillId="10" fontId="6" numFmtId="164" xfId="0" applyAlignment="1" applyBorder="1" applyFill="1" applyFont="1" applyNumberFormat="1">
      <alignment readingOrder="0"/>
    </xf>
    <xf borderId="11" fillId="10" fontId="6" numFmtId="164" xfId="0" applyBorder="1" applyFont="1" applyNumberFormat="1"/>
    <xf borderId="10" fillId="2" fontId="1" numFmtId="0" xfId="0" applyBorder="1" applyFont="1"/>
    <xf borderId="12" fillId="2" fontId="1" numFmtId="0" xfId="0" applyBorder="1" applyFont="1"/>
    <xf borderId="12" fillId="2" fontId="1" numFmtId="0" xfId="0" applyAlignment="1" applyBorder="1" applyFont="1">
      <alignment readingOrder="0"/>
    </xf>
    <xf borderId="11" fillId="2" fontId="1" numFmtId="0" xfId="0" applyBorder="1" applyFont="1"/>
    <xf borderId="6" fillId="3" fontId="3" numFmtId="0" xfId="0" applyAlignment="1" applyBorder="1" applyFont="1">
      <alignment vertical="bottom"/>
    </xf>
    <xf borderId="0" fillId="2" fontId="7" numFmtId="0" xfId="0" applyAlignment="1" applyFont="1">
      <alignment readingOrder="0"/>
    </xf>
    <xf borderId="9" fillId="0" fontId="6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6" fillId="4" fontId="8" numFmtId="0" xfId="0" applyAlignment="1" applyBorder="1" applyFont="1">
      <alignment readingOrder="0" shrinkToFit="0" wrapText="0"/>
    </xf>
    <xf borderId="15" fillId="5" fontId="3" numFmtId="0" xfId="0" applyAlignment="1" applyBorder="1" applyFont="1">
      <alignment readingOrder="0" vertical="bottom"/>
    </xf>
    <xf borderId="15" fillId="4" fontId="3" numFmtId="164" xfId="0" applyAlignment="1" applyBorder="1" applyFont="1" applyNumberFormat="1">
      <alignment horizontal="right" readingOrder="0" vertical="bottom"/>
    </xf>
    <xf borderId="1" fillId="5" fontId="3" numFmtId="0" xfId="0" applyAlignment="1" applyBorder="1" applyFont="1">
      <alignment vertical="bottom"/>
    </xf>
    <xf borderId="3" fillId="5" fontId="3" numFmtId="0" xfId="0" applyAlignment="1" applyBorder="1" applyFont="1">
      <alignment vertical="bottom"/>
    </xf>
    <xf borderId="9" fillId="5" fontId="3" numFmtId="164" xfId="0" applyAlignment="1" applyBorder="1" applyFont="1" applyNumberFormat="1">
      <alignment horizontal="right" vertical="bottom"/>
    </xf>
    <xf borderId="4" fillId="4" fontId="3" numFmtId="10" xfId="0" applyAlignment="1" applyBorder="1" applyFont="1" applyNumberFormat="1">
      <alignment horizontal="right" readingOrder="0" vertical="bottom"/>
    </xf>
    <xf borderId="9" fillId="4" fontId="3" numFmtId="10" xfId="0" applyAlignment="1" applyBorder="1" applyFont="1" applyNumberFormat="1">
      <alignment horizontal="right" readingOrder="0" vertical="bottom"/>
    </xf>
    <xf borderId="4" fillId="5" fontId="3" numFmtId="0" xfId="0" applyAlignment="1" applyBorder="1" applyFont="1">
      <alignment vertical="bottom"/>
    </xf>
    <xf borderId="9" fillId="4" fontId="3" numFmtId="0" xfId="0" applyAlignment="1" applyBorder="1" applyFont="1">
      <alignment horizontal="right" vertical="bottom"/>
    </xf>
    <xf borderId="9" fillId="4" fontId="3" numFmtId="164" xfId="0" applyAlignment="1" applyBorder="1" applyFont="1" applyNumberFormat="1">
      <alignment horizontal="right" readingOrder="0" vertical="bottom"/>
    </xf>
    <xf borderId="14" fillId="5" fontId="3" numFmtId="0" xfId="0" applyAlignment="1" applyBorder="1" applyFont="1">
      <alignment vertical="bottom"/>
    </xf>
    <xf borderId="10" fillId="5" fontId="3" numFmtId="0" xfId="0" applyAlignment="1" applyBorder="1" applyFont="1">
      <alignment vertical="bottom"/>
    </xf>
    <xf borderId="0" fillId="4" fontId="1" numFmtId="10" xfId="0" applyAlignment="1" applyFont="1" applyNumberFormat="1">
      <alignment readingOrder="0"/>
    </xf>
    <xf borderId="15" fillId="0" fontId="1" numFmtId="0" xfId="0" applyBorder="1" applyFont="1"/>
    <xf borderId="9" fillId="0" fontId="1" numFmtId="0" xfId="0" applyBorder="1" applyFont="1"/>
    <xf borderId="9" fillId="4" fontId="1" numFmtId="10" xfId="0" applyAlignment="1" applyBorder="1" applyFont="1" applyNumberFormat="1">
      <alignment readingOrder="0"/>
    </xf>
    <xf borderId="14" fillId="0" fontId="1" numFmtId="0" xfId="0" applyBorder="1" applyFont="1"/>
    <xf borderId="0" fillId="5" fontId="9" numFmtId="0" xfId="0" applyAlignment="1" applyFont="1">
      <alignment readingOrder="0"/>
    </xf>
    <xf borderId="6" fillId="4" fontId="10" numFmtId="0" xfId="0" applyAlignment="1" applyBorder="1" applyFont="1">
      <alignment readingOrder="0" shrinkToFit="0" wrapText="0"/>
    </xf>
    <xf borderId="0" fillId="4" fontId="3" numFmtId="9" xfId="0" applyAlignment="1" applyFont="1" applyNumberFormat="1">
      <alignment horizontal="right" readingOrder="0" vertical="bottom"/>
    </xf>
    <xf borderId="8" fillId="4" fontId="3" numFmtId="9" xfId="0" applyAlignment="1" applyBorder="1" applyFont="1" applyNumberFormat="1">
      <alignment readingOrder="0" vertical="bottom"/>
    </xf>
    <xf borderId="0" fillId="2" fontId="1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1" numFmtId="165" xfId="0" applyFont="1" applyNumberFormat="1"/>
    <xf borderId="5" fillId="11" fontId="6" numFmtId="0" xfId="0" applyAlignment="1" applyBorder="1" applyFill="1" applyFont="1">
      <alignment readingOrder="0"/>
    </xf>
    <xf borderId="5" fillId="3" fontId="1" numFmtId="9" xfId="0" applyAlignment="1" applyBorder="1" applyFont="1" applyNumberFormat="1">
      <alignment readingOrder="0"/>
    </xf>
    <xf borderId="5" fillId="5" fontId="1" numFmtId="10" xfId="0" applyAlignment="1" applyBorder="1" applyFont="1" applyNumberFormat="1">
      <alignment readingOrder="0"/>
    </xf>
    <xf borderId="6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3" numFmtId="0" xfId="0" applyAlignment="1" applyFont="1">
      <alignment readingOrder="0" vertical="bottom"/>
    </xf>
    <xf borderId="0" fillId="2" fontId="11" numFmtId="165" xfId="0" applyFont="1" applyNumberFormat="1"/>
    <xf borderId="12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22-Fowler-Ave-Buffalo-NY-14217/30391837_zpid/?" TargetMode="External"/><Relationship Id="rId2" Type="http://schemas.openxmlformats.org/officeDocument/2006/relationships/hyperlink" Target="https://www.homes.com/property/122-fowler-ave-buffalo-ny/d2t48130rgvf2/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714-Mount-Vernon-Rd-Buffalo-NY-14215/30283011_zpid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466-Moore-Ave-Buffalo-NY-14223/30399692_zpid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32-Louvaine-Dr-Buffalo-NY-14223/30401559_zpid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32-Louvaine-Dr-Buffalo-NY-14223/30401559_zpid/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32-Louvaine-Dr-Buffalo-NY-14223/30401559_zpid/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372-Oakvale-Blvd-Buffalo-NY-14223/30394858_zpid/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372-Oakvale-Blvd-Buffalo-NY-14223/30394858_zpid/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s/58-Gresham-Dr-Amherst,-NY-14226_rb/30256199_zpid/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372-Oakvale-Blvd-Buffalo-NY-14223/30394858_zpid/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372-Oakvale-Blvd-Buffalo-NY-14223/30394858_zpid/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s/8290-Stahley-Rd-East-Amherst,-NY-14051_rb/84096602_zpid/" TargetMode="External"/><Relationship Id="rId2" Type="http://schemas.openxmlformats.org/officeDocument/2006/relationships/hyperlink" Target="https://www.homes.com/property/8290-stahley-rd-east-amherst-ny/6de1st9kyyqzd/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s/155-E-Somerset-Ave-Tonawanda,-NY-14150_rb/30393534_zpid/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s/163-Edgewood-Ave-Buffalo,-NY-14223_rb/30401036_zpid/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9-Greentree-Rd-Tonawanda-NY-14150/30388601_zpid/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05-Dale-Dr-Tonawanda-NY-14150/30382527_zpid/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05-Dale-Dr-Tonawanda-NY-14150/30382527_zpid/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s/552-Englewood-Ave-Buffalo,-NY-14223_rb/30401972_zpid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untrealestate.com/realestate/details/33192894/131-hewitt-avenue-buffalo-ny-14215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51-Parkridge-Ave-Buffalo-NY-14215/30173021_zpid/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83-Custer-St-Buffalo-NY-14214/30160566_zpid/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51-Parkridge-Ave-Buffalo-NY-14215/30173021_zpid/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22-Fowler-Ave-Buffalo-NY-14217/30391837_zpid/?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22-Fowler-Ave-Buffalo-NY-14217/30391837_zpid/?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22-Fowler-Ave-Buffalo-NY-14217/30391837_zpid/?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22-Fowler-Ave-Buffalo-NY-14217/30391837_zpid/?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22-Fowler-Ave-Buffalo-NY-14217/30391837_zpid/?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122-Fowler-Ave-Buffalo-NY-14217/30391837_zpid/?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homedetails/367-Crosby-Ave-Buffalo-NY-14217/30379606_zpid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0</v>
      </c>
      <c r="C3" s="6" t="s">
        <v>1</v>
      </c>
      <c r="D3" s="7" t="s">
        <v>2</v>
      </c>
      <c r="E3" s="8" t="s">
        <v>3</v>
      </c>
      <c r="F3" s="9"/>
      <c r="G3" s="10" t="s">
        <v>4</v>
      </c>
      <c r="H3" s="11" t="s">
        <v>5</v>
      </c>
      <c r="I3" s="12"/>
    </row>
    <row r="4">
      <c r="A4" s="4"/>
      <c r="B4" s="13" t="s">
        <v>6</v>
      </c>
      <c r="C4" s="14">
        <v>250000.0</v>
      </c>
      <c r="D4" s="15"/>
      <c r="E4" s="16"/>
      <c r="F4" s="9"/>
      <c r="G4" s="17" t="s">
        <v>7</v>
      </c>
      <c r="H4" s="18" t="s">
        <v>8</v>
      </c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50000</v>
      </c>
      <c r="D6" s="24">
        <v>0.2</v>
      </c>
      <c r="E6" s="25"/>
      <c r="F6" s="9"/>
      <c r="G6" s="9"/>
      <c r="H6" s="9"/>
      <c r="I6" s="12"/>
    </row>
    <row r="7">
      <c r="A7" s="4"/>
      <c r="B7" s="13" t="s">
        <v>10</v>
      </c>
      <c r="C7" s="23">
        <f>IF(E7="",$C$4*$D$7,E7)</f>
        <v>5500</v>
      </c>
      <c r="D7" s="26">
        <v>0.022</v>
      </c>
      <c r="E7" s="25"/>
      <c r="F7" s="9"/>
      <c r="G7" s="27" t="s">
        <v>11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13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 t="s">
        <v>15</v>
      </c>
      <c r="H9" s="9"/>
      <c r="I9" s="12"/>
    </row>
    <row r="10">
      <c r="A10" s="4"/>
      <c r="B10" s="13" t="s">
        <v>16</v>
      </c>
      <c r="C10" s="23">
        <f>C4-C6</f>
        <v>200000</v>
      </c>
      <c r="D10" s="15"/>
      <c r="E10" s="16"/>
      <c r="F10" s="9"/>
      <c r="G10" s="29" t="s">
        <v>17</v>
      </c>
      <c r="H10" s="9"/>
      <c r="I10" s="12"/>
    </row>
    <row r="11">
      <c r="A11" s="4"/>
      <c r="B11" s="31" t="s">
        <v>18</v>
      </c>
      <c r="C11" s="23">
        <f>-PMT(C8/12,C9*12,C10)</f>
        <v>1264.136047</v>
      </c>
      <c r="D11" s="15"/>
      <c r="E11" s="16"/>
      <c r="F11" s="9"/>
      <c r="G11" s="29" t="s">
        <v>19</v>
      </c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 t="s">
        <v>21</v>
      </c>
      <c r="H12" s="9"/>
      <c r="I12" s="12"/>
    </row>
    <row r="13">
      <c r="A13" s="4"/>
      <c r="B13" s="13" t="s">
        <v>22</v>
      </c>
      <c r="C13" s="23">
        <f>C12+C7+C6</f>
        <v>55500</v>
      </c>
      <c r="D13" s="15"/>
      <c r="E13" s="16"/>
      <c r="F13" s="9"/>
      <c r="G13" s="29" t="s">
        <v>23</v>
      </c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1264.136047</v>
      </c>
      <c r="E17" s="44">
        <f t="shared" ref="E17:E25" si="1">D17*12</f>
        <v>15169.63256</v>
      </c>
      <c r="F17" s="9"/>
      <c r="G17" s="45">
        <f>E25/C13</f>
        <v>0.08970031417</v>
      </c>
      <c r="H17" s="9"/>
      <c r="I17" s="12"/>
    </row>
    <row r="18">
      <c r="A18" s="4"/>
      <c r="B18" s="46" t="s">
        <v>29</v>
      </c>
      <c r="D18" s="47">
        <v>81.0</v>
      </c>
      <c r="E18" s="48">
        <f t="shared" si="1"/>
        <v>972</v>
      </c>
      <c r="F18" s="9"/>
      <c r="G18" s="9"/>
      <c r="H18" s="9"/>
      <c r="I18" s="12"/>
    </row>
    <row r="19">
      <c r="A19" s="4"/>
      <c r="B19" s="46" t="s">
        <v>30</v>
      </c>
      <c r="D19" s="49">
        <v>50.0</v>
      </c>
      <c r="E19" s="48">
        <f t="shared" si="1"/>
        <v>600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D22" s="47">
        <v>440.0</v>
      </c>
      <c r="E22" s="48">
        <f t="shared" si="1"/>
        <v>5280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1985.136047</v>
      </c>
      <c r="E23" s="52">
        <f t="shared" si="1"/>
        <v>23821.63256</v>
      </c>
      <c r="F23" s="9"/>
      <c r="G23" s="9"/>
      <c r="H23" s="9"/>
      <c r="I23" s="12"/>
    </row>
    <row r="24">
      <c r="A24" s="4"/>
      <c r="B24" s="46" t="s">
        <v>35</v>
      </c>
      <c r="C24" s="53">
        <v>600.0</v>
      </c>
      <c r="D24" s="47">
        <f>C24*4</f>
        <v>2400</v>
      </c>
      <c r="E24" s="48">
        <f t="shared" si="1"/>
        <v>28800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414.863953</v>
      </c>
      <c r="E25" s="57">
        <f t="shared" si="1"/>
        <v>4978.367436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  <hyperlink r:id="rId2" ref="H4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71</v>
      </c>
      <c r="C3" s="62"/>
      <c r="D3" s="7" t="s">
        <v>2</v>
      </c>
      <c r="E3" s="8" t="s">
        <v>3</v>
      </c>
      <c r="F3" s="9"/>
      <c r="G3" s="65" t="s">
        <v>4</v>
      </c>
      <c r="H3" s="66" t="s">
        <v>72</v>
      </c>
      <c r="I3" s="12"/>
    </row>
    <row r="4">
      <c r="A4" s="4"/>
      <c r="B4" s="31" t="s">
        <v>56</v>
      </c>
      <c r="C4" s="14">
        <v>249000.0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290000.0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49800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5478</v>
      </c>
      <c r="D7" s="26">
        <v>0.022</v>
      </c>
      <c r="E7" s="25"/>
      <c r="F7" s="9"/>
      <c r="G7" s="29" t="s">
        <v>67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70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199200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1259.079503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55278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1259.079503</v>
      </c>
      <c r="E17" s="44">
        <f t="shared" ref="E17:E25" si="1">D17*12</f>
        <v>15108.95403</v>
      </c>
      <c r="F17" s="9"/>
      <c r="G17" s="45">
        <f>E25/C13</f>
        <v>-0.003924780809</v>
      </c>
      <c r="H17" s="9"/>
      <c r="I17" s="12"/>
    </row>
    <row r="18">
      <c r="A18" s="4"/>
      <c r="B18" s="46" t="s">
        <v>29</v>
      </c>
      <c r="D18" s="47">
        <v>94.0</v>
      </c>
      <c r="E18" s="48">
        <f t="shared" si="1"/>
        <v>1128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85.0</v>
      </c>
      <c r="E21" s="48">
        <f t="shared" si="1"/>
        <v>1020</v>
      </c>
      <c r="F21" s="9"/>
      <c r="G21" s="9"/>
      <c r="H21" s="9"/>
      <c r="I21" s="12"/>
    </row>
    <row r="22">
      <c r="A22" s="4"/>
      <c r="B22" s="46" t="s">
        <v>33</v>
      </c>
      <c r="D22" s="47">
        <v>430.0</v>
      </c>
      <c r="E22" s="48">
        <f t="shared" si="1"/>
        <v>5160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1968.079503</v>
      </c>
      <c r="E23" s="52">
        <f t="shared" si="1"/>
        <v>23616.95403</v>
      </c>
      <c r="F23" s="9"/>
      <c r="G23" s="9"/>
      <c r="H23" s="9"/>
      <c r="I23" s="12"/>
    </row>
    <row r="24">
      <c r="A24" s="4"/>
      <c r="B24" s="46" t="s">
        <v>35</v>
      </c>
      <c r="C24" s="53">
        <v>650.0</v>
      </c>
      <c r="D24" s="47">
        <f>C24*3</f>
        <v>1950</v>
      </c>
      <c r="E24" s="48">
        <f t="shared" si="1"/>
        <v>23400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-18.0795028</v>
      </c>
      <c r="E25" s="57">
        <f t="shared" si="1"/>
        <v>-216.9540336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73</v>
      </c>
      <c r="C3" s="62"/>
      <c r="D3" s="7" t="s">
        <v>2</v>
      </c>
      <c r="E3" s="8" t="s">
        <v>3</v>
      </c>
      <c r="F3" s="9"/>
      <c r="G3" s="65" t="s">
        <v>4</v>
      </c>
      <c r="H3" s="66" t="s">
        <v>74</v>
      </c>
      <c r="I3" s="12"/>
    </row>
    <row r="4">
      <c r="A4" s="4"/>
      <c r="B4" s="31" t="s">
        <v>56</v>
      </c>
      <c r="C4" s="14">
        <v>219900.0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200000.0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43980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4837.8</v>
      </c>
      <c r="D7" s="26">
        <v>0.022</v>
      </c>
      <c r="E7" s="25"/>
      <c r="F7" s="9"/>
      <c r="G7" s="29" t="s">
        <v>75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76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 t="s">
        <v>77</v>
      </c>
      <c r="H9" s="9"/>
      <c r="I9" s="12"/>
    </row>
    <row r="10">
      <c r="A10" s="4"/>
      <c r="B10" s="13" t="s">
        <v>16</v>
      </c>
      <c r="C10" s="23">
        <f>C4-C6</f>
        <v>175920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1111.934067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30000.0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78817.8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1111.934067</v>
      </c>
      <c r="E17" s="44">
        <f t="shared" ref="E17:E25" si="1">D17*12</f>
        <v>13343.2088</v>
      </c>
      <c r="F17" s="9"/>
      <c r="G17" s="45">
        <f>E25/C13</f>
        <v>0.09912470529</v>
      </c>
      <c r="H17" s="9"/>
      <c r="I17" s="12"/>
    </row>
    <row r="18">
      <c r="A18" s="4"/>
      <c r="B18" s="46" t="s">
        <v>29</v>
      </c>
      <c r="D18" s="47">
        <v>80.0</v>
      </c>
      <c r="E18" s="48">
        <f t="shared" si="1"/>
        <v>960</v>
      </c>
      <c r="F18" s="9"/>
      <c r="G18" s="9"/>
      <c r="H18" s="9"/>
      <c r="I18" s="12"/>
    </row>
    <row r="19">
      <c r="A19" s="4"/>
      <c r="B19" s="46" t="s">
        <v>30</v>
      </c>
      <c r="D19" s="47">
        <v>41.0</v>
      </c>
      <c r="E19" s="48">
        <f t="shared" si="1"/>
        <v>492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D22" s="47">
        <v>366.0</v>
      </c>
      <c r="E22" s="48">
        <f t="shared" si="1"/>
        <v>4392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1748.934067</v>
      </c>
      <c r="E23" s="52">
        <f t="shared" si="1"/>
        <v>20987.2088</v>
      </c>
      <c r="F23" s="9"/>
      <c r="G23" s="9"/>
      <c r="H23" s="9"/>
      <c r="I23" s="12"/>
    </row>
    <row r="24">
      <c r="A24" s="4"/>
      <c r="B24" s="46" t="s">
        <v>35</v>
      </c>
      <c r="C24" s="53">
        <v>600.0</v>
      </c>
      <c r="D24" s="47">
        <f>C24*4</f>
        <v>2400</v>
      </c>
      <c r="E24" s="48">
        <f t="shared" si="1"/>
        <v>28800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651.0659331</v>
      </c>
      <c r="E25" s="57">
        <f t="shared" si="1"/>
        <v>7812.791197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78</v>
      </c>
      <c r="C3" s="62"/>
      <c r="D3" s="7" t="s">
        <v>2</v>
      </c>
      <c r="E3" s="8" t="s">
        <v>3</v>
      </c>
      <c r="F3" s="9"/>
      <c r="G3" s="65" t="s">
        <v>4</v>
      </c>
      <c r="H3" s="66" t="s">
        <v>79</v>
      </c>
      <c r="I3" s="12"/>
    </row>
    <row r="4">
      <c r="A4" s="4"/>
      <c r="B4" s="31" t="s">
        <v>56</v>
      </c>
      <c r="C4" s="14">
        <v>229000.0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200000.0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45800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5038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183200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1157.948619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30000.0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80838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1157.948619</v>
      </c>
      <c r="E17" s="44">
        <f t="shared" ref="E17:E25" si="1">D17*12</f>
        <v>13895.38343</v>
      </c>
      <c r="F17" s="9"/>
      <c r="G17" s="45">
        <f>E25/C13</f>
        <v>0.1049990917</v>
      </c>
      <c r="H17" s="9"/>
      <c r="I17" s="12"/>
    </row>
    <row r="18">
      <c r="A18" s="4"/>
      <c r="B18" s="46" t="s">
        <v>29</v>
      </c>
      <c r="D18" s="47">
        <v>80.0</v>
      </c>
      <c r="E18" s="48">
        <f t="shared" si="1"/>
        <v>960</v>
      </c>
      <c r="F18" s="9"/>
      <c r="G18" s="9"/>
      <c r="H18" s="9"/>
      <c r="I18" s="12"/>
    </row>
    <row r="19">
      <c r="A19" s="4"/>
      <c r="B19" s="46" t="s">
        <v>30</v>
      </c>
      <c r="D19" s="47">
        <v>41.0</v>
      </c>
      <c r="E19" s="48">
        <f t="shared" si="1"/>
        <v>492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79">
        <v>0.0243</v>
      </c>
      <c r="D22" s="47">
        <f>(C4*C22)/12</f>
        <v>463.725</v>
      </c>
      <c r="E22" s="48">
        <f t="shared" si="1"/>
        <v>5564.7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1892.673619</v>
      </c>
      <c r="E23" s="52">
        <f t="shared" si="1"/>
        <v>22712.08343</v>
      </c>
      <c r="F23" s="9"/>
      <c r="G23" s="9"/>
      <c r="H23" s="9"/>
      <c r="I23" s="12"/>
    </row>
    <row r="24">
      <c r="A24" s="4"/>
      <c r="B24" s="46" t="s">
        <v>35</v>
      </c>
      <c r="C24" s="53">
        <v>650.0</v>
      </c>
      <c r="D24" s="47">
        <f>C24*4</f>
        <v>2600</v>
      </c>
      <c r="E24" s="48">
        <f t="shared" si="1"/>
        <v>31200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707.326381</v>
      </c>
      <c r="E25" s="57">
        <f t="shared" si="1"/>
        <v>8487.916572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80</v>
      </c>
      <c r="C3" s="62"/>
      <c r="D3" s="7" t="s">
        <v>2</v>
      </c>
      <c r="E3" s="8" t="s">
        <v>3</v>
      </c>
      <c r="F3" s="9"/>
      <c r="G3" s="65" t="s">
        <v>4</v>
      </c>
      <c r="H3" s="66" t="s">
        <v>79</v>
      </c>
      <c r="I3" s="12"/>
    </row>
    <row r="4">
      <c r="A4" s="4"/>
      <c r="B4" s="31" t="s">
        <v>56</v>
      </c>
      <c r="C4" s="14">
        <v>225000.0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200000.0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45000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4950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180000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1137.722442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30000.0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79950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1137.722442</v>
      </c>
      <c r="E17" s="44">
        <f t="shared" ref="E17:E25" si="1">D17*12</f>
        <v>13652.66931</v>
      </c>
      <c r="F17" s="9"/>
      <c r="G17" s="45">
        <f>E25/C13</f>
        <v>0.0353699899</v>
      </c>
      <c r="H17" s="9"/>
      <c r="I17" s="12"/>
    </row>
    <row r="18">
      <c r="A18" s="4"/>
      <c r="B18" s="46" t="s">
        <v>29</v>
      </c>
      <c r="D18" s="47">
        <v>80.0</v>
      </c>
      <c r="E18" s="48">
        <f t="shared" si="1"/>
        <v>960</v>
      </c>
      <c r="F18" s="9"/>
      <c r="G18" s="9"/>
      <c r="H18" s="9"/>
      <c r="I18" s="12"/>
    </row>
    <row r="19">
      <c r="A19" s="4"/>
      <c r="B19" s="46" t="s">
        <v>30</v>
      </c>
      <c r="D19" s="47">
        <v>41.0</v>
      </c>
      <c r="E19" s="48">
        <f t="shared" si="1"/>
        <v>492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79">
        <v>0.0243</v>
      </c>
      <c r="D22" s="47">
        <f>(C4*C22)/12</f>
        <v>455.625</v>
      </c>
      <c r="E22" s="48">
        <f t="shared" si="1"/>
        <v>5467.5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1864.347442</v>
      </c>
      <c r="E23" s="52">
        <f t="shared" si="1"/>
        <v>22372.16931</v>
      </c>
      <c r="F23" s="9"/>
      <c r="G23" s="9"/>
      <c r="H23" s="9"/>
      <c r="I23" s="12"/>
    </row>
    <row r="24">
      <c r="A24" s="4"/>
      <c r="B24" s="46" t="s">
        <v>35</v>
      </c>
      <c r="C24" s="53">
        <v>700.0</v>
      </c>
      <c r="D24" s="47">
        <f>C24*3</f>
        <v>2100</v>
      </c>
      <c r="E24" s="48">
        <f t="shared" si="1"/>
        <v>25200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235.6525577</v>
      </c>
      <c r="E25" s="57">
        <f t="shared" si="1"/>
        <v>2827.830693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81</v>
      </c>
      <c r="C3" s="62"/>
      <c r="D3" s="7" t="s">
        <v>2</v>
      </c>
      <c r="E3" s="8" t="s">
        <v>3</v>
      </c>
      <c r="F3" s="9"/>
      <c r="G3" s="65" t="s">
        <v>4</v>
      </c>
      <c r="H3" s="66" t="s">
        <v>79</v>
      </c>
      <c r="I3" s="12"/>
    </row>
    <row r="4">
      <c r="A4" s="4"/>
      <c r="B4" s="31" t="s">
        <v>56</v>
      </c>
      <c r="C4" s="14">
        <v>259000.0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200000.0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51800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5698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207200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1309.644945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67498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1309.644945</v>
      </c>
      <c r="E17" s="44">
        <f t="shared" ref="E17:E25" si="1">D17*12</f>
        <v>15715.73934</v>
      </c>
      <c r="F17" s="9"/>
      <c r="G17" s="45">
        <f>E25/C13</f>
        <v>0.1235378924</v>
      </c>
      <c r="H17" s="9"/>
      <c r="I17" s="12"/>
    </row>
    <row r="18">
      <c r="A18" s="4"/>
      <c r="B18" s="46" t="s">
        <v>29</v>
      </c>
      <c r="D18" s="47">
        <v>80.0</v>
      </c>
      <c r="E18" s="48">
        <f t="shared" si="1"/>
        <v>960</v>
      </c>
      <c r="F18" s="9"/>
      <c r="G18" s="9"/>
      <c r="H18" s="9"/>
      <c r="I18" s="12"/>
    </row>
    <row r="19">
      <c r="A19" s="4"/>
      <c r="B19" s="46" t="s">
        <v>30</v>
      </c>
      <c r="D19" s="47">
        <v>41.0</v>
      </c>
      <c r="E19" s="48">
        <f t="shared" si="1"/>
        <v>492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79">
        <v>0.0243</v>
      </c>
      <c r="D22" s="47">
        <f>(C4*C22)/12</f>
        <v>524.475</v>
      </c>
      <c r="E22" s="48">
        <f t="shared" si="1"/>
        <v>6293.7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2105.119945</v>
      </c>
      <c r="E23" s="52">
        <f t="shared" si="1"/>
        <v>25261.43934</v>
      </c>
      <c r="F23" s="9"/>
      <c r="G23" s="9"/>
      <c r="H23" s="9"/>
      <c r="I23" s="12"/>
    </row>
    <row r="24">
      <c r="A24" s="4"/>
      <c r="B24" s="46" t="s">
        <v>35</v>
      </c>
      <c r="C24" s="53">
        <v>700.0</v>
      </c>
      <c r="D24" s="47">
        <f>C24*4</f>
        <v>2800</v>
      </c>
      <c r="E24" s="48">
        <f t="shared" si="1"/>
        <v>33600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694.8800553</v>
      </c>
      <c r="E25" s="57">
        <f t="shared" si="1"/>
        <v>8338.560664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82</v>
      </c>
      <c r="C3" s="62"/>
      <c r="D3" s="7" t="s">
        <v>2</v>
      </c>
      <c r="E3" s="8" t="s">
        <v>3</v>
      </c>
      <c r="F3" s="9"/>
      <c r="G3" s="65" t="s">
        <v>4</v>
      </c>
      <c r="H3" s="66" t="s">
        <v>83</v>
      </c>
      <c r="I3" s="12"/>
    </row>
    <row r="4">
      <c r="A4" s="4"/>
      <c r="B4" s="31" t="s">
        <v>56</v>
      </c>
      <c r="C4" s="14">
        <v>269000.0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249000.0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53800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5918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215200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1360.210387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69718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1360.210387</v>
      </c>
      <c r="E17" s="44">
        <f t="shared" ref="E17:E25" si="1">D17*12</f>
        <v>16322.52464</v>
      </c>
      <c r="F17" s="9"/>
      <c r="G17" s="45">
        <f>E25/C13</f>
        <v>0.1043170395</v>
      </c>
      <c r="H17" s="9"/>
      <c r="I17" s="12"/>
    </row>
    <row r="18">
      <c r="A18" s="4"/>
      <c r="B18" s="46" t="s">
        <v>29</v>
      </c>
      <c r="D18" s="47">
        <v>98.0</v>
      </c>
      <c r="E18" s="48">
        <f t="shared" si="1"/>
        <v>1176</v>
      </c>
      <c r="F18" s="9"/>
      <c r="G18" s="9"/>
      <c r="H18" s="9"/>
      <c r="I18" s="12"/>
    </row>
    <row r="19">
      <c r="A19" s="4"/>
      <c r="B19" s="46" t="s">
        <v>30</v>
      </c>
      <c r="D19" s="47">
        <v>41.0</v>
      </c>
      <c r="E19" s="48">
        <f t="shared" si="1"/>
        <v>492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79">
        <v>0.0243</v>
      </c>
      <c r="D22" s="47">
        <f>(C4*C22)/12</f>
        <v>544.725</v>
      </c>
      <c r="E22" s="48">
        <f t="shared" si="1"/>
        <v>6536.7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2193.935387</v>
      </c>
      <c r="E23" s="52">
        <f t="shared" si="1"/>
        <v>26327.22464</v>
      </c>
      <c r="F23" s="9"/>
      <c r="G23" s="9"/>
      <c r="H23" s="9"/>
      <c r="I23" s="12"/>
    </row>
    <row r="24">
      <c r="A24" s="4"/>
      <c r="B24" s="46" t="s">
        <v>35</v>
      </c>
      <c r="C24" s="53">
        <v>700.0</v>
      </c>
      <c r="D24" s="47">
        <f>C24*4</f>
        <v>2800</v>
      </c>
      <c r="E24" s="48">
        <f t="shared" si="1"/>
        <v>33600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606.0646134</v>
      </c>
      <c r="E25" s="57">
        <f t="shared" si="1"/>
        <v>7272.775361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84</v>
      </c>
      <c r="C3" s="62"/>
      <c r="D3" s="7" t="s">
        <v>2</v>
      </c>
      <c r="E3" s="8" t="s">
        <v>3</v>
      </c>
      <c r="F3" s="9"/>
      <c r="G3" s="65" t="s">
        <v>4</v>
      </c>
      <c r="H3" s="66" t="s">
        <v>83</v>
      </c>
      <c r="I3" s="12"/>
    </row>
    <row r="4">
      <c r="A4" s="4"/>
      <c r="B4" s="31" t="s">
        <v>56</v>
      </c>
      <c r="C4" s="14">
        <v>219000.0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43800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4818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175200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1107.383177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58618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1107.383177</v>
      </c>
      <c r="E17" s="44">
        <f t="shared" ref="E17:E25" si="1">D17*12</f>
        <v>13288.59813</v>
      </c>
      <c r="F17" s="9"/>
      <c r="G17" s="45">
        <f>E25/C13</f>
        <v>0.1556126424</v>
      </c>
      <c r="H17" s="9"/>
      <c r="I17" s="12"/>
    </row>
    <row r="18">
      <c r="A18" s="4"/>
      <c r="B18" s="46" t="s">
        <v>29</v>
      </c>
      <c r="D18" s="47">
        <v>98.0</v>
      </c>
      <c r="E18" s="48">
        <f t="shared" si="1"/>
        <v>1176</v>
      </c>
      <c r="F18" s="9"/>
      <c r="G18" s="9"/>
      <c r="H18" s="9"/>
      <c r="I18" s="12"/>
    </row>
    <row r="19">
      <c r="A19" s="4"/>
      <c r="B19" s="46" t="s">
        <v>30</v>
      </c>
      <c r="D19" s="47">
        <v>41.0</v>
      </c>
      <c r="E19" s="48">
        <f t="shared" si="1"/>
        <v>492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79">
        <v>0.0243</v>
      </c>
      <c r="D22" s="47">
        <f>(C4*C22)/12</f>
        <v>443.475</v>
      </c>
      <c r="E22" s="48">
        <f t="shared" si="1"/>
        <v>5321.7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1839.858177</v>
      </c>
      <c r="E23" s="52">
        <f t="shared" si="1"/>
        <v>22078.29813</v>
      </c>
      <c r="F23" s="9"/>
      <c r="G23" s="9"/>
      <c r="H23" s="9"/>
      <c r="I23" s="12"/>
    </row>
    <row r="24">
      <c r="A24" s="4"/>
      <c r="B24" s="46" t="s">
        <v>35</v>
      </c>
      <c r="C24" s="53">
        <v>650.0</v>
      </c>
      <c r="D24" s="47">
        <f>C24*4</f>
        <v>2600</v>
      </c>
      <c r="E24" s="48">
        <f t="shared" si="1"/>
        <v>31200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760.1418228</v>
      </c>
      <c r="E25" s="57">
        <f t="shared" si="1"/>
        <v>9121.701874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85</v>
      </c>
      <c r="C3" s="62"/>
      <c r="D3" s="7" t="s">
        <v>2</v>
      </c>
      <c r="E3" s="8" t="s">
        <v>3</v>
      </c>
      <c r="F3" s="9"/>
      <c r="G3" s="65" t="s">
        <v>4</v>
      </c>
      <c r="H3" s="66" t="s">
        <v>86</v>
      </c>
      <c r="I3" s="12"/>
    </row>
    <row r="4">
      <c r="A4" s="4"/>
      <c r="B4" s="31" t="s">
        <v>56</v>
      </c>
      <c r="C4" s="14">
        <v>234000.0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46800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5148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187200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1183.23134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61948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1183.23134</v>
      </c>
      <c r="E17" s="44">
        <f t="shared" ref="E17:E25" si="1">D17*12</f>
        <v>14198.77608</v>
      </c>
      <c r="F17" s="9"/>
      <c r="G17" s="45">
        <f>E25/C13</f>
        <v>0.1966007606</v>
      </c>
      <c r="H17" s="9"/>
      <c r="I17" s="12"/>
    </row>
    <row r="18">
      <c r="A18" s="4"/>
      <c r="B18" s="46" t="s">
        <v>29</v>
      </c>
      <c r="D18" s="47">
        <v>98.0</v>
      </c>
      <c r="E18" s="48">
        <f t="shared" si="1"/>
        <v>1176</v>
      </c>
      <c r="F18" s="9"/>
      <c r="G18" s="9"/>
      <c r="H18" s="9"/>
      <c r="I18" s="12"/>
    </row>
    <row r="19">
      <c r="A19" s="4"/>
      <c r="B19" s="46" t="s">
        <v>30</v>
      </c>
      <c r="D19" s="47">
        <v>80.0</v>
      </c>
      <c r="E19" s="48">
        <f t="shared" si="1"/>
        <v>960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79">
        <v>0.0243</v>
      </c>
      <c r="D22" s="47">
        <f>(C4*C22)/12</f>
        <v>473.85</v>
      </c>
      <c r="E22" s="48">
        <f t="shared" si="1"/>
        <v>5686.2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1985.08134</v>
      </c>
      <c r="E23" s="52">
        <f t="shared" si="1"/>
        <v>23820.97608</v>
      </c>
      <c r="F23" s="9"/>
      <c r="G23" s="9"/>
      <c r="H23" s="9"/>
      <c r="I23" s="12"/>
    </row>
    <row r="24">
      <c r="A24" s="4"/>
      <c r="B24" s="46" t="s">
        <v>35</v>
      </c>
      <c r="C24" s="53">
        <v>600.0</v>
      </c>
      <c r="D24" s="47">
        <f>C24*5</f>
        <v>3000</v>
      </c>
      <c r="E24" s="48">
        <f t="shared" si="1"/>
        <v>36000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1014.91866</v>
      </c>
      <c r="E25" s="57">
        <f t="shared" si="1"/>
        <v>12179.02392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87</v>
      </c>
      <c r="C3" s="62"/>
      <c r="D3" s="7" t="s">
        <v>2</v>
      </c>
      <c r="E3" s="8" t="s">
        <v>3</v>
      </c>
      <c r="F3" s="9"/>
      <c r="G3" s="65" t="s">
        <v>4</v>
      </c>
      <c r="H3" s="66" t="s">
        <v>83</v>
      </c>
      <c r="I3" s="12"/>
    </row>
    <row r="4">
      <c r="A4" s="4"/>
      <c r="B4" s="31" t="s">
        <v>56</v>
      </c>
      <c r="C4" s="14">
        <v>249000.0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49800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5478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199200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1259.079503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65278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1259.079503</v>
      </c>
      <c r="E17" s="44">
        <f t="shared" ref="E17:E25" si="1">D17*12</f>
        <v>15108.95403</v>
      </c>
      <c r="F17" s="9"/>
      <c r="G17" s="45">
        <f>E25/C13</f>
        <v>0.09351306668</v>
      </c>
      <c r="H17" s="9"/>
      <c r="I17" s="12"/>
    </row>
    <row r="18">
      <c r="A18" s="4"/>
      <c r="B18" s="46" t="s">
        <v>29</v>
      </c>
      <c r="D18" s="47">
        <v>98.0</v>
      </c>
      <c r="E18" s="48">
        <f t="shared" si="1"/>
        <v>1176</v>
      </c>
      <c r="F18" s="9"/>
      <c r="G18" s="9"/>
      <c r="H18" s="9"/>
      <c r="I18" s="12"/>
    </row>
    <row r="19">
      <c r="A19" s="4"/>
      <c r="B19" s="46" t="s">
        <v>30</v>
      </c>
      <c r="D19" s="47">
        <v>80.0</v>
      </c>
      <c r="E19" s="48">
        <f t="shared" si="1"/>
        <v>960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79">
        <v>0.0243</v>
      </c>
      <c r="D22" s="47">
        <f>(C4*C22)/12</f>
        <v>504.225</v>
      </c>
      <c r="E22" s="48">
        <f t="shared" si="1"/>
        <v>6050.7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2091.304503</v>
      </c>
      <c r="E23" s="52">
        <f t="shared" si="1"/>
        <v>25095.65403</v>
      </c>
      <c r="F23" s="9"/>
      <c r="G23" s="9"/>
      <c r="H23" s="9"/>
      <c r="I23" s="12"/>
    </row>
    <row r="24">
      <c r="A24" s="4"/>
      <c r="B24" s="46" t="s">
        <v>35</v>
      </c>
      <c r="C24" s="53">
        <v>650.0</v>
      </c>
      <c r="D24" s="47">
        <f>C24*4</f>
        <v>2600</v>
      </c>
      <c r="E24" s="48">
        <f t="shared" si="1"/>
        <v>31200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508.6954972</v>
      </c>
      <c r="E25" s="57">
        <f t="shared" si="1"/>
        <v>6104.345966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88</v>
      </c>
      <c r="C3" s="62"/>
      <c r="D3" s="7" t="s">
        <v>2</v>
      </c>
      <c r="E3" s="8" t="s">
        <v>3</v>
      </c>
      <c r="F3" s="9"/>
      <c r="G3" s="65" t="s">
        <v>4</v>
      </c>
      <c r="H3" s="66" t="s">
        <v>83</v>
      </c>
      <c r="I3" s="12"/>
    </row>
    <row r="4">
      <c r="A4" s="4"/>
      <c r="B4" s="31" t="s">
        <v>56</v>
      </c>
      <c r="C4" s="14">
        <v>235000.0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47000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5170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188000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1188.287884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62170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1188.287884</v>
      </c>
      <c r="E17" s="44">
        <f t="shared" ref="E17:E25" si="1">D17*12</f>
        <v>14259.45461</v>
      </c>
      <c r="F17" s="9"/>
      <c r="G17" s="45">
        <f>E25/C13</f>
        <v>-0.02956336834</v>
      </c>
      <c r="H17" s="9"/>
      <c r="I17" s="12"/>
    </row>
    <row r="18">
      <c r="A18" s="4"/>
      <c r="B18" s="46" t="s">
        <v>29</v>
      </c>
      <c r="D18" s="47">
        <v>98.0</v>
      </c>
      <c r="E18" s="48">
        <f t="shared" si="1"/>
        <v>1176</v>
      </c>
      <c r="F18" s="9"/>
      <c r="G18" s="9"/>
      <c r="H18" s="9"/>
      <c r="I18" s="12"/>
    </row>
    <row r="19">
      <c r="A19" s="4"/>
      <c r="B19" s="46" t="s">
        <v>30</v>
      </c>
      <c r="D19" s="47">
        <v>41.0</v>
      </c>
      <c r="E19" s="48">
        <f t="shared" si="1"/>
        <v>492</v>
      </c>
      <c r="F19" s="9"/>
      <c r="G19" s="27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79">
        <v>0.0243</v>
      </c>
      <c r="D22" s="47">
        <f>(C4*C22)/12</f>
        <v>475.875</v>
      </c>
      <c r="E22" s="48">
        <f t="shared" si="1"/>
        <v>5710.5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1953.162884</v>
      </c>
      <c r="E23" s="52">
        <f t="shared" si="1"/>
        <v>23437.95461</v>
      </c>
      <c r="F23" s="9"/>
      <c r="G23" s="9"/>
      <c r="H23" s="9"/>
      <c r="I23" s="12"/>
    </row>
    <row r="24">
      <c r="A24" s="4"/>
      <c r="B24" s="46" t="s">
        <v>35</v>
      </c>
      <c r="C24" s="53">
        <v>600.0</v>
      </c>
      <c r="D24" s="47">
        <f>C24*3</f>
        <v>1800</v>
      </c>
      <c r="E24" s="48">
        <f t="shared" si="1"/>
        <v>21600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-153.1628842</v>
      </c>
      <c r="E25" s="57">
        <f t="shared" si="1"/>
        <v>-1837.95461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37</v>
      </c>
      <c r="C3" s="62"/>
      <c r="D3" s="7" t="s">
        <v>2</v>
      </c>
      <c r="E3" s="8" t="s">
        <v>3</v>
      </c>
      <c r="F3" s="9"/>
      <c r="G3" s="10" t="s">
        <v>4</v>
      </c>
      <c r="H3" s="11" t="s">
        <v>38</v>
      </c>
      <c r="I3" s="12"/>
    </row>
    <row r="4">
      <c r="A4" s="4"/>
      <c r="B4" s="13" t="s">
        <v>6</v>
      </c>
      <c r="C4" s="14">
        <v>285000.0</v>
      </c>
      <c r="D4" s="15"/>
      <c r="E4" s="16"/>
      <c r="F4" s="9"/>
      <c r="G4" s="17" t="s">
        <v>7</v>
      </c>
      <c r="H4" s="18" t="s">
        <v>39</v>
      </c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57000</v>
      </c>
      <c r="D6" s="24">
        <v>0.2</v>
      </c>
      <c r="E6" s="25"/>
      <c r="F6" s="9"/>
      <c r="G6" s="9"/>
      <c r="H6" s="9"/>
      <c r="I6" s="12"/>
    </row>
    <row r="7">
      <c r="A7" s="4"/>
      <c r="B7" s="13" t="s">
        <v>10</v>
      </c>
      <c r="C7" s="23">
        <f>IF(E7="",$C$4*$D$7,E7)</f>
        <v>8550</v>
      </c>
      <c r="D7" s="26">
        <v>0.03</v>
      </c>
      <c r="E7" s="25"/>
      <c r="F7" s="9"/>
      <c r="G7" s="27" t="s">
        <v>11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13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 t="s">
        <v>40</v>
      </c>
      <c r="H9" s="9"/>
      <c r="I9" s="12"/>
    </row>
    <row r="10">
      <c r="A10" s="4"/>
      <c r="B10" s="13" t="s">
        <v>16</v>
      </c>
      <c r="C10" s="23">
        <f>C4-C6</f>
        <v>228000</v>
      </c>
      <c r="D10" s="15"/>
      <c r="E10" s="16"/>
      <c r="F10" s="9"/>
      <c r="G10" s="29" t="s">
        <v>41</v>
      </c>
      <c r="H10" s="9"/>
      <c r="I10" s="12"/>
    </row>
    <row r="11">
      <c r="A11" s="4"/>
      <c r="B11" s="31" t="s">
        <v>18</v>
      </c>
      <c r="C11" s="23">
        <f>-PMT(C8/12,C9*12,C10)</f>
        <v>1441.115094</v>
      </c>
      <c r="D11" s="15"/>
      <c r="E11" s="16"/>
      <c r="F11" s="9"/>
      <c r="G11" s="29" t="s">
        <v>42</v>
      </c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63" t="s">
        <v>43</v>
      </c>
      <c r="H12" s="9"/>
      <c r="I12" s="12"/>
    </row>
    <row r="13">
      <c r="A13" s="4"/>
      <c r="B13" s="13" t="s">
        <v>22</v>
      </c>
      <c r="C13" s="23">
        <f>C12+C7+C6</f>
        <v>65550</v>
      </c>
      <c r="D13" s="15"/>
      <c r="E13" s="16"/>
      <c r="F13" s="9"/>
      <c r="G13" s="29" t="s">
        <v>44</v>
      </c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1441.115094</v>
      </c>
      <c r="E17" s="44">
        <f t="shared" ref="E17:E25" si="1">D17*12</f>
        <v>17293.38112</v>
      </c>
      <c r="F17" s="9"/>
      <c r="G17" s="45">
        <f>E25/C13</f>
        <v>0.05929243138</v>
      </c>
      <c r="H17" s="9"/>
      <c r="I17" s="12"/>
    </row>
    <row r="18">
      <c r="A18" s="4"/>
      <c r="B18" s="46" t="s">
        <v>29</v>
      </c>
      <c r="D18" s="47">
        <v>120.0</v>
      </c>
      <c r="E18" s="48">
        <f t="shared" si="1"/>
        <v>1440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D22" s="47">
        <v>365.0</v>
      </c>
      <c r="E22" s="48">
        <f t="shared" si="1"/>
        <v>4380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2076.115094</v>
      </c>
      <c r="E23" s="52">
        <f t="shared" si="1"/>
        <v>24913.38112</v>
      </c>
      <c r="F23" s="9"/>
      <c r="G23" s="9"/>
      <c r="H23" s="9"/>
      <c r="I23" s="12"/>
    </row>
    <row r="24">
      <c r="A24" s="4"/>
      <c r="B24" s="64" t="s">
        <v>35</v>
      </c>
      <c r="C24" s="53">
        <v>600.0</v>
      </c>
      <c r="D24" s="47">
        <f>C24*4</f>
        <v>2400</v>
      </c>
      <c r="E24" s="48">
        <f t="shared" si="1"/>
        <v>28800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323.8849064</v>
      </c>
      <c r="E25" s="57">
        <f t="shared" si="1"/>
        <v>3886.618877</v>
      </c>
      <c r="F25" s="9"/>
      <c r="G25" s="9"/>
      <c r="H25" s="9"/>
      <c r="I25" s="12"/>
    </row>
    <row r="26">
      <c r="A26" s="58"/>
      <c r="B26" s="58"/>
      <c r="C26" s="59"/>
      <c r="D26" s="59"/>
      <c r="E26" s="59"/>
      <c r="F26" s="59"/>
      <c r="G26" s="59"/>
      <c r="H26" s="59"/>
      <c r="I26" s="61"/>
    </row>
  </sheetData>
  <hyperlinks>
    <hyperlink r:id="rId1" ref="H3"/>
    <hyperlink r:id="rId2" ref="H4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89</v>
      </c>
      <c r="C3" s="62"/>
      <c r="D3" s="7" t="s">
        <v>2</v>
      </c>
      <c r="E3" s="8" t="s">
        <v>3</v>
      </c>
      <c r="F3" s="9"/>
      <c r="G3" s="65" t="s">
        <v>4</v>
      </c>
      <c r="H3" s="66" t="s">
        <v>90</v>
      </c>
      <c r="I3" s="12"/>
    </row>
    <row r="4">
      <c r="A4" s="4"/>
      <c r="B4" s="31" t="s">
        <v>56</v>
      </c>
      <c r="C4" s="14">
        <v>249000.0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49800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5478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199200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1259.079503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65278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C17" s="80"/>
      <c r="D17" s="43">
        <f>C11</f>
        <v>1259.079503</v>
      </c>
      <c r="E17" s="44">
        <f t="shared" ref="E17:E22" si="1">D17*12</f>
        <v>15108.95403</v>
      </c>
      <c r="F17" s="9"/>
      <c r="G17" s="45">
        <f>E26/C13</f>
        <v>0.1523383983</v>
      </c>
      <c r="H17" s="9"/>
      <c r="I17" s="12"/>
    </row>
    <row r="18">
      <c r="A18" s="4"/>
      <c r="B18" s="46" t="s">
        <v>29</v>
      </c>
      <c r="C18" s="81"/>
      <c r="D18" s="47">
        <v>98.0</v>
      </c>
      <c r="E18" s="48">
        <f t="shared" si="1"/>
        <v>1176</v>
      </c>
      <c r="F18" s="9"/>
      <c r="G18" s="9"/>
      <c r="H18" s="9"/>
      <c r="I18" s="12"/>
    </row>
    <row r="19">
      <c r="A19" s="4"/>
      <c r="B19" s="46" t="s">
        <v>30</v>
      </c>
      <c r="C19" s="81"/>
      <c r="D19" s="47">
        <v>80.0</v>
      </c>
      <c r="E19" s="48">
        <f t="shared" si="1"/>
        <v>960</v>
      </c>
      <c r="F19" s="9"/>
      <c r="G19" s="27"/>
      <c r="H19" s="9"/>
      <c r="I19" s="12"/>
    </row>
    <row r="20">
      <c r="A20" s="4"/>
      <c r="B20" s="46" t="s">
        <v>31</v>
      </c>
      <c r="C20" s="81"/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82">
        <v>0.0243</v>
      </c>
      <c r="D22" s="47">
        <f>(C4*C22)/12</f>
        <v>504.225</v>
      </c>
      <c r="E22" s="48">
        <f t="shared" si="1"/>
        <v>6050.7</v>
      </c>
      <c r="F22" s="9"/>
      <c r="G22" s="9"/>
      <c r="H22" s="9"/>
      <c r="I22" s="12"/>
    </row>
    <row r="23">
      <c r="A23" s="4"/>
      <c r="B23" s="19" t="s">
        <v>91</v>
      </c>
      <c r="C23" s="83"/>
      <c r="D23" s="47">
        <v>80.0</v>
      </c>
      <c r="E23" s="22"/>
      <c r="F23" s="9"/>
      <c r="G23" s="9"/>
      <c r="H23" s="9"/>
      <c r="I23" s="12"/>
    </row>
    <row r="24">
      <c r="A24" s="4"/>
      <c r="B24" s="42" t="s">
        <v>34</v>
      </c>
      <c r="C24" s="50"/>
      <c r="D24" s="51">
        <f>SUM(D17:D23)</f>
        <v>2171.304503</v>
      </c>
      <c r="E24" s="52">
        <f t="shared" ref="E24:E26" si="2">D24*12</f>
        <v>26055.65403</v>
      </c>
      <c r="F24" s="9"/>
      <c r="G24" s="9"/>
      <c r="H24" s="9"/>
      <c r="I24" s="12"/>
    </row>
    <row r="25">
      <c r="A25" s="4"/>
      <c r="B25" s="46" t="s">
        <v>35</v>
      </c>
      <c r="C25" s="53">
        <v>600.0</v>
      </c>
      <c r="D25" s="47">
        <f>C25*5</f>
        <v>3000</v>
      </c>
      <c r="E25" s="48">
        <f t="shared" si="2"/>
        <v>36000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828.6954972</v>
      </c>
      <c r="E26" s="57">
        <f t="shared" si="2"/>
        <v>9944.345966</v>
      </c>
      <c r="F26" s="9"/>
      <c r="G26" s="9"/>
      <c r="H26" s="9"/>
      <c r="I26" s="12"/>
    </row>
    <row r="27">
      <c r="A27" s="58"/>
      <c r="B27" s="58"/>
      <c r="C27" s="59"/>
      <c r="D27" s="59"/>
      <c r="E27" s="60"/>
      <c r="F27" s="59"/>
      <c r="G27" s="59"/>
      <c r="H27" s="59"/>
      <c r="I27" s="61"/>
    </row>
  </sheetData>
  <hyperlinks>
    <hyperlink r:id="rId1" ref="H3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92</v>
      </c>
      <c r="C3" s="62"/>
      <c r="D3" s="7" t="s">
        <v>2</v>
      </c>
      <c r="E3" s="8" t="s">
        <v>3</v>
      </c>
      <c r="F3" s="9"/>
      <c r="G3" s="65" t="s">
        <v>4</v>
      </c>
      <c r="H3" s="66" t="s">
        <v>93</v>
      </c>
      <c r="I3" s="12"/>
    </row>
    <row r="4">
      <c r="A4" s="4"/>
      <c r="B4" s="31" t="s">
        <v>56</v>
      </c>
      <c r="C4" s="14">
        <v>199000.0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189000.0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39800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4378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159200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1006.252293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54178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C17" s="80"/>
      <c r="D17" s="43">
        <f>C11</f>
        <v>1006.252293</v>
      </c>
      <c r="E17" s="44">
        <f t="shared" ref="E17:E22" si="1">D17*12</f>
        <v>12075.02752</v>
      </c>
      <c r="F17" s="9"/>
      <c r="G17" s="45">
        <f>E26/C13</f>
        <v>0.1290795614</v>
      </c>
      <c r="H17" s="9"/>
      <c r="I17" s="12"/>
    </row>
    <row r="18">
      <c r="A18" s="4"/>
      <c r="B18" s="46" t="s">
        <v>29</v>
      </c>
      <c r="C18" s="81"/>
      <c r="D18" s="47">
        <v>98.0</v>
      </c>
      <c r="E18" s="48">
        <f t="shared" si="1"/>
        <v>1176</v>
      </c>
      <c r="F18" s="9"/>
      <c r="G18" s="9"/>
      <c r="H18" s="9"/>
      <c r="I18" s="12"/>
    </row>
    <row r="19">
      <c r="A19" s="4"/>
      <c r="B19" s="46" t="s">
        <v>30</v>
      </c>
      <c r="C19" s="81"/>
      <c r="D19" s="47">
        <v>80.0</v>
      </c>
      <c r="E19" s="48">
        <f t="shared" si="1"/>
        <v>960</v>
      </c>
      <c r="F19" s="9"/>
      <c r="G19" s="27"/>
      <c r="H19" s="9"/>
      <c r="I19" s="12"/>
    </row>
    <row r="20">
      <c r="A20" s="4"/>
      <c r="B20" s="46" t="s">
        <v>31</v>
      </c>
      <c r="C20" s="81"/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82">
        <v>0.0243</v>
      </c>
      <c r="D22" s="47">
        <f>(C4*C22)/12</f>
        <v>402.975</v>
      </c>
      <c r="E22" s="48">
        <f t="shared" si="1"/>
        <v>4835.7</v>
      </c>
      <c r="F22" s="9"/>
      <c r="G22" s="9"/>
      <c r="H22" s="9"/>
      <c r="I22" s="12"/>
    </row>
    <row r="23">
      <c r="A23" s="4"/>
      <c r="B23" s="19" t="s">
        <v>91</v>
      </c>
      <c r="C23" s="83"/>
      <c r="D23" s="47">
        <v>80.0</v>
      </c>
      <c r="E23" s="22"/>
      <c r="F23" s="9"/>
      <c r="G23" s="9"/>
      <c r="H23" s="9"/>
      <c r="I23" s="12"/>
    </row>
    <row r="24">
      <c r="A24" s="4"/>
      <c r="B24" s="42" t="s">
        <v>34</v>
      </c>
      <c r="C24" s="50"/>
      <c r="D24" s="51">
        <f>SUM(D17:D23)</f>
        <v>1817.227293</v>
      </c>
      <c r="E24" s="52">
        <f t="shared" ref="E24:E26" si="2">D24*12</f>
        <v>21806.72752</v>
      </c>
      <c r="F24" s="9"/>
      <c r="G24" s="9"/>
      <c r="H24" s="9"/>
      <c r="I24" s="12"/>
    </row>
    <row r="25">
      <c r="A25" s="4"/>
      <c r="B25" s="46" t="s">
        <v>35</v>
      </c>
      <c r="C25" s="53">
        <v>600.0</v>
      </c>
      <c r="D25" s="47">
        <f>C25*4</f>
        <v>2400</v>
      </c>
      <c r="E25" s="48">
        <f t="shared" si="2"/>
        <v>28800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582.7727066</v>
      </c>
      <c r="E26" s="57">
        <f t="shared" si="2"/>
        <v>6993.272479</v>
      </c>
      <c r="F26" s="9"/>
      <c r="G26" s="9"/>
      <c r="H26" s="9"/>
      <c r="I26" s="12"/>
    </row>
    <row r="27">
      <c r="A27" s="58"/>
      <c r="B27" s="58"/>
      <c r="C27" s="59"/>
      <c r="D27" s="59"/>
      <c r="E27" s="60"/>
      <c r="F27" s="59"/>
      <c r="G27" s="59"/>
      <c r="H27" s="59"/>
      <c r="I27" s="61"/>
    </row>
  </sheetData>
  <hyperlinks>
    <hyperlink r:id="rId1" ref="H3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94</v>
      </c>
      <c r="C3" s="62"/>
      <c r="D3" s="7" t="s">
        <v>2</v>
      </c>
      <c r="E3" s="8" t="s">
        <v>3</v>
      </c>
      <c r="F3" s="9"/>
      <c r="G3" s="65" t="s">
        <v>4</v>
      </c>
      <c r="H3" s="66" t="s">
        <v>95</v>
      </c>
      <c r="I3" s="12"/>
    </row>
    <row r="4">
      <c r="A4" s="4"/>
      <c r="B4" s="31" t="s">
        <v>56</v>
      </c>
      <c r="C4" s="14">
        <v>299000.0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189000.0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59800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6578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239200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1511.906712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76378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C17" s="80"/>
      <c r="D17" s="43">
        <f>C11</f>
        <v>1511.906712</v>
      </c>
      <c r="E17" s="44">
        <f t="shared" ref="E17:E22" si="1">D17*12</f>
        <v>18142.88055</v>
      </c>
      <c r="F17" s="9"/>
      <c r="G17" s="45">
        <f>E26/C13</f>
        <v>0.07346905462</v>
      </c>
      <c r="H17" s="9"/>
      <c r="I17" s="12"/>
    </row>
    <row r="18">
      <c r="A18" s="4"/>
      <c r="B18" s="46" t="s">
        <v>29</v>
      </c>
      <c r="C18" s="81"/>
      <c r="D18" s="47">
        <v>105.0</v>
      </c>
      <c r="E18" s="48">
        <f t="shared" si="1"/>
        <v>1260</v>
      </c>
      <c r="F18" s="9"/>
      <c r="G18" s="9"/>
      <c r="H18" s="9"/>
      <c r="I18" s="12"/>
    </row>
    <row r="19">
      <c r="A19" s="4"/>
      <c r="B19" s="46" t="s">
        <v>30</v>
      </c>
      <c r="C19" s="81"/>
      <c r="D19" s="47">
        <v>80.0</v>
      </c>
      <c r="E19" s="48">
        <f t="shared" si="1"/>
        <v>960</v>
      </c>
      <c r="F19" s="9"/>
      <c r="G19" s="27"/>
      <c r="H19" s="9"/>
      <c r="I19" s="12"/>
    </row>
    <row r="20">
      <c r="A20" s="4"/>
      <c r="B20" s="46" t="s">
        <v>31</v>
      </c>
      <c r="C20" s="81"/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82">
        <v>0.0243</v>
      </c>
      <c r="D22" s="47">
        <f>(C4*C22)/12</f>
        <v>605.475</v>
      </c>
      <c r="E22" s="48">
        <f t="shared" si="1"/>
        <v>7265.7</v>
      </c>
      <c r="F22" s="9"/>
      <c r="G22" s="9"/>
      <c r="H22" s="9"/>
      <c r="I22" s="12"/>
    </row>
    <row r="23">
      <c r="A23" s="4"/>
      <c r="B23" s="19" t="s">
        <v>91</v>
      </c>
      <c r="C23" s="83"/>
      <c r="D23" s="47">
        <v>80.0</v>
      </c>
      <c r="E23" s="22"/>
      <c r="F23" s="9"/>
      <c r="G23" s="9"/>
      <c r="H23" s="9"/>
      <c r="I23" s="12"/>
    </row>
    <row r="24">
      <c r="A24" s="4"/>
      <c r="B24" s="42" t="s">
        <v>34</v>
      </c>
      <c r="C24" s="50"/>
      <c r="D24" s="51">
        <f>SUM(D17:D23)</f>
        <v>2532.381712</v>
      </c>
      <c r="E24" s="52">
        <f t="shared" ref="E24:E26" si="2">D24*12</f>
        <v>30388.58055</v>
      </c>
      <c r="F24" s="9"/>
      <c r="G24" s="9"/>
      <c r="H24" s="9"/>
      <c r="I24" s="12"/>
    </row>
    <row r="25">
      <c r="A25" s="4"/>
      <c r="B25" s="46" t="s">
        <v>35</v>
      </c>
      <c r="C25" s="53">
        <v>750.0</v>
      </c>
      <c r="D25" s="47">
        <f>C25*4</f>
        <v>3000</v>
      </c>
      <c r="E25" s="48">
        <f t="shared" si="2"/>
        <v>36000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467.6182878</v>
      </c>
      <c r="E26" s="57">
        <f t="shared" si="2"/>
        <v>5611.419454</v>
      </c>
      <c r="F26" s="9"/>
      <c r="G26" s="9"/>
      <c r="H26" s="9"/>
      <c r="I26" s="12"/>
    </row>
    <row r="27">
      <c r="A27" s="58"/>
      <c r="B27" s="58"/>
      <c r="C27" s="59"/>
      <c r="D27" s="59"/>
      <c r="E27" s="60"/>
      <c r="F27" s="59"/>
      <c r="G27" s="59"/>
      <c r="H27" s="59"/>
      <c r="I27" s="61"/>
    </row>
  </sheetData>
  <hyperlinks>
    <hyperlink r:id="rId1" ref="H3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96</v>
      </c>
      <c r="C3" s="62"/>
      <c r="D3" s="7" t="s">
        <v>2</v>
      </c>
      <c r="E3" s="8" t="s">
        <v>3</v>
      </c>
      <c r="F3" s="9"/>
      <c r="G3" s="65" t="s">
        <v>4</v>
      </c>
      <c r="H3" s="84" t="s">
        <v>97</v>
      </c>
      <c r="I3" s="12"/>
    </row>
    <row r="4">
      <c r="A4" s="4"/>
      <c r="B4" s="31" t="s">
        <v>56</v>
      </c>
      <c r="C4" s="14">
        <v>249000.0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189000.0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49800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5478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199200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1259.079503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65278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C17" s="80"/>
      <c r="D17" s="43">
        <f>C11</f>
        <v>1259.079503</v>
      </c>
      <c r="E17" s="44">
        <f t="shared" ref="E17:E26" si="1">D17*12</f>
        <v>15108.95403</v>
      </c>
      <c r="F17" s="9"/>
      <c r="G17" s="45">
        <f>E26/C13</f>
        <v>0.1175946868</v>
      </c>
      <c r="H17" s="9"/>
      <c r="I17" s="12"/>
    </row>
    <row r="18">
      <c r="A18" s="4"/>
      <c r="B18" s="46" t="s">
        <v>29</v>
      </c>
      <c r="C18" s="81"/>
      <c r="D18" s="47">
        <v>87.0</v>
      </c>
      <c r="E18" s="48">
        <f t="shared" si="1"/>
        <v>1044</v>
      </c>
      <c r="F18" s="9"/>
      <c r="G18" s="9"/>
      <c r="H18" s="9"/>
      <c r="I18" s="12"/>
    </row>
    <row r="19">
      <c r="A19" s="4"/>
      <c r="B19" s="46" t="s">
        <v>30</v>
      </c>
      <c r="C19" s="81"/>
      <c r="D19" s="47">
        <v>80.0</v>
      </c>
      <c r="E19" s="48">
        <f t="shared" si="1"/>
        <v>960</v>
      </c>
      <c r="F19" s="9"/>
      <c r="G19" s="27"/>
      <c r="H19" s="9"/>
      <c r="I19" s="12"/>
    </row>
    <row r="20">
      <c r="A20" s="4"/>
      <c r="B20" s="46" t="s">
        <v>31</v>
      </c>
      <c r="C20" s="81"/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82">
        <v>0.0243</v>
      </c>
      <c r="D22" s="47">
        <f>(C4*C22)/12</f>
        <v>504.225</v>
      </c>
      <c r="E22" s="48">
        <f t="shared" si="1"/>
        <v>6050.7</v>
      </c>
      <c r="F22" s="9"/>
      <c r="G22" s="9"/>
      <c r="H22" s="9"/>
      <c r="I22" s="12"/>
    </row>
    <row r="23">
      <c r="A23" s="4"/>
      <c r="B23" s="19" t="s">
        <v>91</v>
      </c>
      <c r="C23" s="83"/>
      <c r="D23" s="47">
        <v>80.0</v>
      </c>
      <c r="E23" s="48">
        <f t="shared" si="1"/>
        <v>960</v>
      </c>
      <c r="F23" s="9"/>
      <c r="G23" s="9"/>
      <c r="H23" s="9"/>
      <c r="I23" s="12"/>
    </row>
    <row r="24">
      <c r="A24" s="4"/>
      <c r="B24" s="42" t="s">
        <v>34</v>
      </c>
      <c r="C24" s="50"/>
      <c r="D24" s="51">
        <f>SUM(D17:D23)</f>
        <v>2160.304503</v>
      </c>
      <c r="E24" s="52">
        <f t="shared" si="1"/>
        <v>25923.65403</v>
      </c>
      <c r="F24" s="9"/>
      <c r="G24" s="9"/>
      <c r="H24" s="9"/>
      <c r="I24" s="12"/>
    </row>
    <row r="25">
      <c r="A25" s="4"/>
      <c r="B25" s="46" t="s">
        <v>35</v>
      </c>
      <c r="C25" s="53">
        <v>700.0</v>
      </c>
      <c r="D25" s="47">
        <f>C25*4</f>
        <v>2800</v>
      </c>
      <c r="E25" s="48">
        <f t="shared" si="1"/>
        <v>33600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639.6954972</v>
      </c>
      <c r="E26" s="57">
        <f t="shared" si="1"/>
        <v>7676.345966</v>
      </c>
      <c r="F26" s="9"/>
      <c r="G26" s="9"/>
      <c r="H26" s="9"/>
      <c r="I26" s="12"/>
    </row>
    <row r="27">
      <c r="A27" s="58"/>
      <c r="B27" s="58"/>
      <c r="C27" s="59"/>
      <c r="D27" s="59"/>
      <c r="E27" s="60"/>
      <c r="F27" s="59"/>
      <c r="G27" s="59"/>
      <c r="H27" s="59"/>
      <c r="I27" s="61"/>
    </row>
  </sheetData>
  <hyperlinks>
    <hyperlink r:id="rId1" ref="H3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98</v>
      </c>
      <c r="C3" s="62"/>
      <c r="D3" s="7" t="s">
        <v>2</v>
      </c>
      <c r="E3" s="8" t="s">
        <v>3</v>
      </c>
      <c r="F3" s="9"/>
      <c r="G3" s="65" t="s">
        <v>4</v>
      </c>
      <c r="H3" s="84" t="s">
        <v>97</v>
      </c>
      <c r="I3" s="12"/>
    </row>
    <row r="4">
      <c r="A4" s="4"/>
      <c r="B4" s="31" t="s">
        <v>56</v>
      </c>
      <c r="C4" s="14">
        <v>299900.0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289000.0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59980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6597.8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239920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1516.457602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76577.8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C17" s="80"/>
      <c r="D17" s="43">
        <f>C11</f>
        <v>1516.457602</v>
      </c>
      <c r="E17" s="44">
        <f t="shared" ref="E17:E26" si="1">D17*12</f>
        <v>18197.49122</v>
      </c>
      <c r="F17" s="9"/>
      <c r="G17" s="45">
        <f>E26/C13</f>
        <v>0.1064399705</v>
      </c>
      <c r="H17" s="9"/>
      <c r="I17" s="12"/>
    </row>
    <row r="18">
      <c r="A18" s="4"/>
      <c r="B18" s="46" t="s">
        <v>29</v>
      </c>
      <c r="C18" s="81"/>
      <c r="D18" s="47">
        <v>87.0</v>
      </c>
      <c r="E18" s="48">
        <f t="shared" si="1"/>
        <v>1044</v>
      </c>
      <c r="F18" s="9"/>
      <c r="G18" s="9"/>
      <c r="H18" s="9"/>
      <c r="I18" s="12"/>
    </row>
    <row r="19">
      <c r="A19" s="4"/>
      <c r="B19" s="46" t="s">
        <v>30</v>
      </c>
      <c r="C19" s="81"/>
      <c r="D19" s="47">
        <v>80.0</v>
      </c>
      <c r="E19" s="48">
        <f t="shared" si="1"/>
        <v>960</v>
      </c>
      <c r="F19" s="9"/>
      <c r="G19" s="27"/>
      <c r="H19" s="9"/>
      <c r="I19" s="12"/>
    </row>
    <row r="20">
      <c r="A20" s="4"/>
      <c r="B20" s="46" t="s">
        <v>31</v>
      </c>
      <c r="C20" s="81"/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82">
        <v>0.0243</v>
      </c>
      <c r="D22" s="47">
        <f>(C4*C22)/12</f>
        <v>607.2975</v>
      </c>
      <c r="E22" s="48">
        <f t="shared" si="1"/>
        <v>7287.57</v>
      </c>
      <c r="F22" s="9"/>
      <c r="G22" s="9"/>
      <c r="H22" s="9"/>
      <c r="I22" s="12"/>
    </row>
    <row r="23">
      <c r="A23" s="4"/>
      <c r="B23" s="19" t="s">
        <v>91</v>
      </c>
      <c r="C23" s="83"/>
      <c r="D23" s="47">
        <v>80.0</v>
      </c>
      <c r="E23" s="48">
        <f t="shared" si="1"/>
        <v>960</v>
      </c>
      <c r="F23" s="9"/>
      <c r="G23" s="9"/>
      <c r="H23" s="9"/>
      <c r="I23" s="12"/>
    </row>
    <row r="24">
      <c r="A24" s="4"/>
      <c r="B24" s="42" t="s">
        <v>34</v>
      </c>
      <c r="C24" s="50"/>
      <c r="D24" s="51">
        <f>SUM(D17:D23)</f>
        <v>2520.755102</v>
      </c>
      <c r="E24" s="52">
        <f t="shared" si="1"/>
        <v>30249.06122</v>
      </c>
      <c r="F24" s="9"/>
      <c r="G24" s="9"/>
      <c r="H24" s="9"/>
      <c r="I24" s="12"/>
    </row>
    <row r="25">
      <c r="A25" s="4"/>
      <c r="B25" s="46" t="s">
        <v>35</v>
      </c>
      <c r="C25" s="53">
        <v>800.0</v>
      </c>
      <c r="D25" s="47">
        <f>C25*4</f>
        <v>3200</v>
      </c>
      <c r="E25" s="48">
        <f t="shared" si="1"/>
        <v>38400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679.244898</v>
      </c>
      <c r="E26" s="57">
        <f t="shared" si="1"/>
        <v>8150.938776</v>
      </c>
      <c r="F26" s="9"/>
      <c r="G26" s="9"/>
      <c r="H26" s="9"/>
      <c r="I26" s="12"/>
    </row>
    <row r="27">
      <c r="A27" s="58"/>
      <c r="B27" s="58"/>
      <c r="C27" s="59"/>
      <c r="D27" s="59"/>
      <c r="E27" s="60"/>
      <c r="F27" s="59"/>
      <c r="G27" s="59"/>
      <c r="H27" s="59"/>
      <c r="I27" s="61"/>
    </row>
  </sheetData>
  <hyperlinks>
    <hyperlink r:id="rId1" ref="H3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9.63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99</v>
      </c>
      <c r="C3" s="62"/>
      <c r="D3" s="7" t="s">
        <v>2</v>
      </c>
      <c r="E3" s="8" t="s">
        <v>3</v>
      </c>
      <c r="F3" s="9"/>
      <c r="G3" s="65" t="s">
        <v>4</v>
      </c>
      <c r="H3" s="85" t="s">
        <v>100</v>
      </c>
      <c r="I3" s="12"/>
    </row>
    <row r="4">
      <c r="A4" s="4"/>
      <c r="B4" s="31" t="s">
        <v>56</v>
      </c>
      <c r="C4" s="14">
        <v>199000.0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189000.0</v>
      </c>
      <c r="D5" s="21"/>
      <c r="E5" s="22"/>
      <c r="F5" s="9"/>
      <c r="G5" s="27" t="s">
        <v>11</v>
      </c>
      <c r="H5" s="9"/>
      <c r="I5" s="12"/>
    </row>
    <row r="6">
      <c r="A6" s="4"/>
      <c r="B6" s="13" t="s">
        <v>9</v>
      </c>
      <c r="C6" s="23">
        <f>IF(E6="",$D$6*$C$4,E6*C4)</f>
        <v>59700</v>
      </c>
      <c r="D6" s="86">
        <v>0.2</v>
      </c>
      <c r="E6" s="87">
        <v>0.3</v>
      </c>
      <c r="F6" s="9"/>
      <c r="G6" s="29" t="s">
        <v>101</v>
      </c>
      <c r="H6" s="29">
        <v>1100.0</v>
      </c>
      <c r="I6" s="12"/>
    </row>
    <row r="7">
      <c r="A7" s="4"/>
      <c r="B7" s="13" t="s">
        <v>10</v>
      </c>
      <c r="C7" s="23">
        <f>IF(E7="",$C$4*$D$7,E7)</f>
        <v>4378</v>
      </c>
      <c r="D7" s="26">
        <v>0.022</v>
      </c>
      <c r="E7" s="25"/>
      <c r="F7" s="9"/>
      <c r="G7" s="88" t="s">
        <v>102</v>
      </c>
      <c r="H7" s="29">
        <v>400.0</v>
      </c>
      <c r="I7" s="12"/>
    </row>
    <row r="8">
      <c r="A8" s="4"/>
      <c r="B8" s="13" t="s">
        <v>12</v>
      </c>
      <c r="C8" s="28">
        <v>0.0775</v>
      </c>
      <c r="D8" s="15"/>
      <c r="E8" s="16"/>
      <c r="F8" s="9"/>
      <c r="G8" s="89" t="s">
        <v>103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90" t="s">
        <v>104</v>
      </c>
      <c r="H9" s="9"/>
      <c r="I9" s="12"/>
    </row>
    <row r="10">
      <c r="A10" s="4"/>
      <c r="B10" s="13" t="s">
        <v>16</v>
      </c>
      <c r="C10" s="23">
        <f>C4-C6</f>
        <v>139300</v>
      </c>
      <c r="D10" s="15"/>
      <c r="E10" s="16"/>
      <c r="F10" s="9"/>
      <c r="G10" s="90" t="s">
        <v>105</v>
      </c>
      <c r="H10" s="29">
        <v>8000.0</v>
      </c>
      <c r="I10" s="12"/>
    </row>
    <row r="11">
      <c r="A11" s="4"/>
      <c r="B11" s="31" t="s">
        <v>18</v>
      </c>
      <c r="C11" s="23">
        <f>-PMT(C8/12,C9*12,C10)</f>
        <v>997.9622581</v>
      </c>
      <c r="D11" s="15"/>
      <c r="E11" s="16"/>
      <c r="F11" s="9"/>
      <c r="G11" s="29" t="s">
        <v>106</v>
      </c>
      <c r="H11" s="29">
        <v>1000.0</v>
      </c>
      <c r="I11" s="12"/>
    </row>
    <row r="12">
      <c r="A12" s="4"/>
      <c r="B12" s="13" t="s">
        <v>20</v>
      </c>
      <c r="C12" s="14">
        <v>15000.0</v>
      </c>
      <c r="D12" s="15"/>
      <c r="E12" s="16"/>
      <c r="F12" s="9"/>
      <c r="G12" s="29" t="s">
        <v>107</v>
      </c>
      <c r="H12" s="29">
        <v>700.0</v>
      </c>
      <c r="I12" s="12"/>
    </row>
    <row r="13">
      <c r="A13" s="4"/>
      <c r="B13" s="13" t="s">
        <v>22</v>
      </c>
      <c r="C13" s="23">
        <f>C12+C7+C6</f>
        <v>79078</v>
      </c>
      <c r="D13" s="15"/>
      <c r="E13" s="16"/>
      <c r="F13" s="9"/>
      <c r="G13" s="29" t="s">
        <v>108</v>
      </c>
      <c r="H13" s="29">
        <v>1400.0</v>
      </c>
      <c r="I13" s="12"/>
    </row>
    <row r="14">
      <c r="A14" s="4"/>
      <c r="B14" s="13"/>
      <c r="C14" s="32"/>
      <c r="D14" s="33"/>
      <c r="E14" s="32"/>
      <c r="F14" s="9"/>
      <c r="G14" s="9"/>
      <c r="H14" s="91">
        <f>SUM(H6:H13)</f>
        <v>12600</v>
      </c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109</v>
      </c>
      <c r="H16" s="92" t="s">
        <v>110</v>
      </c>
      <c r="I16" s="12"/>
    </row>
    <row r="17">
      <c r="A17" s="4"/>
      <c r="B17" s="42" t="s">
        <v>28</v>
      </c>
      <c r="C17" s="80"/>
      <c r="D17" s="43">
        <f>C11</f>
        <v>997.9622581</v>
      </c>
      <c r="E17" s="44">
        <f t="shared" ref="E17:E26" si="1">D17*12</f>
        <v>11975.5471</v>
      </c>
      <c r="F17" s="9"/>
      <c r="G17" s="45">
        <f>E26/C13</f>
        <v>0.1333968095</v>
      </c>
      <c r="H17" s="93">
        <v>0.3</v>
      </c>
      <c r="I17" s="12"/>
    </row>
    <row r="18">
      <c r="A18" s="4"/>
      <c r="B18" s="46" t="s">
        <v>29</v>
      </c>
      <c r="C18" s="81"/>
      <c r="D18" s="47">
        <v>70.0</v>
      </c>
      <c r="E18" s="48">
        <f t="shared" si="1"/>
        <v>840</v>
      </c>
      <c r="F18" s="9"/>
      <c r="G18" s="45">
        <f>E51/C38</f>
        <v>0.1238613161</v>
      </c>
      <c r="H18" s="93">
        <v>0.5</v>
      </c>
      <c r="I18" s="12"/>
    </row>
    <row r="19">
      <c r="A19" s="4"/>
      <c r="B19" s="46" t="s">
        <v>30</v>
      </c>
      <c r="C19" s="81"/>
      <c r="D19" s="47">
        <v>30.0</v>
      </c>
      <c r="E19" s="48">
        <f t="shared" si="1"/>
        <v>360</v>
      </c>
      <c r="F19" s="9"/>
      <c r="G19" s="94">
        <f>E76/C63</f>
        <v>0.1096051291</v>
      </c>
      <c r="H19" s="93">
        <v>0.7</v>
      </c>
      <c r="I19" s="12"/>
    </row>
    <row r="20">
      <c r="A20" s="4"/>
      <c r="B20" s="46" t="s">
        <v>31</v>
      </c>
      <c r="C20" s="81"/>
      <c r="D20" s="47">
        <v>70.0</v>
      </c>
      <c r="E20" s="48">
        <f t="shared" si="1"/>
        <v>840</v>
      </c>
      <c r="F20" s="9"/>
      <c r="G20" s="94">
        <f>E101/C88</f>
        <v>0.1031436317</v>
      </c>
      <c r="H20" s="93">
        <v>1.0</v>
      </c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29"/>
      <c r="H21" s="9"/>
      <c r="I21" s="12"/>
    </row>
    <row r="22">
      <c r="A22" s="4"/>
      <c r="B22" s="46" t="s">
        <v>33</v>
      </c>
      <c r="C22" s="82">
        <v>0.0243</v>
      </c>
      <c r="D22" s="47">
        <f>(C4*C22)/12</f>
        <v>402.975</v>
      </c>
      <c r="E22" s="48">
        <f t="shared" si="1"/>
        <v>4835.7</v>
      </c>
      <c r="F22" s="9"/>
      <c r="G22" s="9"/>
      <c r="H22" s="9"/>
      <c r="I22" s="12"/>
    </row>
    <row r="23">
      <c r="A23" s="4"/>
      <c r="B23" s="19" t="s">
        <v>91</v>
      </c>
      <c r="C23" s="83"/>
      <c r="D23" s="47">
        <v>100.0</v>
      </c>
      <c r="E23" s="48">
        <f t="shared" si="1"/>
        <v>1200</v>
      </c>
      <c r="F23" s="9"/>
      <c r="G23" s="9"/>
      <c r="H23" s="9"/>
      <c r="I23" s="12"/>
    </row>
    <row r="24">
      <c r="A24" s="4"/>
      <c r="B24" s="42" t="s">
        <v>34</v>
      </c>
      <c r="C24" s="50"/>
      <c r="D24" s="51">
        <f>SUM(D17:D23)</f>
        <v>1720.937258</v>
      </c>
      <c r="E24" s="52">
        <f t="shared" si="1"/>
        <v>20651.2471</v>
      </c>
      <c r="F24" s="9"/>
      <c r="G24" s="9"/>
      <c r="H24" s="9"/>
      <c r="I24" s="12"/>
    </row>
    <row r="25">
      <c r="A25" s="4"/>
      <c r="B25" s="46" t="s">
        <v>35</v>
      </c>
      <c r="C25" s="53">
        <v>650.0</v>
      </c>
      <c r="D25" s="47">
        <f>C25*4</f>
        <v>2600</v>
      </c>
      <c r="E25" s="48">
        <f t="shared" si="1"/>
        <v>31200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879.0627419</v>
      </c>
      <c r="E26" s="57">
        <f t="shared" si="1"/>
        <v>10548.7529</v>
      </c>
      <c r="F26" s="9"/>
      <c r="G26" s="9"/>
      <c r="H26" s="9"/>
      <c r="I26" s="12"/>
    </row>
    <row r="27">
      <c r="A27" s="58"/>
      <c r="B27" s="35"/>
      <c r="C27" s="36"/>
      <c r="D27" s="36"/>
      <c r="E27" s="95"/>
      <c r="F27" s="59"/>
      <c r="G27" s="59"/>
      <c r="H27" s="59"/>
      <c r="I27" s="61"/>
    </row>
    <row r="28">
      <c r="A28" s="1"/>
      <c r="B28" s="5" t="s">
        <v>111</v>
      </c>
      <c r="C28" s="62"/>
      <c r="D28" s="7" t="s">
        <v>2</v>
      </c>
      <c r="E28" s="8" t="s">
        <v>3</v>
      </c>
      <c r="F28" s="2"/>
      <c r="G28" s="2"/>
      <c r="H28" s="2"/>
      <c r="I28" s="3"/>
    </row>
    <row r="29">
      <c r="A29" s="4"/>
      <c r="B29" s="31" t="s">
        <v>56</v>
      </c>
      <c r="C29" s="14">
        <v>199000.0</v>
      </c>
      <c r="D29" s="15"/>
      <c r="E29" s="16"/>
      <c r="F29" s="9"/>
      <c r="G29" s="9"/>
      <c r="H29" s="9"/>
      <c r="I29" s="12"/>
    </row>
    <row r="30">
      <c r="A30" s="4"/>
      <c r="B30" s="19" t="s">
        <v>6</v>
      </c>
      <c r="C30" s="76">
        <v>189000.0</v>
      </c>
      <c r="D30" s="21"/>
      <c r="E30" s="22"/>
      <c r="F30" s="9"/>
      <c r="G30" s="9"/>
      <c r="H30" s="9"/>
      <c r="I30" s="12"/>
    </row>
    <row r="31">
      <c r="A31" s="4"/>
      <c r="B31" s="13" t="s">
        <v>9</v>
      </c>
      <c r="C31" s="23">
        <f>IF(E31="",$D$6*$C$4,E31*$C$29)</f>
        <v>79600</v>
      </c>
      <c r="D31" s="26">
        <v>0.2</v>
      </c>
      <c r="E31" s="87">
        <v>0.4</v>
      </c>
      <c r="F31" s="9"/>
      <c r="G31" s="9"/>
      <c r="H31" s="9"/>
      <c r="I31" s="12"/>
    </row>
    <row r="32">
      <c r="A32" s="4"/>
      <c r="B32" s="13" t="s">
        <v>10</v>
      </c>
      <c r="C32" s="23">
        <f>IF(E32="",$C$4*$D$7,E32)</f>
        <v>4378</v>
      </c>
      <c r="D32" s="26">
        <v>0.022</v>
      </c>
      <c r="E32" s="25"/>
      <c r="F32" s="9"/>
      <c r="G32" s="9"/>
      <c r="H32" s="9"/>
      <c r="I32" s="12"/>
    </row>
    <row r="33">
      <c r="A33" s="4"/>
      <c r="B33" s="13" t="s">
        <v>12</v>
      </c>
      <c r="C33" s="28">
        <v>0.0775</v>
      </c>
      <c r="D33" s="15"/>
      <c r="E33" s="16"/>
      <c r="F33" s="9"/>
      <c r="G33" s="9"/>
      <c r="H33" s="9"/>
      <c r="I33" s="12"/>
    </row>
    <row r="34">
      <c r="A34" s="4"/>
      <c r="B34" s="13" t="s">
        <v>14</v>
      </c>
      <c r="C34" s="30">
        <v>30.0</v>
      </c>
      <c r="D34" s="15"/>
      <c r="E34" s="16"/>
      <c r="F34" s="9"/>
      <c r="G34" s="9"/>
      <c r="H34" s="9"/>
      <c r="I34" s="12"/>
    </row>
    <row r="35">
      <c r="A35" s="4"/>
      <c r="B35" s="13" t="s">
        <v>16</v>
      </c>
      <c r="C35" s="23">
        <f>C29-C31</f>
        <v>119400</v>
      </c>
      <c r="D35" s="15"/>
      <c r="E35" s="16"/>
      <c r="F35" s="9"/>
      <c r="G35" s="9"/>
      <c r="H35" s="9"/>
      <c r="I35" s="12"/>
    </row>
    <row r="36">
      <c r="A36" s="4"/>
      <c r="B36" s="31" t="s">
        <v>18</v>
      </c>
      <c r="C36" s="23">
        <f>-PMT(C33/12,C34*12,C35)</f>
        <v>855.3962212</v>
      </c>
      <c r="D36" s="15"/>
      <c r="E36" s="16"/>
      <c r="F36" s="9"/>
      <c r="G36" s="9"/>
      <c r="H36" s="9"/>
      <c r="I36" s="12"/>
    </row>
    <row r="37">
      <c r="A37" s="4"/>
      <c r="B37" s="13" t="s">
        <v>20</v>
      </c>
      <c r="C37" s="14">
        <v>15000.0</v>
      </c>
      <c r="D37" s="15"/>
      <c r="E37" s="16"/>
      <c r="F37" s="9"/>
      <c r="G37" s="9"/>
      <c r="H37" s="9"/>
      <c r="I37" s="12"/>
    </row>
    <row r="38">
      <c r="A38" s="4"/>
      <c r="B38" s="13" t="s">
        <v>22</v>
      </c>
      <c r="C38" s="23">
        <f>C37+C32+C31</f>
        <v>98978</v>
      </c>
      <c r="D38" s="15"/>
      <c r="E38" s="16"/>
      <c r="F38" s="9"/>
      <c r="G38" s="9"/>
      <c r="H38" s="9"/>
      <c r="I38" s="12"/>
    </row>
    <row r="39">
      <c r="A39" s="4"/>
      <c r="B39" s="13"/>
      <c r="C39" s="32"/>
      <c r="D39" s="33"/>
      <c r="E39" s="32"/>
      <c r="F39" s="9"/>
      <c r="G39" s="9"/>
      <c r="H39" s="9"/>
      <c r="I39" s="12"/>
    </row>
    <row r="40">
      <c r="A40" s="4"/>
      <c r="B40" s="34"/>
      <c r="C40" s="35"/>
      <c r="D40" s="36"/>
      <c r="E40" s="37"/>
      <c r="F40" s="9"/>
      <c r="G40" s="9"/>
      <c r="H40" s="9"/>
      <c r="I40" s="12"/>
    </row>
    <row r="41">
      <c r="A41" s="4"/>
      <c r="B41" s="38" t="s">
        <v>24</v>
      </c>
      <c r="C41" s="39"/>
      <c r="D41" s="40" t="s">
        <v>25</v>
      </c>
      <c r="E41" s="40" t="s">
        <v>26</v>
      </c>
      <c r="F41" s="9"/>
      <c r="G41" s="9"/>
      <c r="H41" s="9"/>
      <c r="I41" s="12"/>
    </row>
    <row r="42">
      <c r="A42" s="4"/>
      <c r="B42" s="42" t="s">
        <v>28</v>
      </c>
      <c r="C42" s="80"/>
      <c r="D42" s="43">
        <f>C36</f>
        <v>855.3962212</v>
      </c>
      <c r="E42" s="44">
        <f t="shared" ref="E42:E51" si="2">D42*12</f>
        <v>10264.75465</v>
      </c>
      <c r="F42" s="9"/>
      <c r="G42" s="9"/>
      <c r="H42" s="9"/>
      <c r="I42" s="12"/>
    </row>
    <row r="43">
      <c r="A43" s="4"/>
      <c r="B43" s="46" t="s">
        <v>29</v>
      </c>
      <c r="C43" s="81"/>
      <c r="D43" s="47">
        <v>70.0</v>
      </c>
      <c r="E43" s="48">
        <f t="shared" si="2"/>
        <v>840</v>
      </c>
      <c r="F43" s="9"/>
      <c r="G43" s="9"/>
      <c r="H43" s="9"/>
      <c r="I43" s="12"/>
    </row>
    <row r="44">
      <c r="A44" s="4"/>
      <c r="B44" s="46" t="s">
        <v>30</v>
      </c>
      <c r="C44" s="81"/>
      <c r="D44" s="47">
        <v>30.0</v>
      </c>
      <c r="E44" s="48">
        <f t="shared" si="2"/>
        <v>360</v>
      </c>
      <c r="F44" s="9"/>
      <c r="G44" s="9"/>
      <c r="H44" s="9"/>
      <c r="I44" s="12"/>
    </row>
    <row r="45">
      <c r="A45" s="4"/>
      <c r="B45" s="46" t="s">
        <v>31</v>
      </c>
      <c r="C45" s="81"/>
      <c r="D45" s="47">
        <v>70.0</v>
      </c>
      <c r="E45" s="48">
        <f t="shared" si="2"/>
        <v>840</v>
      </c>
      <c r="F45" s="9"/>
      <c r="G45" s="9"/>
      <c r="H45" s="9"/>
      <c r="I45" s="12"/>
    </row>
    <row r="46">
      <c r="A46" s="4"/>
      <c r="B46" s="46" t="s">
        <v>32</v>
      </c>
      <c r="C46" s="81"/>
      <c r="D46" s="47">
        <v>50.0</v>
      </c>
      <c r="E46" s="48">
        <f t="shared" si="2"/>
        <v>600</v>
      </c>
      <c r="F46" s="9"/>
      <c r="G46" s="9"/>
      <c r="H46" s="9"/>
      <c r="I46" s="12"/>
    </row>
    <row r="47">
      <c r="A47" s="4"/>
      <c r="B47" s="46" t="s">
        <v>33</v>
      </c>
      <c r="C47" s="82">
        <v>0.0243</v>
      </c>
      <c r="D47" s="47">
        <f>(C29*C47)/12</f>
        <v>402.975</v>
      </c>
      <c r="E47" s="48">
        <f t="shared" si="2"/>
        <v>4835.7</v>
      </c>
      <c r="F47" s="9"/>
      <c r="G47" s="9"/>
      <c r="H47" s="9"/>
      <c r="I47" s="12"/>
    </row>
    <row r="48">
      <c r="A48" s="4"/>
      <c r="B48" s="19" t="s">
        <v>91</v>
      </c>
      <c r="C48" s="83"/>
      <c r="D48" s="47">
        <v>100.0</v>
      </c>
      <c r="E48" s="48">
        <f t="shared" si="2"/>
        <v>1200</v>
      </c>
      <c r="F48" s="9"/>
      <c r="G48" s="9"/>
      <c r="H48" s="9"/>
      <c r="I48" s="12"/>
    </row>
    <row r="49">
      <c r="A49" s="4"/>
      <c r="B49" s="42" t="s">
        <v>34</v>
      </c>
      <c r="C49" s="50"/>
      <c r="D49" s="51">
        <f>SUM(D42:D48)</f>
        <v>1578.371221</v>
      </c>
      <c r="E49" s="52">
        <f t="shared" si="2"/>
        <v>18940.45465</v>
      </c>
      <c r="F49" s="9"/>
      <c r="G49" s="9"/>
      <c r="H49" s="9"/>
      <c r="I49" s="12"/>
    </row>
    <row r="50">
      <c r="A50" s="4"/>
      <c r="B50" s="46" t="s">
        <v>35</v>
      </c>
      <c r="C50" s="53">
        <v>650.0</v>
      </c>
      <c r="D50" s="47">
        <f>C50*4</f>
        <v>2600</v>
      </c>
      <c r="E50" s="48">
        <f t="shared" si="2"/>
        <v>31200</v>
      </c>
      <c r="F50" s="9"/>
      <c r="G50" s="9"/>
      <c r="H50" s="9"/>
      <c r="I50" s="12"/>
    </row>
    <row r="51">
      <c r="A51" s="4"/>
      <c r="B51" s="54" t="s">
        <v>36</v>
      </c>
      <c r="C51" s="55"/>
      <c r="D51" s="56">
        <f>(D50-D49)</f>
        <v>1021.628779</v>
      </c>
      <c r="E51" s="57">
        <f t="shared" si="2"/>
        <v>12259.54535</v>
      </c>
      <c r="F51" s="9"/>
      <c r="G51" s="9"/>
      <c r="H51" s="9"/>
      <c r="I51" s="12"/>
    </row>
    <row r="52">
      <c r="A52" s="4"/>
      <c r="B52" s="35"/>
      <c r="C52" s="36"/>
      <c r="D52" s="36"/>
      <c r="E52" s="37"/>
      <c r="F52" s="9"/>
      <c r="G52" s="9"/>
      <c r="H52" s="9"/>
      <c r="I52" s="12"/>
    </row>
    <row r="53">
      <c r="A53" s="1"/>
      <c r="B53" s="5" t="s">
        <v>112</v>
      </c>
      <c r="C53" s="62"/>
      <c r="D53" s="7" t="s">
        <v>2</v>
      </c>
      <c r="E53" s="8" t="s">
        <v>3</v>
      </c>
      <c r="F53" s="2"/>
      <c r="G53" s="2"/>
      <c r="H53" s="2"/>
      <c r="I53" s="3"/>
    </row>
    <row r="54">
      <c r="A54" s="4"/>
      <c r="B54" s="31" t="s">
        <v>56</v>
      </c>
      <c r="C54" s="14">
        <v>199000.0</v>
      </c>
      <c r="D54" s="15"/>
      <c r="E54" s="16"/>
      <c r="F54" s="9"/>
      <c r="G54" s="9"/>
      <c r="H54" s="9"/>
      <c r="I54" s="12"/>
    </row>
    <row r="55">
      <c r="A55" s="4"/>
      <c r="B55" s="19" t="s">
        <v>6</v>
      </c>
      <c r="C55" s="76">
        <v>189000.0</v>
      </c>
      <c r="D55" s="21"/>
      <c r="E55" s="22"/>
      <c r="F55" s="9"/>
      <c r="G55" s="9"/>
      <c r="H55" s="9"/>
      <c r="I55" s="12"/>
    </row>
    <row r="56">
      <c r="A56" s="4"/>
      <c r="B56" s="13" t="s">
        <v>9</v>
      </c>
      <c r="C56" s="23">
        <f>IF(E56="",$D$6*$C$4,E56*$C$29)</f>
        <v>139300</v>
      </c>
      <c r="D56" s="26">
        <v>0.2</v>
      </c>
      <c r="E56" s="87">
        <v>0.7</v>
      </c>
      <c r="F56" s="9"/>
      <c r="G56" s="9"/>
      <c r="H56" s="9"/>
      <c r="I56" s="12"/>
    </row>
    <row r="57">
      <c r="A57" s="4"/>
      <c r="B57" s="13" t="s">
        <v>10</v>
      </c>
      <c r="C57" s="23">
        <f>IF(E57="",$C$4*$D$7,E57)</f>
        <v>4378</v>
      </c>
      <c r="D57" s="26">
        <v>0.022</v>
      </c>
      <c r="E57" s="25"/>
      <c r="F57" s="9"/>
      <c r="G57" s="9"/>
      <c r="H57" s="9"/>
      <c r="I57" s="12"/>
    </row>
    <row r="58">
      <c r="A58" s="4"/>
      <c r="B58" s="13" t="s">
        <v>12</v>
      </c>
      <c r="C58" s="28">
        <v>0.0775</v>
      </c>
      <c r="D58" s="15"/>
      <c r="E58" s="16"/>
      <c r="F58" s="9"/>
      <c r="G58" s="9"/>
      <c r="H58" s="9"/>
      <c r="I58" s="12"/>
    </row>
    <row r="59">
      <c r="A59" s="4"/>
      <c r="B59" s="13" t="s">
        <v>14</v>
      </c>
      <c r="C59" s="30">
        <v>30.0</v>
      </c>
      <c r="D59" s="15"/>
      <c r="E59" s="16"/>
      <c r="F59" s="9"/>
      <c r="G59" s="9"/>
      <c r="H59" s="9"/>
      <c r="I59" s="12"/>
    </row>
    <row r="60">
      <c r="A60" s="4"/>
      <c r="B60" s="13" t="s">
        <v>16</v>
      </c>
      <c r="C60" s="23">
        <f>C54-C56</f>
        <v>59700</v>
      </c>
      <c r="D60" s="15"/>
      <c r="E60" s="16"/>
      <c r="F60" s="9"/>
      <c r="G60" s="9"/>
      <c r="H60" s="9"/>
      <c r="I60" s="12"/>
    </row>
    <row r="61">
      <c r="A61" s="4"/>
      <c r="B61" s="31" t="s">
        <v>18</v>
      </c>
      <c r="C61" s="23">
        <f>-PMT(C58/12,C59*12,C60)</f>
        <v>427.6981106</v>
      </c>
      <c r="D61" s="15"/>
      <c r="E61" s="16"/>
      <c r="F61" s="9"/>
      <c r="G61" s="9"/>
      <c r="H61" s="9"/>
      <c r="I61" s="12"/>
    </row>
    <row r="62">
      <c r="A62" s="4"/>
      <c r="B62" s="13" t="s">
        <v>20</v>
      </c>
      <c r="C62" s="14">
        <v>15000.0</v>
      </c>
      <c r="D62" s="15"/>
      <c r="E62" s="16"/>
      <c r="F62" s="9"/>
      <c r="G62" s="9"/>
      <c r="H62" s="9"/>
      <c r="I62" s="12"/>
    </row>
    <row r="63">
      <c r="A63" s="4"/>
      <c r="B63" s="13" t="s">
        <v>22</v>
      </c>
      <c r="C63" s="23">
        <f>C62+C57+C56</f>
        <v>158678</v>
      </c>
      <c r="D63" s="15"/>
      <c r="E63" s="16"/>
      <c r="F63" s="9"/>
      <c r="G63" s="9"/>
      <c r="H63" s="9"/>
      <c r="I63" s="12"/>
    </row>
    <row r="64">
      <c r="A64" s="4"/>
      <c r="B64" s="13"/>
      <c r="C64" s="32"/>
      <c r="D64" s="33"/>
      <c r="E64" s="32"/>
      <c r="F64" s="9"/>
      <c r="G64" s="9"/>
      <c r="H64" s="9"/>
      <c r="I64" s="12"/>
    </row>
    <row r="65">
      <c r="A65" s="4"/>
      <c r="B65" s="34"/>
      <c r="C65" s="35"/>
      <c r="D65" s="36"/>
      <c r="E65" s="37"/>
      <c r="F65" s="9"/>
      <c r="G65" s="9"/>
      <c r="H65" s="9"/>
      <c r="I65" s="12"/>
    </row>
    <row r="66">
      <c r="A66" s="4"/>
      <c r="B66" s="38" t="s">
        <v>24</v>
      </c>
      <c r="C66" s="39"/>
      <c r="D66" s="40" t="s">
        <v>25</v>
      </c>
      <c r="E66" s="40" t="s">
        <v>26</v>
      </c>
      <c r="F66" s="9"/>
      <c r="G66" s="9"/>
      <c r="H66" s="9"/>
      <c r="I66" s="12"/>
    </row>
    <row r="67">
      <c r="A67" s="4"/>
      <c r="B67" s="42" t="s">
        <v>28</v>
      </c>
      <c r="C67" s="80"/>
      <c r="D67" s="43">
        <f>C61</f>
        <v>427.6981106</v>
      </c>
      <c r="E67" s="44">
        <f t="shared" ref="E67:E76" si="3">D67*12</f>
        <v>5132.377327</v>
      </c>
      <c r="F67" s="9"/>
      <c r="G67" s="9"/>
      <c r="H67" s="9"/>
      <c r="I67" s="12"/>
    </row>
    <row r="68">
      <c r="A68" s="4"/>
      <c r="B68" s="46" t="s">
        <v>29</v>
      </c>
      <c r="C68" s="81"/>
      <c r="D68" s="47">
        <v>70.0</v>
      </c>
      <c r="E68" s="48">
        <f t="shared" si="3"/>
        <v>840</v>
      </c>
      <c r="F68" s="9"/>
      <c r="G68" s="9"/>
      <c r="H68" s="9"/>
      <c r="I68" s="12"/>
    </row>
    <row r="69">
      <c r="A69" s="4"/>
      <c r="B69" s="46" t="s">
        <v>30</v>
      </c>
      <c r="C69" s="81"/>
      <c r="D69" s="47">
        <v>30.0</v>
      </c>
      <c r="E69" s="48">
        <f t="shared" si="3"/>
        <v>360</v>
      </c>
      <c r="F69" s="9"/>
      <c r="G69" s="9"/>
      <c r="H69" s="9"/>
      <c r="I69" s="12"/>
    </row>
    <row r="70">
      <c r="A70" s="4"/>
      <c r="B70" s="46" t="s">
        <v>31</v>
      </c>
      <c r="C70" s="81"/>
      <c r="D70" s="47">
        <v>70.0</v>
      </c>
      <c r="E70" s="48">
        <f t="shared" si="3"/>
        <v>840</v>
      </c>
      <c r="F70" s="9"/>
      <c r="G70" s="9"/>
      <c r="H70" s="9"/>
      <c r="I70" s="12"/>
    </row>
    <row r="71">
      <c r="A71" s="4"/>
      <c r="B71" s="46" t="s">
        <v>32</v>
      </c>
      <c r="C71" s="81"/>
      <c r="D71" s="47">
        <v>50.0</v>
      </c>
      <c r="E71" s="48">
        <f t="shared" si="3"/>
        <v>600</v>
      </c>
      <c r="F71" s="9"/>
      <c r="G71" s="9"/>
      <c r="H71" s="9"/>
      <c r="I71" s="12"/>
    </row>
    <row r="72">
      <c r="A72" s="4"/>
      <c r="B72" s="46" t="s">
        <v>33</v>
      </c>
      <c r="C72" s="82">
        <v>0.0243</v>
      </c>
      <c r="D72" s="47">
        <f>(C54*C72)/12</f>
        <v>402.975</v>
      </c>
      <c r="E72" s="48">
        <f t="shared" si="3"/>
        <v>4835.7</v>
      </c>
      <c r="F72" s="9"/>
      <c r="G72" s="9"/>
      <c r="H72" s="9"/>
      <c r="I72" s="12"/>
    </row>
    <row r="73">
      <c r="A73" s="4"/>
      <c r="B73" s="19" t="s">
        <v>91</v>
      </c>
      <c r="C73" s="83"/>
      <c r="D73" s="47">
        <v>100.0</v>
      </c>
      <c r="E73" s="48">
        <f t="shared" si="3"/>
        <v>1200</v>
      </c>
      <c r="F73" s="9"/>
      <c r="G73" s="9"/>
      <c r="H73" s="9"/>
      <c r="I73" s="12"/>
    </row>
    <row r="74">
      <c r="A74" s="4"/>
      <c r="B74" s="42" t="s">
        <v>34</v>
      </c>
      <c r="C74" s="50"/>
      <c r="D74" s="51">
        <f>SUM(D67:D73)</f>
        <v>1150.673111</v>
      </c>
      <c r="E74" s="52">
        <f t="shared" si="3"/>
        <v>13808.07733</v>
      </c>
      <c r="F74" s="9"/>
      <c r="G74" s="9"/>
      <c r="H74" s="9"/>
      <c r="I74" s="12"/>
    </row>
    <row r="75">
      <c r="A75" s="4"/>
      <c r="B75" s="46" t="s">
        <v>35</v>
      </c>
      <c r="C75" s="53">
        <v>650.0</v>
      </c>
      <c r="D75" s="47">
        <f>C75*4</f>
        <v>2600</v>
      </c>
      <c r="E75" s="48">
        <f t="shared" si="3"/>
        <v>31200</v>
      </c>
      <c r="F75" s="9"/>
      <c r="G75" s="9"/>
      <c r="H75" s="9"/>
      <c r="I75" s="12"/>
    </row>
    <row r="76">
      <c r="A76" s="58"/>
      <c r="B76" s="54" t="s">
        <v>36</v>
      </c>
      <c r="C76" s="55"/>
      <c r="D76" s="56">
        <f>(D75-D74)</f>
        <v>1449.326889</v>
      </c>
      <c r="E76" s="57">
        <f t="shared" si="3"/>
        <v>17391.92267</v>
      </c>
      <c r="F76" s="59"/>
      <c r="G76" s="59"/>
      <c r="H76" s="59"/>
      <c r="I76" s="61"/>
    </row>
    <row r="77">
      <c r="A77" s="4"/>
      <c r="B77" s="9"/>
      <c r="C77" s="9"/>
      <c r="D77" s="9"/>
      <c r="E77" s="9"/>
      <c r="F77" s="9"/>
      <c r="G77" s="9"/>
      <c r="H77" s="9"/>
      <c r="I77" s="12"/>
    </row>
    <row r="78">
      <c r="A78" s="1"/>
      <c r="B78" s="5" t="s">
        <v>113</v>
      </c>
      <c r="C78" s="62"/>
      <c r="D78" s="7" t="s">
        <v>2</v>
      </c>
      <c r="E78" s="8" t="s">
        <v>3</v>
      </c>
      <c r="F78" s="2"/>
      <c r="G78" s="2"/>
      <c r="H78" s="2"/>
      <c r="I78" s="3"/>
    </row>
    <row r="79">
      <c r="A79" s="4"/>
      <c r="B79" s="31" t="s">
        <v>56</v>
      </c>
      <c r="C79" s="14">
        <v>199000.0</v>
      </c>
      <c r="D79" s="15"/>
      <c r="E79" s="16"/>
      <c r="F79" s="9"/>
      <c r="G79" s="9"/>
      <c r="H79" s="9"/>
      <c r="I79" s="12"/>
    </row>
    <row r="80">
      <c r="A80" s="4"/>
      <c r="B80" s="19" t="s">
        <v>6</v>
      </c>
      <c r="C80" s="76">
        <v>185000.0</v>
      </c>
      <c r="D80" s="21"/>
      <c r="E80" s="22"/>
      <c r="F80" s="9"/>
      <c r="G80" s="9"/>
      <c r="H80" s="9"/>
      <c r="I80" s="12"/>
    </row>
    <row r="81">
      <c r="A81" s="4"/>
      <c r="B81" s="13" t="s">
        <v>9</v>
      </c>
      <c r="C81" s="23">
        <f>IF(E81="",$D$6*$C$4,E81*$C$29)</f>
        <v>199000</v>
      </c>
      <c r="D81" s="26">
        <v>0.2</v>
      </c>
      <c r="E81" s="87">
        <v>1.0</v>
      </c>
      <c r="F81" s="9"/>
      <c r="G81" s="9"/>
      <c r="H81" s="9"/>
      <c r="I81" s="12"/>
    </row>
    <row r="82">
      <c r="A82" s="4"/>
      <c r="B82" s="13" t="s">
        <v>10</v>
      </c>
      <c r="C82" s="23">
        <f>IF(E82="",$C$4*$D$7,E82)</f>
        <v>4378</v>
      </c>
      <c r="D82" s="26">
        <v>0.022</v>
      </c>
      <c r="E82" s="25"/>
      <c r="F82" s="9"/>
      <c r="G82" s="9"/>
      <c r="H82" s="9"/>
      <c r="I82" s="12"/>
    </row>
    <row r="83">
      <c r="A83" s="4"/>
      <c r="B83" s="13" t="s">
        <v>12</v>
      </c>
      <c r="C83" s="28">
        <v>0.0775</v>
      </c>
      <c r="D83" s="15"/>
      <c r="E83" s="16"/>
      <c r="F83" s="9"/>
      <c r="G83" s="9"/>
      <c r="H83" s="9"/>
      <c r="I83" s="12"/>
    </row>
    <row r="84">
      <c r="A84" s="4"/>
      <c r="B84" s="13" t="s">
        <v>14</v>
      </c>
      <c r="C84" s="30">
        <v>30.0</v>
      </c>
      <c r="D84" s="15"/>
      <c r="E84" s="16"/>
      <c r="F84" s="9"/>
      <c r="G84" s="9"/>
      <c r="H84" s="9"/>
      <c r="I84" s="12"/>
    </row>
    <row r="85">
      <c r="A85" s="4"/>
      <c r="B85" s="13" t="s">
        <v>16</v>
      </c>
      <c r="C85" s="23">
        <f>C79-C81</f>
        <v>0</v>
      </c>
      <c r="D85" s="15"/>
      <c r="E85" s="16"/>
      <c r="F85" s="9"/>
      <c r="G85" s="9"/>
      <c r="H85" s="9"/>
      <c r="I85" s="12"/>
    </row>
    <row r="86">
      <c r="A86" s="4"/>
      <c r="B86" s="31" t="s">
        <v>18</v>
      </c>
      <c r="C86" s="23">
        <f>-PMT(C83/12,C84*12,C85)</f>
        <v>0</v>
      </c>
      <c r="D86" s="15"/>
      <c r="E86" s="16"/>
      <c r="F86" s="9"/>
      <c r="G86" s="9"/>
      <c r="H86" s="9"/>
      <c r="I86" s="12"/>
    </row>
    <row r="87">
      <c r="A87" s="4"/>
      <c r="B87" s="13" t="s">
        <v>20</v>
      </c>
      <c r="C87" s="14">
        <v>15000.0</v>
      </c>
      <c r="D87" s="15"/>
      <c r="E87" s="16"/>
      <c r="F87" s="9"/>
      <c r="G87" s="9"/>
      <c r="H87" s="9"/>
      <c r="I87" s="12"/>
    </row>
    <row r="88">
      <c r="A88" s="4"/>
      <c r="B88" s="13" t="s">
        <v>22</v>
      </c>
      <c r="C88" s="23">
        <f>C87+C82+C81</f>
        <v>218378</v>
      </c>
      <c r="D88" s="15"/>
      <c r="E88" s="16"/>
      <c r="F88" s="9"/>
      <c r="G88" s="9"/>
      <c r="H88" s="9"/>
      <c r="I88" s="12"/>
    </row>
    <row r="89">
      <c r="A89" s="4"/>
      <c r="B89" s="13"/>
      <c r="C89" s="32"/>
      <c r="D89" s="33"/>
      <c r="E89" s="32"/>
      <c r="F89" s="9"/>
      <c r="G89" s="9"/>
      <c r="H89" s="9"/>
      <c r="I89" s="12"/>
    </row>
    <row r="90">
      <c r="A90" s="4"/>
      <c r="B90" s="34"/>
      <c r="C90" s="35"/>
      <c r="D90" s="36"/>
      <c r="E90" s="37"/>
      <c r="F90" s="9"/>
      <c r="G90" s="9"/>
      <c r="H90" s="9"/>
      <c r="I90" s="12"/>
    </row>
    <row r="91">
      <c r="A91" s="4"/>
      <c r="B91" s="38" t="s">
        <v>24</v>
      </c>
      <c r="C91" s="39"/>
      <c r="D91" s="40" t="s">
        <v>25</v>
      </c>
      <c r="E91" s="40" t="s">
        <v>26</v>
      </c>
      <c r="F91" s="9"/>
      <c r="G91" s="9"/>
      <c r="H91" s="9"/>
      <c r="I91" s="12"/>
    </row>
    <row r="92">
      <c r="A92" s="4"/>
      <c r="B92" s="42" t="s">
        <v>28</v>
      </c>
      <c r="C92" s="80"/>
      <c r="D92" s="43">
        <f>C86</f>
        <v>0</v>
      </c>
      <c r="E92" s="44">
        <f t="shared" ref="E92:E101" si="4">D92*12</f>
        <v>0</v>
      </c>
      <c r="F92" s="9"/>
      <c r="G92" s="9"/>
      <c r="H92" s="9"/>
      <c r="I92" s="12"/>
    </row>
    <row r="93">
      <c r="A93" s="4"/>
      <c r="B93" s="46" t="s">
        <v>29</v>
      </c>
      <c r="C93" s="81"/>
      <c r="D93" s="47">
        <v>70.0</v>
      </c>
      <c r="E93" s="48">
        <f t="shared" si="4"/>
        <v>840</v>
      </c>
      <c r="F93" s="9"/>
      <c r="G93" s="9"/>
      <c r="H93" s="9"/>
      <c r="I93" s="12"/>
    </row>
    <row r="94">
      <c r="A94" s="4"/>
      <c r="B94" s="46" t="s">
        <v>30</v>
      </c>
      <c r="C94" s="81"/>
      <c r="D94" s="47">
        <v>30.0</v>
      </c>
      <c r="E94" s="48">
        <f t="shared" si="4"/>
        <v>360</v>
      </c>
      <c r="F94" s="9"/>
      <c r="G94" s="9"/>
      <c r="H94" s="9"/>
      <c r="I94" s="12"/>
    </row>
    <row r="95">
      <c r="A95" s="4"/>
      <c r="B95" s="46" t="s">
        <v>31</v>
      </c>
      <c r="C95" s="81"/>
      <c r="D95" s="47">
        <v>70.0</v>
      </c>
      <c r="E95" s="48">
        <f t="shared" si="4"/>
        <v>840</v>
      </c>
      <c r="F95" s="9"/>
      <c r="G95" s="9"/>
      <c r="H95" s="9"/>
      <c r="I95" s="12"/>
    </row>
    <row r="96">
      <c r="A96" s="4"/>
      <c r="B96" s="46" t="s">
        <v>32</v>
      </c>
      <c r="C96" s="81"/>
      <c r="D96" s="47">
        <v>50.0</v>
      </c>
      <c r="E96" s="48">
        <f t="shared" si="4"/>
        <v>600</v>
      </c>
      <c r="F96" s="9"/>
      <c r="G96" s="9"/>
      <c r="H96" s="9"/>
      <c r="I96" s="12"/>
    </row>
    <row r="97">
      <c r="A97" s="4"/>
      <c r="B97" s="46" t="s">
        <v>33</v>
      </c>
      <c r="C97" s="82">
        <v>0.0243</v>
      </c>
      <c r="D97" s="47">
        <f>(C79*C97)/12</f>
        <v>402.975</v>
      </c>
      <c r="E97" s="48">
        <f t="shared" si="4"/>
        <v>4835.7</v>
      </c>
      <c r="F97" s="9"/>
      <c r="G97" s="9"/>
      <c r="H97" s="9"/>
      <c r="I97" s="12"/>
    </row>
    <row r="98">
      <c r="A98" s="4"/>
      <c r="B98" s="19" t="s">
        <v>91</v>
      </c>
      <c r="C98" s="83"/>
      <c r="D98" s="47">
        <v>100.0</v>
      </c>
      <c r="E98" s="48">
        <f t="shared" si="4"/>
        <v>1200</v>
      </c>
      <c r="F98" s="9"/>
      <c r="G98" s="9"/>
      <c r="H98" s="9"/>
      <c r="I98" s="12"/>
    </row>
    <row r="99">
      <c r="A99" s="4"/>
      <c r="B99" s="42" t="s">
        <v>34</v>
      </c>
      <c r="C99" s="50"/>
      <c r="D99" s="51">
        <f>SUM(D92:D98)</f>
        <v>722.975</v>
      </c>
      <c r="E99" s="52">
        <f t="shared" si="4"/>
        <v>8675.7</v>
      </c>
      <c r="F99" s="9"/>
      <c r="G99" s="9"/>
      <c r="H99" s="9"/>
      <c r="I99" s="12"/>
    </row>
    <row r="100">
      <c r="A100" s="4"/>
      <c r="B100" s="46" t="s">
        <v>35</v>
      </c>
      <c r="C100" s="53">
        <v>650.0</v>
      </c>
      <c r="D100" s="47">
        <f>C100*4</f>
        <v>2600</v>
      </c>
      <c r="E100" s="48">
        <f t="shared" si="4"/>
        <v>31200</v>
      </c>
      <c r="F100" s="9"/>
      <c r="G100" s="9"/>
      <c r="H100" s="9"/>
      <c r="I100" s="12"/>
    </row>
    <row r="101">
      <c r="A101" s="58"/>
      <c r="B101" s="54" t="s">
        <v>36</v>
      </c>
      <c r="C101" s="55"/>
      <c r="D101" s="56">
        <f>(D100-D99)</f>
        <v>1877.025</v>
      </c>
      <c r="E101" s="57">
        <f t="shared" si="4"/>
        <v>22524.3</v>
      </c>
      <c r="F101" s="59"/>
      <c r="G101" s="59"/>
      <c r="H101" s="59"/>
      <c r="I101" s="61"/>
    </row>
    <row r="102">
      <c r="A102" s="58"/>
      <c r="B102" s="59"/>
      <c r="C102" s="59"/>
      <c r="D102" s="59"/>
      <c r="E102" s="59"/>
      <c r="F102" s="59"/>
      <c r="G102" s="59"/>
      <c r="H102" s="59"/>
      <c r="I102" s="61"/>
    </row>
    <row r="103">
      <c r="B103" s="5" t="s">
        <v>113</v>
      </c>
      <c r="C103" s="62"/>
      <c r="D103" s="7" t="s">
        <v>2</v>
      </c>
      <c r="E103" s="8" t="s">
        <v>3</v>
      </c>
    </row>
    <row r="104">
      <c r="B104" s="31" t="s">
        <v>56</v>
      </c>
      <c r="C104" s="14">
        <v>199000.0</v>
      </c>
      <c r="D104" s="15"/>
      <c r="E104" s="16"/>
    </row>
    <row r="105">
      <c r="B105" s="19" t="s">
        <v>6</v>
      </c>
      <c r="C105" s="76">
        <v>185000.0</v>
      </c>
      <c r="D105" s="21"/>
      <c r="E105" s="22"/>
      <c r="G105" s="96">
        <v>24000.0</v>
      </c>
    </row>
    <row r="106">
      <c r="B106" s="13" t="s">
        <v>9</v>
      </c>
      <c r="C106" s="23">
        <f>IF(E106="",$D$6*$C$4,E106*$C$29)</f>
        <v>199000</v>
      </c>
      <c r="D106" s="26">
        <v>0.2</v>
      </c>
      <c r="E106" s="87">
        <v>1.0</v>
      </c>
      <c r="G106" s="96">
        <v>2000.0</v>
      </c>
      <c r="H106" s="96" t="s">
        <v>114</v>
      </c>
    </row>
    <row r="107">
      <c r="B107" s="13" t="s">
        <v>10</v>
      </c>
      <c r="C107" s="23">
        <f>IF(E107="",$C$4*$D$7,E107)</f>
        <v>4378</v>
      </c>
      <c r="D107" s="26">
        <v>0.022</v>
      </c>
      <c r="E107" s="25"/>
      <c r="G107" s="96">
        <f>250*12</f>
        <v>3000</v>
      </c>
      <c r="H107" s="96" t="s">
        <v>115</v>
      </c>
    </row>
    <row r="108">
      <c r="B108" s="13" t="s">
        <v>12</v>
      </c>
      <c r="C108" s="28">
        <v>0.0775</v>
      </c>
      <c r="D108" s="15"/>
      <c r="E108" s="16"/>
      <c r="G108" s="96">
        <v>4400.0</v>
      </c>
      <c r="H108" s="96" t="s">
        <v>116</v>
      </c>
    </row>
    <row r="109">
      <c r="B109" s="13" t="s">
        <v>14</v>
      </c>
      <c r="C109" s="30">
        <v>30.0</v>
      </c>
      <c r="D109" s="15"/>
      <c r="E109" s="16"/>
      <c r="G109" s="97">
        <f>G105-SUM(G106,G107,G108)</f>
        <v>14600</v>
      </c>
      <c r="H109" s="96" t="s">
        <v>117</v>
      </c>
    </row>
    <row r="110">
      <c r="B110" s="13" t="s">
        <v>16</v>
      </c>
      <c r="C110" s="23">
        <f>C104-C106</f>
        <v>0</v>
      </c>
      <c r="D110" s="15"/>
      <c r="E110" s="16"/>
    </row>
    <row r="111">
      <c r="B111" s="31" t="s">
        <v>18</v>
      </c>
      <c r="C111" s="23">
        <f>-PMT(C108/12,C109*12,C110)</f>
        <v>0</v>
      </c>
      <c r="D111" s="15"/>
      <c r="E111" s="16"/>
    </row>
    <row r="112">
      <c r="B112" s="13" t="s">
        <v>20</v>
      </c>
      <c r="C112" s="14">
        <v>15000.0</v>
      </c>
      <c r="D112" s="15"/>
      <c r="E112" s="16"/>
    </row>
    <row r="113">
      <c r="B113" s="13" t="s">
        <v>22</v>
      </c>
      <c r="C113" s="23">
        <f>C112+C107+C106</f>
        <v>218378</v>
      </c>
      <c r="D113" s="15"/>
      <c r="E113" s="16"/>
    </row>
    <row r="114">
      <c r="B114" s="13"/>
      <c r="C114" s="32"/>
      <c r="D114" s="33"/>
      <c r="E114" s="32"/>
    </row>
    <row r="115">
      <c r="B115" s="34"/>
      <c r="C115" s="35"/>
      <c r="D115" s="36"/>
      <c r="E115" s="37"/>
    </row>
    <row r="116">
      <c r="B116" s="38" t="s">
        <v>24</v>
      </c>
      <c r="C116" s="39"/>
      <c r="D116" s="40" t="s">
        <v>25</v>
      </c>
      <c r="E116" s="40" t="s">
        <v>26</v>
      </c>
    </row>
    <row r="117">
      <c r="B117" s="42" t="s">
        <v>28</v>
      </c>
      <c r="C117" s="80"/>
      <c r="D117" s="43">
        <f>C111</f>
        <v>0</v>
      </c>
      <c r="E117" s="44">
        <f t="shared" ref="E117:E126" si="5">D117*12</f>
        <v>0</v>
      </c>
    </row>
    <row r="118">
      <c r="B118" s="46" t="s">
        <v>29</v>
      </c>
      <c r="C118" s="81"/>
      <c r="D118" s="47">
        <v>100.0</v>
      </c>
      <c r="E118" s="48">
        <f t="shared" si="5"/>
        <v>1200</v>
      </c>
    </row>
    <row r="119">
      <c r="B119" s="46" t="s">
        <v>30</v>
      </c>
      <c r="C119" s="81"/>
      <c r="D119" s="47">
        <v>30.0</v>
      </c>
      <c r="E119" s="48">
        <f t="shared" si="5"/>
        <v>360</v>
      </c>
    </row>
    <row r="120">
      <c r="B120" s="46" t="s">
        <v>31</v>
      </c>
      <c r="C120" s="81"/>
      <c r="D120" s="47">
        <v>70.0</v>
      </c>
      <c r="E120" s="48">
        <f t="shared" si="5"/>
        <v>840</v>
      </c>
    </row>
    <row r="121">
      <c r="B121" s="46" t="s">
        <v>32</v>
      </c>
      <c r="C121" s="81"/>
      <c r="D121" s="47">
        <v>50.0</v>
      </c>
      <c r="E121" s="48">
        <f t="shared" si="5"/>
        <v>600</v>
      </c>
    </row>
    <row r="122">
      <c r="B122" s="46" t="s">
        <v>33</v>
      </c>
      <c r="C122" s="82">
        <v>0.0243</v>
      </c>
      <c r="D122" s="47">
        <f>(C104*C122)/12</f>
        <v>402.975</v>
      </c>
      <c r="E122" s="48">
        <f t="shared" si="5"/>
        <v>4835.7</v>
      </c>
    </row>
    <row r="123">
      <c r="B123" s="19" t="s">
        <v>91</v>
      </c>
      <c r="C123" s="83"/>
      <c r="D123" s="47">
        <v>100.0</v>
      </c>
      <c r="E123" s="48">
        <f t="shared" si="5"/>
        <v>1200</v>
      </c>
    </row>
    <row r="124">
      <c r="B124" s="42" t="s">
        <v>34</v>
      </c>
      <c r="C124" s="50"/>
      <c r="D124" s="51">
        <f>SUM(D117:D123)</f>
        <v>752.975</v>
      </c>
      <c r="E124" s="52">
        <f t="shared" si="5"/>
        <v>9035.7</v>
      </c>
    </row>
    <row r="125">
      <c r="B125" s="46" t="s">
        <v>35</v>
      </c>
      <c r="C125" s="53">
        <v>650.0</v>
      </c>
      <c r="D125" s="47">
        <f>C125*4</f>
        <v>2600</v>
      </c>
      <c r="E125" s="48">
        <f t="shared" si="5"/>
        <v>31200</v>
      </c>
    </row>
    <row r="126">
      <c r="B126" s="54" t="s">
        <v>36</v>
      </c>
      <c r="C126" s="55"/>
      <c r="D126" s="56">
        <f>(D125-D124)</f>
        <v>1847.025</v>
      </c>
      <c r="E126" s="57">
        <f t="shared" si="5"/>
        <v>22164.3</v>
      </c>
    </row>
  </sheetData>
  <hyperlinks>
    <hyperlink r:id="rId1" ref="H3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9.63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118</v>
      </c>
      <c r="C3" s="62"/>
      <c r="D3" s="7" t="s">
        <v>2</v>
      </c>
      <c r="E3" s="8" t="s">
        <v>3</v>
      </c>
      <c r="F3" s="9"/>
      <c r="G3" s="65" t="s">
        <v>4</v>
      </c>
      <c r="H3" s="85" t="s">
        <v>119</v>
      </c>
      <c r="I3" s="12"/>
    </row>
    <row r="4">
      <c r="A4" s="4"/>
      <c r="B4" s="31" t="s">
        <v>56</v>
      </c>
      <c r="C4" s="14">
        <v>209000.0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189000.0</v>
      </c>
      <c r="D5" s="21"/>
      <c r="E5" s="22"/>
      <c r="F5" s="9"/>
      <c r="G5" s="27" t="s">
        <v>11</v>
      </c>
      <c r="H5" s="9"/>
      <c r="I5" s="12"/>
    </row>
    <row r="6">
      <c r="A6" s="4"/>
      <c r="B6" s="13" t="s">
        <v>9</v>
      </c>
      <c r="C6" s="23">
        <f>IF(E6="",$D$6*$C$4,E6*C4)</f>
        <v>62700</v>
      </c>
      <c r="D6" s="86">
        <v>0.2</v>
      </c>
      <c r="E6" s="87">
        <v>0.3</v>
      </c>
      <c r="F6" s="9"/>
      <c r="G6" s="29" t="s">
        <v>101</v>
      </c>
      <c r="H6" s="29">
        <v>1100.0</v>
      </c>
      <c r="I6" s="12"/>
    </row>
    <row r="7">
      <c r="A7" s="4"/>
      <c r="B7" s="13" t="s">
        <v>10</v>
      </c>
      <c r="C7" s="23">
        <f>IF(E7="",$C$4*$D$7,E7)</f>
        <v>4598</v>
      </c>
      <c r="D7" s="26">
        <v>0.022</v>
      </c>
      <c r="E7" s="25"/>
      <c r="F7" s="9"/>
      <c r="G7" s="88" t="s">
        <v>102</v>
      </c>
      <c r="H7" s="29">
        <v>400.0</v>
      </c>
      <c r="I7" s="12"/>
    </row>
    <row r="8">
      <c r="A8" s="4"/>
      <c r="B8" s="13" t="s">
        <v>12</v>
      </c>
      <c r="C8" s="28">
        <v>0.0775</v>
      </c>
      <c r="D8" s="15"/>
      <c r="E8" s="16"/>
      <c r="F8" s="9"/>
      <c r="G8" s="89" t="s">
        <v>103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90" t="s">
        <v>104</v>
      </c>
      <c r="H9" s="9"/>
      <c r="I9" s="12"/>
    </row>
    <row r="10">
      <c r="A10" s="4"/>
      <c r="B10" s="13" t="s">
        <v>16</v>
      </c>
      <c r="C10" s="23">
        <f>C4-C6</f>
        <v>146300</v>
      </c>
      <c r="D10" s="15"/>
      <c r="E10" s="16"/>
      <c r="F10" s="9"/>
      <c r="G10" s="90" t="s">
        <v>105</v>
      </c>
      <c r="H10" s="29">
        <v>8000.0</v>
      </c>
      <c r="I10" s="12"/>
    </row>
    <row r="11">
      <c r="A11" s="4"/>
      <c r="B11" s="31" t="s">
        <v>18</v>
      </c>
      <c r="C11" s="23">
        <f>-PMT(C8/12,C9*12,C10)</f>
        <v>1048.111115</v>
      </c>
      <c r="D11" s="15"/>
      <c r="E11" s="16"/>
      <c r="F11" s="9"/>
      <c r="G11" s="29" t="s">
        <v>106</v>
      </c>
      <c r="H11" s="29">
        <v>1000.0</v>
      </c>
      <c r="I11" s="12"/>
    </row>
    <row r="12">
      <c r="A12" s="4"/>
      <c r="B12" s="13" t="s">
        <v>20</v>
      </c>
      <c r="C12" s="14">
        <v>10000.0</v>
      </c>
      <c r="D12" s="15"/>
      <c r="E12" s="16"/>
      <c r="F12" s="9"/>
      <c r="G12" s="29" t="s">
        <v>107</v>
      </c>
      <c r="H12" s="29">
        <v>700.0</v>
      </c>
      <c r="I12" s="12"/>
    </row>
    <row r="13">
      <c r="A13" s="4"/>
      <c r="B13" s="13" t="s">
        <v>22</v>
      </c>
      <c r="C13" s="23">
        <f>C12+C7+C6</f>
        <v>77298</v>
      </c>
      <c r="D13" s="15"/>
      <c r="E13" s="16"/>
      <c r="F13" s="9"/>
      <c r="G13" s="29" t="s">
        <v>108</v>
      </c>
      <c r="H13" s="29">
        <v>1400.0</v>
      </c>
      <c r="I13" s="12"/>
    </row>
    <row r="14">
      <c r="A14" s="4"/>
      <c r="B14" s="13"/>
      <c r="C14" s="32"/>
      <c r="D14" s="33"/>
      <c r="E14" s="32"/>
      <c r="F14" s="9"/>
      <c r="G14" s="9"/>
      <c r="H14" s="91">
        <f>SUM(H6:H13)</f>
        <v>12600</v>
      </c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109</v>
      </c>
      <c r="H16" s="92" t="s">
        <v>110</v>
      </c>
      <c r="I16" s="12"/>
    </row>
    <row r="17">
      <c r="A17" s="4"/>
      <c r="B17" s="42" t="s">
        <v>28</v>
      </c>
      <c r="C17" s="80"/>
      <c r="D17" s="43">
        <f>C11</f>
        <v>1048.111115</v>
      </c>
      <c r="E17" s="44">
        <f t="shared" ref="E17:E26" si="1">D17*12</f>
        <v>12577.33338</v>
      </c>
      <c r="F17" s="9"/>
      <c r="G17" s="45">
        <f>E26/C13</f>
        <v>0.09123090658</v>
      </c>
      <c r="H17" s="93">
        <v>0.3</v>
      </c>
      <c r="I17" s="12"/>
    </row>
    <row r="18">
      <c r="A18" s="4"/>
      <c r="B18" s="46" t="s">
        <v>29</v>
      </c>
      <c r="C18" s="81"/>
      <c r="D18" s="47">
        <v>66.0</v>
      </c>
      <c r="E18" s="48">
        <f t="shared" si="1"/>
        <v>792</v>
      </c>
      <c r="F18" s="9"/>
      <c r="G18" s="45">
        <f>E51/C38</f>
        <v>0.1247525053</v>
      </c>
      <c r="H18" s="93">
        <v>0.5</v>
      </c>
      <c r="I18" s="12"/>
    </row>
    <row r="19">
      <c r="A19" s="4"/>
      <c r="B19" s="46" t="s">
        <v>30</v>
      </c>
      <c r="C19" s="81"/>
      <c r="D19" s="47">
        <v>30.0</v>
      </c>
      <c r="E19" s="48">
        <f t="shared" si="1"/>
        <v>360</v>
      </c>
      <c r="F19" s="9"/>
      <c r="G19" s="94">
        <f>E76/C63</f>
        <v>0.1103792978</v>
      </c>
      <c r="H19" s="93">
        <v>0.7</v>
      </c>
      <c r="I19" s="12"/>
    </row>
    <row r="20">
      <c r="A20" s="4"/>
      <c r="B20" s="46" t="s">
        <v>31</v>
      </c>
      <c r="C20" s="81"/>
      <c r="D20" s="47">
        <v>70.0</v>
      </c>
      <c r="E20" s="48">
        <f t="shared" si="1"/>
        <v>840</v>
      </c>
      <c r="F20" s="9"/>
      <c r="G20" s="94">
        <f>E101/C88</f>
        <v>0.1037789907</v>
      </c>
      <c r="H20" s="93">
        <v>1.0</v>
      </c>
      <c r="I20" s="12"/>
    </row>
    <row r="21">
      <c r="A21" s="4"/>
      <c r="B21" s="46" t="s">
        <v>32</v>
      </c>
      <c r="C21" s="81"/>
      <c r="D21" s="47">
        <v>75.0</v>
      </c>
      <c r="E21" s="48">
        <f t="shared" si="1"/>
        <v>900</v>
      </c>
      <c r="F21" s="9"/>
      <c r="G21" s="29"/>
      <c r="H21" s="9"/>
      <c r="I21" s="12"/>
    </row>
    <row r="22">
      <c r="A22" s="4"/>
      <c r="B22" s="46" t="s">
        <v>33</v>
      </c>
      <c r="C22" s="82">
        <v>0.0243</v>
      </c>
      <c r="D22" s="47">
        <f>(C4*C22)/12</f>
        <v>423.225</v>
      </c>
      <c r="E22" s="48">
        <f t="shared" si="1"/>
        <v>5078.7</v>
      </c>
      <c r="F22" s="9"/>
      <c r="G22" s="9"/>
      <c r="H22" s="9"/>
      <c r="I22" s="12"/>
    </row>
    <row r="23">
      <c r="A23" s="4"/>
      <c r="B23" s="19" t="s">
        <v>91</v>
      </c>
      <c r="C23" s="83"/>
      <c r="D23" s="47">
        <v>100.0</v>
      </c>
      <c r="E23" s="48">
        <f t="shared" si="1"/>
        <v>1200</v>
      </c>
      <c r="F23" s="9"/>
      <c r="G23" s="9"/>
      <c r="H23" s="9"/>
      <c r="I23" s="12"/>
    </row>
    <row r="24">
      <c r="A24" s="4"/>
      <c r="B24" s="42" t="s">
        <v>34</v>
      </c>
      <c r="C24" s="50"/>
      <c r="D24" s="51">
        <f>SUM(D17:D23)</f>
        <v>1812.336115</v>
      </c>
      <c r="E24" s="52">
        <f t="shared" si="1"/>
        <v>21748.03338</v>
      </c>
      <c r="F24" s="9"/>
      <c r="G24" s="9"/>
      <c r="H24" s="9"/>
      <c r="I24" s="12"/>
    </row>
    <row r="25">
      <c r="A25" s="4"/>
      <c r="B25" s="46" t="s">
        <v>35</v>
      </c>
      <c r="C25" s="53">
        <v>600.0</v>
      </c>
      <c r="D25" s="47">
        <f>C25*4</f>
        <v>2400</v>
      </c>
      <c r="E25" s="48">
        <f t="shared" si="1"/>
        <v>28800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587.6638847</v>
      </c>
      <c r="E26" s="57">
        <f t="shared" si="1"/>
        <v>7051.966617</v>
      </c>
      <c r="F26" s="9"/>
      <c r="G26" s="9"/>
      <c r="H26" s="9"/>
      <c r="I26" s="12"/>
    </row>
    <row r="27">
      <c r="A27" s="58"/>
      <c r="B27" s="35"/>
      <c r="C27" s="36"/>
      <c r="D27" s="36"/>
      <c r="E27" s="95"/>
      <c r="F27" s="59"/>
      <c r="G27" s="59"/>
      <c r="H27" s="59"/>
      <c r="I27" s="61"/>
    </row>
    <row r="28">
      <c r="A28" s="1"/>
      <c r="B28" s="5" t="s">
        <v>111</v>
      </c>
      <c r="C28" s="62"/>
      <c r="D28" s="7" t="s">
        <v>2</v>
      </c>
      <c r="E28" s="8" t="s">
        <v>3</v>
      </c>
      <c r="F28" s="2"/>
      <c r="G28" s="2"/>
      <c r="H28" s="2"/>
      <c r="I28" s="3"/>
    </row>
    <row r="29">
      <c r="A29" s="4"/>
      <c r="B29" s="31" t="s">
        <v>56</v>
      </c>
      <c r="C29" s="14">
        <v>179000.0</v>
      </c>
      <c r="D29" s="15"/>
      <c r="E29" s="16"/>
      <c r="F29" s="9"/>
      <c r="G29" s="9"/>
      <c r="H29" s="9"/>
      <c r="I29" s="12"/>
    </row>
    <row r="30">
      <c r="A30" s="4"/>
      <c r="B30" s="19" t="s">
        <v>6</v>
      </c>
      <c r="C30" s="76">
        <v>189000.0</v>
      </c>
      <c r="D30" s="21"/>
      <c r="E30" s="22"/>
      <c r="F30" s="9"/>
      <c r="G30" s="9"/>
      <c r="H30" s="9"/>
      <c r="I30" s="12"/>
    </row>
    <row r="31">
      <c r="A31" s="4"/>
      <c r="B31" s="13" t="s">
        <v>9</v>
      </c>
      <c r="C31" s="23">
        <f>IF(E31="",$D$6*$C$4,E31*$C$29)</f>
        <v>71600</v>
      </c>
      <c r="D31" s="26">
        <v>0.2</v>
      </c>
      <c r="E31" s="87">
        <v>0.4</v>
      </c>
      <c r="F31" s="9"/>
      <c r="G31" s="9"/>
      <c r="H31" s="9"/>
      <c r="I31" s="12"/>
    </row>
    <row r="32">
      <c r="A32" s="4"/>
      <c r="B32" s="13" t="s">
        <v>10</v>
      </c>
      <c r="C32" s="23">
        <f>IF(E32="",$C$4*$D$7,E32)</f>
        <v>4598</v>
      </c>
      <c r="D32" s="26">
        <v>0.022</v>
      </c>
      <c r="E32" s="25"/>
      <c r="F32" s="9"/>
      <c r="G32" s="9"/>
      <c r="H32" s="9"/>
      <c r="I32" s="12"/>
    </row>
    <row r="33">
      <c r="A33" s="4"/>
      <c r="B33" s="13" t="s">
        <v>12</v>
      </c>
      <c r="C33" s="28">
        <v>0.0775</v>
      </c>
      <c r="D33" s="15"/>
      <c r="E33" s="16"/>
      <c r="F33" s="9"/>
      <c r="G33" s="9"/>
      <c r="H33" s="9"/>
      <c r="I33" s="12"/>
    </row>
    <row r="34">
      <c r="A34" s="4"/>
      <c r="B34" s="13" t="s">
        <v>14</v>
      </c>
      <c r="C34" s="30">
        <v>30.0</v>
      </c>
      <c r="D34" s="15"/>
      <c r="E34" s="16"/>
      <c r="F34" s="9"/>
      <c r="G34" s="9"/>
      <c r="H34" s="9"/>
      <c r="I34" s="12"/>
    </row>
    <row r="35">
      <c r="A35" s="4"/>
      <c r="B35" s="13" t="s">
        <v>16</v>
      </c>
      <c r="C35" s="23">
        <f>C29-C31</f>
        <v>107400</v>
      </c>
      <c r="D35" s="15"/>
      <c r="E35" s="16"/>
      <c r="F35" s="9"/>
      <c r="G35" s="9"/>
      <c r="H35" s="9"/>
      <c r="I35" s="12"/>
    </row>
    <row r="36">
      <c r="A36" s="4"/>
      <c r="B36" s="31" t="s">
        <v>18</v>
      </c>
      <c r="C36" s="23">
        <f>-PMT(C33/12,C34*12,C35)</f>
        <v>769.4267517</v>
      </c>
      <c r="D36" s="15"/>
      <c r="E36" s="16"/>
      <c r="F36" s="9"/>
      <c r="G36" s="9"/>
      <c r="H36" s="9"/>
      <c r="I36" s="12"/>
    </row>
    <row r="37">
      <c r="A37" s="4"/>
      <c r="B37" s="13" t="s">
        <v>20</v>
      </c>
      <c r="C37" s="14">
        <v>15000.0</v>
      </c>
      <c r="D37" s="15"/>
      <c r="E37" s="16"/>
      <c r="F37" s="9"/>
      <c r="G37" s="9"/>
      <c r="H37" s="9"/>
      <c r="I37" s="12"/>
    </row>
    <row r="38">
      <c r="A38" s="4"/>
      <c r="B38" s="13" t="s">
        <v>22</v>
      </c>
      <c r="C38" s="23">
        <f>C37+C32+C31</f>
        <v>91198</v>
      </c>
      <c r="D38" s="15"/>
      <c r="E38" s="16"/>
      <c r="F38" s="9"/>
      <c r="G38" s="9"/>
      <c r="H38" s="9"/>
      <c r="I38" s="12"/>
    </row>
    <row r="39">
      <c r="A39" s="4"/>
      <c r="B39" s="13"/>
      <c r="C39" s="32"/>
      <c r="D39" s="33"/>
      <c r="E39" s="32"/>
      <c r="F39" s="9"/>
      <c r="G39" s="9"/>
      <c r="H39" s="9"/>
      <c r="I39" s="12"/>
    </row>
    <row r="40">
      <c r="A40" s="4"/>
      <c r="B40" s="34"/>
      <c r="C40" s="35"/>
      <c r="D40" s="36"/>
      <c r="E40" s="37"/>
      <c r="F40" s="9"/>
      <c r="G40" s="9"/>
      <c r="H40" s="9"/>
      <c r="I40" s="12"/>
    </row>
    <row r="41">
      <c r="A41" s="4"/>
      <c r="B41" s="38" t="s">
        <v>24</v>
      </c>
      <c r="C41" s="39"/>
      <c r="D41" s="40" t="s">
        <v>25</v>
      </c>
      <c r="E41" s="40" t="s">
        <v>26</v>
      </c>
      <c r="F41" s="9"/>
      <c r="G41" s="9"/>
      <c r="H41" s="9"/>
      <c r="I41" s="12"/>
    </row>
    <row r="42">
      <c r="A42" s="4"/>
      <c r="B42" s="42" t="s">
        <v>28</v>
      </c>
      <c r="C42" s="80"/>
      <c r="D42" s="43">
        <f>C36</f>
        <v>769.4267517</v>
      </c>
      <c r="E42" s="44">
        <f t="shared" ref="E42:E51" si="2">D42*12</f>
        <v>9233.121021</v>
      </c>
      <c r="F42" s="9"/>
      <c r="G42" s="9"/>
      <c r="H42" s="9"/>
      <c r="I42" s="12"/>
    </row>
    <row r="43">
      <c r="A43" s="4"/>
      <c r="B43" s="46" t="s">
        <v>29</v>
      </c>
      <c r="C43" s="81"/>
      <c r="D43" s="47">
        <v>70.0</v>
      </c>
      <c r="E43" s="48">
        <f t="shared" si="2"/>
        <v>840</v>
      </c>
      <c r="F43" s="9"/>
      <c r="G43" s="9"/>
      <c r="H43" s="9"/>
      <c r="I43" s="12"/>
    </row>
    <row r="44">
      <c r="A44" s="4"/>
      <c r="B44" s="46" t="s">
        <v>30</v>
      </c>
      <c r="C44" s="81"/>
      <c r="D44" s="47">
        <v>30.0</v>
      </c>
      <c r="E44" s="48">
        <f t="shared" si="2"/>
        <v>360</v>
      </c>
      <c r="F44" s="9"/>
      <c r="G44" s="9"/>
      <c r="H44" s="9"/>
      <c r="I44" s="12"/>
    </row>
    <row r="45">
      <c r="A45" s="4"/>
      <c r="B45" s="46" t="s">
        <v>31</v>
      </c>
      <c r="C45" s="81"/>
      <c r="D45" s="47">
        <v>70.0</v>
      </c>
      <c r="E45" s="48">
        <f t="shared" si="2"/>
        <v>840</v>
      </c>
      <c r="F45" s="9"/>
      <c r="G45" s="9"/>
      <c r="H45" s="9"/>
      <c r="I45" s="12"/>
    </row>
    <row r="46">
      <c r="A46" s="4"/>
      <c r="B46" s="46" t="s">
        <v>32</v>
      </c>
      <c r="C46" s="81"/>
      <c r="D46" s="47">
        <v>50.0</v>
      </c>
      <c r="E46" s="48">
        <f t="shared" si="2"/>
        <v>600</v>
      </c>
      <c r="F46" s="9"/>
      <c r="G46" s="9"/>
      <c r="H46" s="9"/>
      <c r="I46" s="12"/>
    </row>
    <row r="47">
      <c r="A47" s="4"/>
      <c r="B47" s="46" t="s">
        <v>33</v>
      </c>
      <c r="C47" s="82">
        <v>0.0243</v>
      </c>
      <c r="D47" s="47">
        <f>(C29*C47)/12</f>
        <v>362.475</v>
      </c>
      <c r="E47" s="48">
        <f t="shared" si="2"/>
        <v>4349.7</v>
      </c>
      <c r="F47" s="9"/>
      <c r="G47" s="9"/>
      <c r="H47" s="9"/>
      <c r="I47" s="12"/>
    </row>
    <row r="48">
      <c r="A48" s="4"/>
      <c r="B48" s="19" t="s">
        <v>91</v>
      </c>
      <c r="C48" s="83"/>
      <c r="D48" s="47">
        <v>100.0</v>
      </c>
      <c r="E48" s="48">
        <f t="shared" si="2"/>
        <v>1200</v>
      </c>
      <c r="F48" s="9"/>
      <c r="G48" s="9"/>
      <c r="H48" s="9"/>
      <c r="I48" s="12"/>
    </row>
    <row r="49">
      <c r="A49" s="4"/>
      <c r="B49" s="42" t="s">
        <v>34</v>
      </c>
      <c r="C49" s="50"/>
      <c r="D49" s="51">
        <f>SUM(D42:D48)</f>
        <v>1451.901752</v>
      </c>
      <c r="E49" s="52">
        <f t="shared" si="2"/>
        <v>17422.82102</v>
      </c>
      <c r="F49" s="9"/>
      <c r="G49" s="9"/>
      <c r="H49" s="9"/>
      <c r="I49" s="12"/>
    </row>
    <row r="50">
      <c r="A50" s="4"/>
      <c r="B50" s="46" t="s">
        <v>35</v>
      </c>
      <c r="C50" s="53">
        <v>600.0</v>
      </c>
      <c r="D50" s="47">
        <f>C50*4</f>
        <v>2400</v>
      </c>
      <c r="E50" s="48">
        <f t="shared" si="2"/>
        <v>28800</v>
      </c>
      <c r="F50" s="9"/>
      <c r="G50" s="9"/>
      <c r="H50" s="9"/>
      <c r="I50" s="12"/>
    </row>
    <row r="51">
      <c r="A51" s="4"/>
      <c r="B51" s="54" t="s">
        <v>36</v>
      </c>
      <c r="C51" s="55"/>
      <c r="D51" s="56">
        <f>(D50-D49)</f>
        <v>948.0982483</v>
      </c>
      <c r="E51" s="57">
        <f t="shared" si="2"/>
        <v>11377.17898</v>
      </c>
      <c r="F51" s="9"/>
      <c r="G51" s="9"/>
      <c r="H51" s="9"/>
      <c r="I51" s="12"/>
    </row>
    <row r="52">
      <c r="A52" s="4"/>
      <c r="B52" s="35"/>
      <c r="C52" s="36"/>
      <c r="D52" s="36"/>
      <c r="E52" s="37"/>
      <c r="F52" s="9"/>
      <c r="G52" s="9"/>
      <c r="H52" s="9"/>
      <c r="I52" s="12"/>
    </row>
    <row r="53">
      <c r="A53" s="1"/>
      <c r="B53" s="5" t="s">
        <v>112</v>
      </c>
      <c r="C53" s="62"/>
      <c r="D53" s="7" t="s">
        <v>2</v>
      </c>
      <c r="E53" s="8" t="s">
        <v>3</v>
      </c>
      <c r="F53" s="2"/>
      <c r="G53" s="2"/>
      <c r="H53" s="2"/>
      <c r="I53" s="3"/>
    </row>
    <row r="54">
      <c r="A54" s="4"/>
      <c r="B54" s="31" t="s">
        <v>56</v>
      </c>
      <c r="C54" s="14">
        <v>179000.0</v>
      </c>
      <c r="D54" s="15"/>
      <c r="E54" s="16"/>
      <c r="F54" s="9"/>
      <c r="G54" s="9"/>
      <c r="H54" s="9"/>
      <c r="I54" s="12"/>
    </row>
    <row r="55">
      <c r="A55" s="4"/>
      <c r="B55" s="19" t="s">
        <v>6</v>
      </c>
      <c r="C55" s="76">
        <v>189000.0</v>
      </c>
      <c r="D55" s="21"/>
      <c r="E55" s="22"/>
      <c r="F55" s="9"/>
      <c r="G55" s="9"/>
      <c r="H55" s="9"/>
      <c r="I55" s="12"/>
    </row>
    <row r="56">
      <c r="A56" s="4"/>
      <c r="B56" s="13" t="s">
        <v>9</v>
      </c>
      <c r="C56" s="23">
        <f>IF(E56="",$D$6*$C$4,E56*$C$29)</f>
        <v>125300</v>
      </c>
      <c r="D56" s="26">
        <v>0.2</v>
      </c>
      <c r="E56" s="87">
        <v>0.7</v>
      </c>
      <c r="F56" s="9"/>
      <c r="G56" s="9"/>
      <c r="H56" s="9"/>
      <c r="I56" s="12"/>
    </row>
    <row r="57">
      <c r="A57" s="4"/>
      <c r="B57" s="13" t="s">
        <v>10</v>
      </c>
      <c r="C57" s="23">
        <f>IF(E57="",$C$4*$D$7,E57)</f>
        <v>4598</v>
      </c>
      <c r="D57" s="26">
        <v>0.022</v>
      </c>
      <c r="E57" s="25"/>
      <c r="F57" s="9"/>
      <c r="G57" s="9"/>
      <c r="H57" s="9"/>
      <c r="I57" s="12"/>
    </row>
    <row r="58">
      <c r="A58" s="4"/>
      <c r="B58" s="13" t="s">
        <v>12</v>
      </c>
      <c r="C58" s="28">
        <v>0.0775</v>
      </c>
      <c r="D58" s="15"/>
      <c r="E58" s="16"/>
      <c r="F58" s="9"/>
      <c r="G58" s="9"/>
      <c r="H58" s="9"/>
      <c r="I58" s="12"/>
    </row>
    <row r="59">
      <c r="A59" s="4"/>
      <c r="B59" s="13" t="s">
        <v>14</v>
      </c>
      <c r="C59" s="30">
        <v>30.0</v>
      </c>
      <c r="D59" s="15"/>
      <c r="E59" s="16"/>
      <c r="F59" s="9"/>
      <c r="G59" s="9"/>
      <c r="H59" s="9"/>
      <c r="I59" s="12"/>
    </row>
    <row r="60">
      <c r="A60" s="4"/>
      <c r="B60" s="13" t="s">
        <v>16</v>
      </c>
      <c r="C60" s="23">
        <f>C54-C56</f>
        <v>53700</v>
      </c>
      <c r="D60" s="15"/>
      <c r="E60" s="16"/>
      <c r="F60" s="9"/>
      <c r="G60" s="9"/>
      <c r="H60" s="9"/>
      <c r="I60" s="12"/>
    </row>
    <row r="61">
      <c r="A61" s="4"/>
      <c r="B61" s="31" t="s">
        <v>18</v>
      </c>
      <c r="C61" s="23">
        <f>-PMT(C58/12,C59*12,C60)</f>
        <v>384.7133759</v>
      </c>
      <c r="D61" s="15"/>
      <c r="E61" s="16"/>
      <c r="F61" s="9"/>
      <c r="G61" s="9"/>
      <c r="H61" s="9"/>
      <c r="I61" s="12"/>
    </row>
    <row r="62">
      <c r="A62" s="4"/>
      <c r="B62" s="13" t="s">
        <v>20</v>
      </c>
      <c r="C62" s="14">
        <v>15000.0</v>
      </c>
      <c r="D62" s="15"/>
      <c r="E62" s="16"/>
      <c r="F62" s="9"/>
      <c r="G62" s="9"/>
      <c r="H62" s="9"/>
      <c r="I62" s="12"/>
    </row>
    <row r="63">
      <c r="A63" s="4"/>
      <c r="B63" s="13" t="s">
        <v>22</v>
      </c>
      <c r="C63" s="23">
        <f>C62+C57+C56</f>
        <v>144898</v>
      </c>
      <c r="D63" s="15"/>
      <c r="E63" s="16"/>
      <c r="F63" s="9"/>
      <c r="G63" s="9"/>
      <c r="H63" s="9"/>
      <c r="I63" s="12"/>
    </row>
    <row r="64">
      <c r="A64" s="4"/>
      <c r="B64" s="13"/>
      <c r="C64" s="32"/>
      <c r="D64" s="33"/>
      <c r="E64" s="32"/>
      <c r="F64" s="9"/>
      <c r="G64" s="9"/>
      <c r="H64" s="9"/>
      <c r="I64" s="12"/>
    </row>
    <row r="65">
      <c r="A65" s="4"/>
      <c r="B65" s="34"/>
      <c r="C65" s="35"/>
      <c r="D65" s="36"/>
      <c r="E65" s="37"/>
      <c r="F65" s="9"/>
      <c r="G65" s="9"/>
      <c r="H65" s="9"/>
      <c r="I65" s="12"/>
    </row>
    <row r="66">
      <c r="A66" s="4"/>
      <c r="B66" s="38" t="s">
        <v>24</v>
      </c>
      <c r="C66" s="39"/>
      <c r="D66" s="40" t="s">
        <v>25</v>
      </c>
      <c r="E66" s="40" t="s">
        <v>26</v>
      </c>
      <c r="F66" s="9"/>
      <c r="G66" s="9"/>
      <c r="H66" s="9"/>
      <c r="I66" s="12"/>
    </row>
    <row r="67">
      <c r="A67" s="4"/>
      <c r="B67" s="42" t="s">
        <v>28</v>
      </c>
      <c r="C67" s="80"/>
      <c r="D67" s="43">
        <f>C61</f>
        <v>384.7133759</v>
      </c>
      <c r="E67" s="44">
        <f t="shared" ref="E67:E76" si="3">D67*12</f>
        <v>4616.56051</v>
      </c>
      <c r="F67" s="9"/>
      <c r="G67" s="9"/>
      <c r="H67" s="9"/>
      <c r="I67" s="12"/>
    </row>
    <row r="68">
      <c r="A68" s="4"/>
      <c r="B68" s="46" t="s">
        <v>29</v>
      </c>
      <c r="C68" s="81"/>
      <c r="D68" s="47">
        <v>70.0</v>
      </c>
      <c r="E68" s="48">
        <f t="shared" si="3"/>
        <v>840</v>
      </c>
      <c r="F68" s="9"/>
      <c r="G68" s="9"/>
      <c r="H68" s="9"/>
      <c r="I68" s="12"/>
    </row>
    <row r="69">
      <c r="A69" s="4"/>
      <c r="B69" s="46" t="s">
        <v>30</v>
      </c>
      <c r="C69" s="81"/>
      <c r="D69" s="47">
        <v>30.0</v>
      </c>
      <c r="E69" s="48">
        <f t="shared" si="3"/>
        <v>360</v>
      </c>
      <c r="F69" s="9"/>
      <c r="G69" s="9"/>
      <c r="H69" s="9"/>
      <c r="I69" s="12"/>
    </row>
    <row r="70">
      <c r="A70" s="4"/>
      <c r="B70" s="46" t="s">
        <v>31</v>
      </c>
      <c r="C70" s="81"/>
      <c r="D70" s="47">
        <v>70.0</v>
      </c>
      <c r="E70" s="48">
        <f t="shared" si="3"/>
        <v>840</v>
      </c>
      <c r="F70" s="9"/>
      <c r="G70" s="9"/>
      <c r="H70" s="9"/>
      <c r="I70" s="12"/>
    </row>
    <row r="71">
      <c r="A71" s="4"/>
      <c r="B71" s="46" t="s">
        <v>32</v>
      </c>
      <c r="C71" s="81"/>
      <c r="D71" s="47">
        <v>50.0</v>
      </c>
      <c r="E71" s="48">
        <f t="shared" si="3"/>
        <v>600</v>
      </c>
      <c r="F71" s="9"/>
      <c r="G71" s="9"/>
      <c r="H71" s="9"/>
      <c r="I71" s="12"/>
    </row>
    <row r="72">
      <c r="A72" s="4"/>
      <c r="B72" s="46" t="s">
        <v>33</v>
      </c>
      <c r="C72" s="82">
        <v>0.0243</v>
      </c>
      <c r="D72" s="47">
        <f>(C54*C72)/12</f>
        <v>362.475</v>
      </c>
      <c r="E72" s="48">
        <f t="shared" si="3"/>
        <v>4349.7</v>
      </c>
      <c r="F72" s="9"/>
      <c r="G72" s="9"/>
      <c r="H72" s="9"/>
      <c r="I72" s="12"/>
    </row>
    <row r="73">
      <c r="A73" s="4"/>
      <c r="B73" s="19" t="s">
        <v>91</v>
      </c>
      <c r="C73" s="83"/>
      <c r="D73" s="47">
        <v>100.0</v>
      </c>
      <c r="E73" s="48">
        <f t="shared" si="3"/>
        <v>1200</v>
      </c>
      <c r="F73" s="9"/>
      <c r="G73" s="9"/>
      <c r="H73" s="9"/>
      <c r="I73" s="12"/>
    </row>
    <row r="74">
      <c r="A74" s="4"/>
      <c r="B74" s="42" t="s">
        <v>34</v>
      </c>
      <c r="C74" s="50"/>
      <c r="D74" s="51">
        <f>SUM(D67:D73)</f>
        <v>1067.188376</v>
      </c>
      <c r="E74" s="52">
        <f t="shared" si="3"/>
        <v>12806.26051</v>
      </c>
      <c r="F74" s="9"/>
      <c r="G74" s="9"/>
      <c r="H74" s="9"/>
      <c r="I74" s="12"/>
    </row>
    <row r="75">
      <c r="A75" s="4"/>
      <c r="B75" s="46" t="s">
        <v>35</v>
      </c>
      <c r="C75" s="53">
        <v>600.0</v>
      </c>
      <c r="D75" s="47">
        <f>C75*4</f>
        <v>2400</v>
      </c>
      <c r="E75" s="48">
        <f t="shared" si="3"/>
        <v>28800</v>
      </c>
      <c r="F75" s="9"/>
      <c r="G75" s="9"/>
      <c r="H75" s="9"/>
      <c r="I75" s="12"/>
    </row>
    <row r="76">
      <c r="A76" s="58"/>
      <c r="B76" s="54" t="s">
        <v>36</v>
      </c>
      <c r="C76" s="55"/>
      <c r="D76" s="56">
        <f>(D75-D74)</f>
        <v>1332.811624</v>
      </c>
      <c r="E76" s="57">
        <f t="shared" si="3"/>
        <v>15993.73949</v>
      </c>
      <c r="F76" s="59"/>
      <c r="G76" s="59"/>
      <c r="H76" s="59"/>
      <c r="I76" s="61"/>
    </row>
    <row r="77">
      <c r="A77" s="4"/>
      <c r="B77" s="9"/>
      <c r="C77" s="9"/>
      <c r="D77" s="9"/>
      <c r="E77" s="9"/>
      <c r="F77" s="9"/>
      <c r="G77" s="9"/>
      <c r="H77" s="9"/>
      <c r="I77" s="12"/>
    </row>
    <row r="78">
      <c r="A78" s="1"/>
      <c r="B78" s="5" t="s">
        <v>113</v>
      </c>
      <c r="C78" s="62"/>
      <c r="D78" s="7" t="s">
        <v>2</v>
      </c>
      <c r="E78" s="8" t="s">
        <v>3</v>
      </c>
      <c r="F78" s="2"/>
      <c r="G78" s="2"/>
      <c r="H78" s="2"/>
      <c r="I78" s="3"/>
    </row>
    <row r="79">
      <c r="A79" s="4"/>
      <c r="B79" s="31" t="s">
        <v>56</v>
      </c>
      <c r="C79" s="14">
        <v>179000.0</v>
      </c>
      <c r="D79" s="15"/>
      <c r="E79" s="16"/>
      <c r="F79" s="9"/>
      <c r="G79" s="9"/>
      <c r="H79" s="9"/>
      <c r="I79" s="12"/>
    </row>
    <row r="80">
      <c r="A80" s="4"/>
      <c r="B80" s="19" t="s">
        <v>6</v>
      </c>
      <c r="C80" s="76">
        <v>185000.0</v>
      </c>
      <c r="D80" s="21"/>
      <c r="E80" s="22"/>
      <c r="F80" s="9"/>
      <c r="G80" s="9"/>
      <c r="H80" s="9"/>
      <c r="I80" s="12"/>
    </row>
    <row r="81">
      <c r="A81" s="4"/>
      <c r="B81" s="13" t="s">
        <v>9</v>
      </c>
      <c r="C81" s="23">
        <f>IF(E81="",$D$6*$C$4,E81*$C$29)</f>
        <v>179000</v>
      </c>
      <c r="D81" s="26">
        <v>0.2</v>
      </c>
      <c r="E81" s="87">
        <v>1.0</v>
      </c>
      <c r="F81" s="9"/>
      <c r="G81" s="9"/>
      <c r="H81" s="9"/>
      <c r="I81" s="12"/>
    </row>
    <row r="82">
      <c r="A82" s="4"/>
      <c r="B82" s="13" t="s">
        <v>10</v>
      </c>
      <c r="C82" s="23">
        <f>IF(E82="",$C$4*$D$7,E82)</f>
        <v>4598</v>
      </c>
      <c r="D82" s="26">
        <v>0.022</v>
      </c>
      <c r="E82" s="25"/>
      <c r="F82" s="9"/>
      <c r="G82" s="9"/>
      <c r="H82" s="9"/>
      <c r="I82" s="12"/>
    </row>
    <row r="83">
      <c r="A83" s="4"/>
      <c r="B83" s="13" t="s">
        <v>12</v>
      </c>
      <c r="C83" s="28">
        <v>0.0775</v>
      </c>
      <c r="D83" s="15"/>
      <c r="E83" s="16"/>
      <c r="F83" s="9"/>
      <c r="G83" s="9"/>
      <c r="H83" s="9"/>
      <c r="I83" s="12"/>
    </row>
    <row r="84">
      <c r="A84" s="4"/>
      <c r="B84" s="13" t="s">
        <v>14</v>
      </c>
      <c r="C84" s="30">
        <v>30.0</v>
      </c>
      <c r="D84" s="15"/>
      <c r="E84" s="16"/>
      <c r="F84" s="9"/>
      <c r="G84" s="9"/>
      <c r="H84" s="9"/>
      <c r="I84" s="12"/>
    </row>
    <row r="85">
      <c r="A85" s="4"/>
      <c r="B85" s="13" t="s">
        <v>16</v>
      </c>
      <c r="C85" s="23">
        <f>C79-C81</f>
        <v>0</v>
      </c>
      <c r="D85" s="15"/>
      <c r="E85" s="16"/>
      <c r="F85" s="9"/>
      <c r="G85" s="9"/>
      <c r="H85" s="9"/>
      <c r="I85" s="12"/>
    </row>
    <row r="86">
      <c r="A86" s="4"/>
      <c r="B86" s="31" t="s">
        <v>18</v>
      </c>
      <c r="C86" s="23">
        <f>-PMT(C83/12,C84*12,C85)</f>
        <v>0</v>
      </c>
      <c r="D86" s="15"/>
      <c r="E86" s="16"/>
      <c r="F86" s="9"/>
      <c r="G86" s="9"/>
      <c r="H86" s="9"/>
      <c r="I86" s="12"/>
    </row>
    <row r="87">
      <c r="A87" s="4"/>
      <c r="B87" s="13" t="s">
        <v>20</v>
      </c>
      <c r="C87" s="14">
        <v>15000.0</v>
      </c>
      <c r="D87" s="15"/>
      <c r="E87" s="16"/>
      <c r="F87" s="9"/>
      <c r="G87" s="9"/>
      <c r="H87" s="9"/>
      <c r="I87" s="12"/>
    </row>
    <row r="88">
      <c r="A88" s="4"/>
      <c r="B88" s="13" t="s">
        <v>22</v>
      </c>
      <c r="C88" s="23">
        <f>C87+C82+C81</f>
        <v>198598</v>
      </c>
      <c r="D88" s="15"/>
      <c r="E88" s="16"/>
      <c r="F88" s="9"/>
      <c r="G88" s="9"/>
      <c r="H88" s="9"/>
      <c r="I88" s="12"/>
    </row>
    <row r="89">
      <c r="A89" s="4"/>
      <c r="B89" s="13"/>
      <c r="C89" s="32"/>
      <c r="D89" s="33"/>
      <c r="E89" s="32"/>
      <c r="F89" s="9"/>
      <c r="G89" s="9"/>
      <c r="H89" s="9"/>
      <c r="I89" s="12"/>
    </row>
    <row r="90">
      <c r="A90" s="4"/>
      <c r="B90" s="34"/>
      <c r="C90" s="35"/>
      <c r="D90" s="36"/>
      <c r="E90" s="37"/>
      <c r="F90" s="9"/>
      <c r="G90" s="9"/>
      <c r="H90" s="9"/>
      <c r="I90" s="12"/>
    </row>
    <row r="91">
      <c r="A91" s="4"/>
      <c r="B91" s="38" t="s">
        <v>24</v>
      </c>
      <c r="C91" s="39"/>
      <c r="D91" s="40" t="s">
        <v>25</v>
      </c>
      <c r="E91" s="40" t="s">
        <v>26</v>
      </c>
      <c r="F91" s="9"/>
      <c r="G91" s="9"/>
      <c r="H91" s="9"/>
      <c r="I91" s="12"/>
    </row>
    <row r="92">
      <c r="A92" s="4"/>
      <c r="B92" s="42" t="s">
        <v>28</v>
      </c>
      <c r="C92" s="80"/>
      <c r="D92" s="43">
        <f>C86</f>
        <v>0</v>
      </c>
      <c r="E92" s="44">
        <f t="shared" ref="E92:E101" si="4">D92*12</f>
        <v>0</v>
      </c>
      <c r="F92" s="9"/>
      <c r="G92" s="9"/>
      <c r="H92" s="9"/>
      <c r="I92" s="12"/>
    </row>
    <row r="93">
      <c r="A93" s="4"/>
      <c r="B93" s="46" t="s">
        <v>29</v>
      </c>
      <c r="C93" s="81"/>
      <c r="D93" s="47">
        <v>70.0</v>
      </c>
      <c r="E93" s="48">
        <f t="shared" si="4"/>
        <v>840</v>
      </c>
      <c r="F93" s="9"/>
      <c r="G93" s="9"/>
      <c r="H93" s="9"/>
      <c r="I93" s="12"/>
    </row>
    <row r="94">
      <c r="A94" s="4"/>
      <c r="B94" s="46" t="s">
        <v>30</v>
      </c>
      <c r="C94" s="81"/>
      <c r="D94" s="47">
        <v>30.0</v>
      </c>
      <c r="E94" s="48">
        <f t="shared" si="4"/>
        <v>360</v>
      </c>
      <c r="F94" s="9"/>
      <c r="G94" s="9"/>
      <c r="H94" s="9"/>
      <c r="I94" s="12"/>
    </row>
    <row r="95">
      <c r="A95" s="4"/>
      <c r="B95" s="46" t="s">
        <v>31</v>
      </c>
      <c r="C95" s="81"/>
      <c r="D95" s="47">
        <v>70.0</v>
      </c>
      <c r="E95" s="48">
        <f t="shared" si="4"/>
        <v>840</v>
      </c>
      <c r="F95" s="9"/>
      <c r="G95" s="9"/>
      <c r="H95" s="9"/>
      <c r="I95" s="12"/>
    </row>
    <row r="96">
      <c r="A96" s="4"/>
      <c r="B96" s="46" t="s">
        <v>32</v>
      </c>
      <c r="C96" s="81"/>
      <c r="D96" s="47">
        <v>50.0</v>
      </c>
      <c r="E96" s="48">
        <f t="shared" si="4"/>
        <v>600</v>
      </c>
      <c r="F96" s="9"/>
      <c r="G96" s="9"/>
      <c r="H96" s="9"/>
      <c r="I96" s="12"/>
    </row>
    <row r="97">
      <c r="A97" s="4"/>
      <c r="B97" s="46" t="s">
        <v>33</v>
      </c>
      <c r="C97" s="82">
        <v>0.0243</v>
      </c>
      <c r="D97" s="47">
        <f>(C79*C97)/12</f>
        <v>362.475</v>
      </c>
      <c r="E97" s="48">
        <f t="shared" si="4"/>
        <v>4349.7</v>
      </c>
      <c r="F97" s="9"/>
      <c r="G97" s="9"/>
      <c r="H97" s="9"/>
      <c r="I97" s="12"/>
    </row>
    <row r="98">
      <c r="A98" s="4"/>
      <c r="B98" s="19" t="s">
        <v>91</v>
      </c>
      <c r="C98" s="83"/>
      <c r="D98" s="47">
        <v>100.0</v>
      </c>
      <c r="E98" s="48">
        <f t="shared" si="4"/>
        <v>1200</v>
      </c>
      <c r="F98" s="9"/>
      <c r="G98" s="9"/>
      <c r="H98" s="9"/>
      <c r="I98" s="12"/>
    </row>
    <row r="99">
      <c r="A99" s="4"/>
      <c r="B99" s="42" t="s">
        <v>34</v>
      </c>
      <c r="C99" s="50"/>
      <c r="D99" s="51">
        <f>SUM(D92:D98)</f>
        <v>682.475</v>
      </c>
      <c r="E99" s="52">
        <f t="shared" si="4"/>
        <v>8189.7</v>
      </c>
      <c r="F99" s="9"/>
      <c r="G99" s="9"/>
      <c r="H99" s="9"/>
      <c r="I99" s="12"/>
    </row>
    <row r="100">
      <c r="A100" s="4"/>
      <c r="B100" s="46" t="s">
        <v>35</v>
      </c>
      <c r="C100" s="53">
        <v>600.0</v>
      </c>
      <c r="D100" s="47">
        <f>C100*4</f>
        <v>2400</v>
      </c>
      <c r="E100" s="48">
        <f t="shared" si="4"/>
        <v>28800</v>
      </c>
      <c r="F100" s="9"/>
      <c r="G100" s="9"/>
      <c r="H100" s="9"/>
      <c r="I100" s="12"/>
    </row>
    <row r="101">
      <c r="A101" s="58"/>
      <c r="B101" s="54" t="s">
        <v>36</v>
      </c>
      <c r="C101" s="55"/>
      <c r="D101" s="56">
        <f>(D100-D99)</f>
        <v>1717.525</v>
      </c>
      <c r="E101" s="57">
        <f t="shared" si="4"/>
        <v>20610.3</v>
      </c>
      <c r="F101" s="59"/>
      <c r="G101" s="59"/>
      <c r="H101" s="59"/>
      <c r="I101" s="61"/>
    </row>
    <row r="102">
      <c r="A102" s="58"/>
      <c r="B102" s="59"/>
      <c r="C102" s="59"/>
      <c r="D102" s="59"/>
      <c r="E102" s="59"/>
      <c r="F102" s="59"/>
      <c r="G102" s="59"/>
      <c r="H102" s="59"/>
      <c r="I102" s="61"/>
    </row>
    <row r="103">
      <c r="B103" s="5" t="s">
        <v>113</v>
      </c>
      <c r="C103" s="62"/>
      <c r="D103" s="7" t="s">
        <v>2</v>
      </c>
      <c r="E103" s="8" t="s">
        <v>3</v>
      </c>
    </row>
    <row r="104">
      <c r="B104" s="31" t="s">
        <v>56</v>
      </c>
      <c r="C104" s="14">
        <v>179000.0</v>
      </c>
      <c r="D104" s="15"/>
      <c r="E104" s="16"/>
    </row>
    <row r="105">
      <c r="B105" s="19" t="s">
        <v>6</v>
      </c>
      <c r="C105" s="76">
        <v>185000.0</v>
      </c>
      <c r="D105" s="21"/>
      <c r="E105" s="22"/>
      <c r="G105" s="96">
        <v>24000.0</v>
      </c>
    </row>
    <row r="106">
      <c r="B106" s="13" t="s">
        <v>9</v>
      </c>
      <c r="C106" s="23">
        <f>IF(E106="",$D$6*$C$4,E106*$C$29)</f>
        <v>179000</v>
      </c>
      <c r="D106" s="26">
        <v>0.2</v>
      </c>
      <c r="E106" s="87">
        <v>1.0</v>
      </c>
      <c r="G106" s="96">
        <v>2000.0</v>
      </c>
      <c r="H106" s="96" t="s">
        <v>114</v>
      </c>
    </row>
    <row r="107">
      <c r="B107" s="13" t="s">
        <v>10</v>
      </c>
      <c r="C107" s="23">
        <f>IF(E107="",$C$4*$D$7,E107)</f>
        <v>4598</v>
      </c>
      <c r="D107" s="26">
        <v>0.022</v>
      </c>
      <c r="E107" s="25"/>
      <c r="G107" s="96">
        <f>250*12</f>
        <v>3000</v>
      </c>
      <c r="H107" s="96" t="s">
        <v>115</v>
      </c>
    </row>
    <row r="108">
      <c r="B108" s="13" t="s">
        <v>12</v>
      </c>
      <c r="C108" s="28">
        <v>0.0775</v>
      </c>
      <c r="D108" s="15"/>
      <c r="E108" s="16"/>
      <c r="G108" s="96">
        <v>4400.0</v>
      </c>
      <c r="H108" s="96" t="s">
        <v>116</v>
      </c>
    </row>
    <row r="109">
      <c r="B109" s="13" t="s">
        <v>14</v>
      </c>
      <c r="C109" s="30">
        <v>30.0</v>
      </c>
      <c r="D109" s="15"/>
      <c r="E109" s="16"/>
      <c r="G109" s="97">
        <f>G105-SUM(G106,G107,G108)</f>
        <v>14600</v>
      </c>
      <c r="H109" s="96" t="s">
        <v>117</v>
      </c>
    </row>
    <row r="110">
      <c r="B110" s="13" t="s">
        <v>16</v>
      </c>
      <c r="C110" s="23">
        <f>C104-C106</f>
        <v>0</v>
      </c>
      <c r="D110" s="15"/>
      <c r="E110" s="16"/>
    </row>
    <row r="111">
      <c r="B111" s="31" t="s">
        <v>18</v>
      </c>
      <c r="C111" s="23">
        <f>-PMT(C108/12,C109*12,C110)</f>
        <v>0</v>
      </c>
      <c r="D111" s="15"/>
      <c r="E111" s="16"/>
    </row>
    <row r="112">
      <c r="B112" s="13" t="s">
        <v>20</v>
      </c>
      <c r="C112" s="14">
        <v>15000.0</v>
      </c>
      <c r="D112" s="15"/>
      <c r="E112" s="16"/>
    </row>
    <row r="113">
      <c r="B113" s="13" t="s">
        <v>22</v>
      </c>
      <c r="C113" s="23">
        <f>C112+C107+C106</f>
        <v>198598</v>
      </c>
      <c r="D113" s="15"/>
      <c r="E113" s="16"/>
    </row>
    <row r="114">
      <c r="B114" s="13"/>
      <c r="C114" s="32"/>
      <c r="D114" s="33"/>
      <c r="E114" s="32"/>
    </row>
    <row r="115">
      <c r="B115" s="34"/>
      <c r="C115" s="35"/>
      <c r="D115" s="36"/>
      <c r="E115" s="37"/>
    </row>
    <row r="116">
      <c r="B116" s="38" t="s">
        <v>24</v>
      </c>
      <c r="C116" s="39"/>
      <c r="D116" s="40" t="s">
        <v>25</v>
      </c>
      <c r="E116" s="40" t="s">
        <v>26</v>
      </c>
    </row>
    <row r="117">
      <c r="B117" s="42" t="s">
        <v>28</v>
      </c>
      <c r="C117" s="80"/>
      <c r="D117" s="43">
        <f>C111</f>
        <v>0</v>
      </c>
      <c r="E117" s="44">
        <f t="shared" ref="E117:E126" si="5">D117*12</f>
        <v>0</v>
      </c>
    </row>
    <row r="118">
      <c r="B118" s="46" t="s">
        <v>29</v>
      </c>
      <c r="C118" s="81"/>
      <c r="D118" s="47">
        <v>100.0</v>
      </c>
      <c r="E118" s="48">
        <f t="shared" si="5"/>
        <v>1200</v>
      </c>
    </row>
    <row r="119">
      <c r="B119" s="46" t="s">
        <v>30</v>
      </c>
      <c r="C119" s="81"/>
      <c r="D119" s="47">
        <v>30.0</v>
      </c>
      <c r="E119" s="48">
        <f t="shared" si="5"/>
        <v>360</v>
      </c>
    </row>
    <row r="120">
      <c r="B120" s="46" t="s">
        <v>31</v>
      </c>
      <c r="C120" s="81"/>
      <c r="D120" s="47">
        <v>70.0</v>
      </c>
      <c r="E120" s="48">
        <f t="shared" si="5"/>
        <v>840</v>
      </c>
    </row>
    <row r="121">
      <c r="B121" s="46" t="s">
        <v>32</v>
      </c>
      <c r="C121" s="81"/>
      <c r="D121" s="47">
        <v>50.0</v>
      </c>
      <c r="E121" s="48">
        <f t="shared" si="5"/>
        <v>600</v>
      </c>
    </row>
    <row r="122">
      <c r="B122" s="46" t="s">
        <v>33</v>
      </c>
      <c r="C122" s="82">
        <v>0.0243</v>
      </c>
      <c r="D122" s="47">
        <f>(C104*C122)/12</f>
        <v>362.475</v>
      </c>
      <c r="E122" s="48">
        <f t="shared" si="5"/>
        <v>4349.7</v>
      </c>
    </row>
    <row r="123">
      <c r="B123" s="19" t="s">
        <v>91</v>
      </c>
      <c r="C123" s="83"/>
      <c r="D123" s="47">
        <v>100.0</v>
      </c>
      <c r="E123" s="48">
        <f t="shared" si="5"/>
        <v>1200</v>
      </c>
    </row>
    <row r="124">
      <c r="B124" s="42" t="s">
        <v>34</v>
      </c>
      <c r="C124" s="50"/>
      <c r="D124" s="51">
        <f>SUM(D117:D123)</f>
        <v>712.475</v>
      </c>
      <c r="E124" s="52">
        <f t="shared" si="5"/>
        <v>8549.7</v>
      </c>
    </row>
    <row r="125">
      <c r="B125" s="46" t="s">
        <v>35</v>
      </c>
      <c r="C125" s="53">
        <v>600.0</v>
      </c>
      <c r="D125" s="47">
        <f>C125*4</f>
        <v>2400</v>
      </c>
      <c r="E125" s="48">
        <f t="shared" si="5"/>
        <v>28800</v>
      </c>
    </row>
    <row r="126">
      <c r="B126" s="54" t="s">
        <v>36</v>
      </c>
      <c r="C126" s="55"/>
      <c r="D126" s="56">
        <f>(D125-D124)</f>
        <v>1687.525</v>
      </c>
      <c r="E126" s="57">
        <f t="shared" si="5"/>
        <v>20250.3</v>
      </c>
    </row>
  </sheetData>
  <hyperlinks>
    <hyperlink r:id="rId1" ref="H3"/>
  </hyperlin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9.63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120</v>
      </c>
      <c r="C3" s="62"/>
      <c r="D3" s="7" t="s">
        <v>2</v>
      </c>
      <c r="E3" s="8" t="s">
        <v>3</v>
      </c>
      <c r="F3" s="9"/>
      <c r="G3" s="65" t="s">
        <v>4</v>
      </c>
      <c r="H3" s="85" t="s">
        <v>121</v>
      </c>
      <c r="I3" s="12"/>
    </row>
    <row r="4">
      <c r="A4" s="4"/>
      <c r="B4" s="31" t="s">
        <v>56</v>
      </c>
      <c r="C4" s="76">
        <v>195000.0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195000.0</v>
      </c>
      <c r="D5" s="21"/>
      <c r="E5" s="22"/>
      <c r="F5" s="9"/>
      <c r="G5" s="27" t="s">
        <v>11</v>
      </c>
      <c r="H5" s="9"/>
      <c r="I5" s="12"/>
    </row>
    <row r="6">
      <c r="A6" s="4"/>
      <c r="B6" s="13" t="s">
        <v>9</v>
      </c>
      <c r="C6" s="23">
        <f>IF(E6="",$D$6*$C$4,E6*C4)</f>
        <v>195000</v>
      </c>
      <c r="D6" s="86">
        <v>1.0</v>
      </c>
      <c r="E6" s="87"/>
      <c r="F6" s="9"/>
      <c r="G6" s="29" t="s">
        <v>101</v>
      </c>
      <c r="H6" s="29">
        <v>1100.0</v>
      </c>
      <c r="I6" s="12"/>
    </row>
    <row r="7">
      <c r="A7" s="4"/>
      <c r="B7" s="13" t="s">
        <v>10</v>
      </c>
      <c r="C7" s="23">
        <f>IF(E7="",$C$4*$D$7,E7)</f>
        <v>4290</v>
      </c>
      <c r="D7" s="26">
        <v>0.022</v>
      </c>
      <c r="E7" s="87"/>
      <c r="F7" s="9"/>
      <c r="G7" s="88" t="s">
        <v>102</v>
      </c>
      <c r="H7" s="29">
        <v>350.0</v>
      </c>
      <c r="I7" s="12"/>
    </row>
    <row r="8">
      <c r="A8" s="4"/>
      <c r="B8" s="13" t="s">
        <v>12</v>
      </c>
      <c r="C8" s="28">
        <v>0.0775</v>
      </c>
      <c r="D8" s="15"/>
      <c r="E8" s="16"/>
      <c r="F8" s="9"/>
      <c r="G8" s="89" t="s">
        <v>103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90" t="s">
        <v>104</v>
      </c>
      <c r="H9" s="9"/>
      <c r="I9" s="12"/>
    </row>
    <row r="10">
      <c r="A10" s="4"/>
      <c r="B10" s="13" t="s">
        <v>16</v>
      </c>
      <c r="C10" s="23">
        <f>C4-C6</f>
        <v>0</v>
      </c>
      <c r="D10" s="15"/>
      <c r="E10" s="16"/>
      <c r="F10" s="9"/>
      <c r="G10" s="98" t="s">
        <v>122</v>
      </c>
      <c r="H10" s="29">
        <v>1000.0</v>
      </c>
      <c r="I10" s="12"/>
    </row>
    <row r="11">
      <c r="A11" s="4"/>
      <c r="B11" s="31" t="s">
        <v>18</v>
      </c>
      <c r="C11" s="23">
        <f>-PMT(C8/12,C9*12,C10)</f>
        <v>0</v>
      </c>
      <c r="D11" s="15"/>
      <c r="E11" s="16"/>
      <c r="F11" s="9"/>
      <c r="G11" s="29" t="s">
        <v>106</v>
      </c>
      <c r="H11" s="29">
        <v>600.0</v>
      </c>
      <c r="I11" s="12"/>
    </row>
    <row r="12">
      <c r="A12" s="4"/>
      <c r="B12" s="13" t="s">
        <v>20</v>
      </c>
      <c r="C12" s="14">
        <v>5000.0</v>
      </c>
      <c r="D12" s="15"/>
      <c r="E12" s="16"/>
      <c r="F12" s="9"/>
      <c r="G12" s="29" t="s">
        <v>123</v>
      </c>
      <c r="H12" s="29">
        <v>480.0</v>
      </c>
      <c r="I12" s="12"/>
    </row>
    <row r="13">
      <c r="A13" s="4"/>
      <c r="B13" s="13" t="s">
        <v>22</v>
      </c>
      <c r="C13" s="23">
        <f>C12+C7+C6</f>
        <v>204290</v>
      </c>
      <c r="D13" s="15"/>
      <c r="E13" s="16"/>
      <c r="F13" s="9"/>
      <c r="G13" s="29" t="s">
        <v>124</v>
      </c>
      <c r="H13" s="29">
        <v>700.0</v>
      </c>
      <c r="I13" s="12"/>
    </row>
    <row r="14">
      <c r="A14" s="4"/>
      <c r="B14" s="13"/>
      <c r="C14" s="32"/>
      <c r="D14" s="33"/>
      <c r="E14" s="32"/>
      <c r="F14" s="9"/>
      <c r="G14" s="9"/>
      <c r="H14" s="91"/>
      <c r="I14" s="12"/>
    </row>
    <row r="15">
      <c r="A15" s="4"/>
      <c r="B15" s="34"/>
      <c r="C15" s="35"/>
      <c r="D15" s="36"/>
      <c r="E15" s="37"/>
      <c r="F15" s="9"/>
      <c r="G15" s="9"/>
      <c r="H15" s="99">
        <f>SUM(H6:H14)</f>
        <v>4230</v>
      </c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109</v>
      </c>
      <c r="H16" s="92" t="s">
        <v>110</v>
      </c>
      <c r="I16" s="12"/>
    </row>
    <row r="17">
      <c r="A17" s="4"/>
      <c r="B17" s="42" t="s">
        <v>28</v>
      </c>
      <c r="C17" s="80"/>
      <c r="D17" s="43">
        <f>C11</f>
        <v>0</v>
      </c>
      <c r="E17" s="44">
        <f t="shared" ref="E17:E26" si="1">D17*12</f>
        <v>0</v>
      </c>
      <c r="F17" s="9"/>
      <c r="G17" s="45">
        <f>E26/C13</f>
        <v>0.05992216946</v>
      </c>
      <c r="H17" s="93">
        <v>0.3</v>
      </c>
      <c r="I17" s="12"/>
    </row>
    <row r="18">
      <c r="A18" s="4"/>
      <c r="B18" s="46" t="s">
        <v>29</v>
      </c>
      <c r="C18" s="81"/>
      <c r="D18" s="47">
        <v>65.0</v>
      </c>
      <c r="E18" s="48">
        <f t="shared" si="1"/>
        <v>780</v>
      </c>
      <c r="F18" s="9"/>
      <c r="G18" s="45">
        <f>E51/C38</f>
        <v>0.1291301477</v>
      </c>
      <c r="H18" s="93">
        <v>0.5</v>
      </c>
      <c r="I18" s="12"/>
    </row>
    <row r="19">
      <c r="A19" s="4"/>
      <c r="B19" s="46" t="s">
        <v>30</v>
      </c>
      <c r="C19" s="81"/>
      <c r="D19" s="47">
        <v>30.0</v>
      </c>
      <c r="E19" s="48">
        <f t="shared" si="1"/>
        <v>360</v>
      </c>
      <c r="F19" s="9"/>
      <c r="G19" s="94">
        <f>E76/C63</f>
        <v>0.1129230762</v>
      </c>
      <c r="H19" s="93">
        <v>0.7</v>
      </c>
      <c r="I19" s="12"/>
    </row>
    <row r="20">
      <c r="A20" s="4"/>
      <c r="B20" s="46" t="s">
        <v>31</v>
      </c>
      <c r="C20" s="81"/>
      <c r="D20" s="47">
        <v>70.0</v>
      </c>
      <c r="E20" s="48">
        <f t="shared" si="1"/>
        <v>840</v>
      </c>
      <c r="F20" s="9"/>
      <c r="G20" s="94">
        <f>E101/C88</f>
        <v>0.09663468599</v>
      </c>
      <c r="H20" s="93">
        <v>1.0</v>
      </c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29"/>
      <c r="H21" s="9"/>
      <c r="I21" s="12"/>
    </row>
    <row r="22">
      <c r="A22" s="4"/>
      <c r="B22" s="46" t="s">
        <v>33</v>
      </c>
      <c r="C22" s="82">
        <v>0.0243</v>
      </c>
      <c r="D22" s="47">
        <f>(C5*C22)/12</f>
        <v>394.875</v>
      </c>
      <c r="E22" s="48">
        <f t="shared" si="1"/>
        <v>4738.5</v>
      </c>
      <c r="F22" s="9"/>
      <c r="G22" s="29" t="s">
        <v>125</v>
      </c>
      <c r="H22" s="9"/>
      <c r="I22" s="12"/>
    </row>
    <row r="23">
      <c r="A23" s="4"/>
      <c r="B23" s="19" t="s">
        <v>91</v>
      </c>
      <c r="C23" s="83"/>
      <c r="D23" s="47">
        <v>70.0</v>
      </c>
      <c r="E23" s="48">
        <f t="shared" si="1"/>
        <v>840</v>
      </c>
      <c r="F23" s="9"/>
      <c r="G23" s="29" t="s">
        <v>126</v>
      </c>
      <c r="H23" s="9"/>
      <c r="I23" s="12"/>
    </row>
    <row r="24">
      <c r="A24" s="4"/>
      <c r="B24" s="42" t="s">
        <v>34</v>
      </c>
      <c r="C24" s="50"/>
      <c r="D24" s="51">
        <f>SUM(D17:D23)</f>
        <v>679.875</v>
      </c>
      <c r="E24" s="52">
        <f t="shared" si="1"/>
        <v>8158.5</v>
      </c>
      <c r="F24" s="9"/>
      <c r="G24" s="9">
        <f>8*100</f>
        <v>800</v>
      </c>
      <c r="H24" s="9"/>
      <c r="I24" s="12"/>
    </row>
    <row r="25">
      <c r="A25" s="4"/>
      <c r="B25" s="46" t="s">
        <v>35</v>
      </c>
      <c r="C25" s="53">
        <v>425.0</v>
      </c>
      <c r="D25" s="47">
        <f>C25*4</f>
        <v>1700</v>
      </c>
      <c r="E25" s="48">
        <f t="shared" si="1"/>
        <v>20400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1020.125</v>
      </c>
      <c r="E26" s="57">
        <f t="shared" si="1"/>
        <v>12241.5</v>
      </c>
      <c r="F26" s="9"/>
      <c r="G26" s="9"/>
      <c r="H26" s="9"/>
      <c r="I26" s="12"/>
    </row>
    <row r="27">
      <c r="A27" s="58"/>
      <c r="B27" s="35"/>
      <c r="C27" s="36"/>
      <c r="D27" s="36"/>
      <c r="E27" s="95"/>
      <c r="F27" s="59"/>
      <c r="G27" s="59"/>
      <c r="H27" s="59"/>
      <c r="I27" s="61"/>
    </row>
    <row r="28">
      <c r="A28" s="1"/>
      <c r="B28" s="5" t="s">
        <v>111</v>
      </c>
      <c r="C28" s="62"/>
      <c r="D28" s="7" t="s">
        <v>2</v>
      </c>
      <c r="E28" s="8" t="s">
        <v>3</v>
      </c>
      <c r="F28" s="2"/>
      <c r="G28" s="2"/>
      <c r="H28" s="2"/>
      <c r="I28" s="3"/>
    </row>
    <row r="29">
      <c r="A29" s="4"/>
      <c r="B29" s="31" t="s">
        <v>56</v>
      </c>
      <c r="C29" s="76">
        <v>195000.0</v>
      </c>
      <c r="D29" s="15"/>
      <c r="E29" s="16"/>
      <c r="F29" s="9"/>
      <c r="G29" s="9"/>
      <c r="H29" s="9"/>
      <c r="I29" s="12"/>
    </row>
    <row r="30">
      <c r="A30" s="4"/>
      <c r="B30" s="19" t="s">
        <v>6</v>
      </c>
      <c r="C30" s="76">
        <v>195000.0</v>
      </c>
      <c r="D30" s="21"/>
      <c r="E30" s="22"/>
      <c r="F30" s="9"/>
      <c r="G30" s="9"/>
      <c r="H30" s="9"/>
      <c r="I30" s="12"/>
    </row>
    <row r="31">
      <c r="A31" s="4"/>
      <c r="B31" s="13" t="s">
        <v>9</v>
      </c>
      <c r="C31" s="23">
        <f>IF(E31="",$D$6*$C$4,E31*$C$29)</f>
        <v>78000</v>
      </c>
      <c r="D31" s="26">
        <v>0.2</v>
      </c>
      <c r="E31" s="87">
        <v>0.4</v>
      </c>
      <c r="F31" s="9"/>
      <c r="G31" s="9"/>
      <c r="H31" s="9"/>
      <c r="I31" s="12"/>
    </row>
    <row r="32">
      <c r="A32" s="4"/>
      <c r="B32" s="13" t="s">
        <v>10</v>
      </c>
      <c r="C32" s="23">
        <f>IF(E32="",$C$4*$D$7,E32)</f>
        <v>4290</v>
      </c>
      <c r="D32" s="26">
        <v>0.022</v>
      </c>
      <c r="E32" s="25"/>
      <c r="F32" s="9"/>
      <c r="G32" s="9"/>
      <c r="H32" s="9"/>
      <c r="I32" s="12"/>
    </row>
    <row r="33">
      <c r="A33" s="4"/>
      <c r="B33" s="13" t="s">
        <v>12</v>
      </c>
      <c r="C33" s="28">
        <v>0.0775</v>
      </c>
      <c r="D33" s="15"/>
      <c r="E33" s="16"/>
      <c r="F33" s="9"/>
      <c r="G33" s="9"/>
      <c r="H33" s="9"/>
      <c r="I33" s="12"/>
    </row>
    <row r="34">
      <c r="A34" s="4"/>
      <c r="B34" s="13" t="s">
        <v>14</v>
      </c>
      <c r="C34" s="30">
        <v>30.0</v>
      </c>
      <c r="D34" s="15"/>
      <c r="E34" s="16"/>
      <c r="F34" s="9"/>
      <c r="G34" s="9"/>
      <c r="H34" s="9"/>
      <c r="I34" s="12"/>
    </row>
    <row r="35">
      <c r="A35" s="4"/>
      <c r="B35" s="13" t="s">
        <v>16</v>
      </c>
      <c r="C35" s="23">
        <f>C29-C31</f>
        <v>117000</v>
      </c>
      <c r="D35" s="15"/>
      <c r="E35" s="16"/>
      <c r="F35" s="9"/>
      <c r="G35" s="9"/>
      <c r="H35" s="9"/>
      <c r="I35" s="12"/>
    </row>
    <row r="36">
      <c r="A36" s="4"/>
      <c r="B36" s="31" t="s">
        <v>18</v>
      </c>
      <c r="C36" s="23">
        <f>-PMT(C33/12,C34*12,C35)</f>
        <v>838.2023273</v>
      </c>
      <c r="D36" s="15"/>
      <c r="E36" s="16"/>
      <c r="F36" s="9"/>
      <c r="G36" s="9"/>
      <c r="H36" s="9"/>
      <c r="I36" s="12"/>
    </row>
    <row r="37">
      <c r="A37" s="4"/>
      <c r="B37" s="13" t="s">
        <v>20</v>
      </c>
      <c r="C37" s="14">
        <v>15000.0</v>
      </c>
      <c r="D37" s="15"/>
      <c r="E37" s="16"/>
      <c r="F37" s="9"/>
      <c r="G37" s="9"/>
      <c r="H37" s="9"/>
      <c r="I37" s="12"/>
    </row>
    <row r="38">
      <c r="A38" s="4"/>
      <c r="B38" s="13" t="s">
        <v>22</v>
      </c>
      <c r="C38" s="23">
        <f>C37+C32+C31</f>
        <v>97290</v>
      </c>
      <c r="D38" s="15"/>
      <c r="E38" s="16"/>
      <c r="F38" s="9"/>
      <c r="G38" s="9"/>
      <c r="H38" s="9"/>
      <c r="I38" s="12"/>
    </row>
    <row r="39">
      <c r="A39" s="4"/>
      <c r="B39" s="13"/>
      <c r="C39" s="32"/>
      <c r="D39" s="33"/>
      <c r="E39" s="32"/>
      <c r="F39" s="9"/>
      <c r="G39" s="9"/>
      <c r="H39" s="9"/>
      <c r="I39" s="12"/>
    </row>
    <row r="40">
      <c r="A40" s="4"/>
      <c r="B40" s="34"/>
      <c r="C40" s="35"/>
      <c r="D40" s="36"/>
      <c r="E40" s="37"/>
      <c r="F40" s="9"/>
      <c r="G40" s="9"/>
      <c r="H40" s="9"/>
      <c r="I40" s="12"/>
    </row>
    <row r="41">
      <c r="A41" s="4"/>
      <c r="B41" s="38" t="s">
        <v>24</v>
      </c>
      <c r="C41" s="39"/>
      <c r="D41" s="40" t="s">
        <v>25</v>
      </c>
      <c r="E41" s="40" t="s">
        <v>26</v>
      </c>
      <c r="F41" s="9"/>
      <c r="G41" s="9"/>
      <c r="H41" s="9"/>
      <c r="I41" s="12"/>
    </row>
    <row r="42">
      <c r="A42" s="4"/>
      <c r="B42" s="42" t="s">
        <v>28</v>
      </c>
      <c r="C42" s="80"/>
      <c r="D42" s="43">
        <f>C36</f>
        <v>838.2023273</v>
      </c>
      <c r="E42" s="44">
        <f t="shared" ref="E42:E51" si="2">D42*12</f>
        <v>10058.42793</v>
      </c>
      <c r="F42" s="9"/>
      <c r="G42" s="9"/>
      <c r="H42" s="9"/>
      <c r="I42" s="12"/>
    </row>
    <row r="43">
      <c r="A43" s="4"/>
      <c r="B43" s="46" t="s">
        <v>29</v>
      </c>
      <c r="C43" s="81"/>
      <c r="D43" s="47">
        <v>70.0</v>
      </c>
      <c r="E43" s="48">
        <f t="shared" si="2"/>
        <v>840</v>
      </c>
      <c r="F43" s="9"/>
      <c r="G43" s="9"/>
      <c r="H43" s="9"/>
      <c r="I43" s="12"/>
    </row>
    <row r="44">
      <c r="A44" s="4"/>
      <c r="B44" s="46" t="s">
        <v>30</v>
      </c>
      <c r="C44" s="81"/>
      <c r="D44" s="47">
        <v>30.0</v>
      </c>
      <c r="E44" s="48">
        <f t="shared" si="2"/>
        <v>360</v>
      </c>
      <c r="F44" s="9"/>
      <c r="G44" s="9"/>
      <c r="H44" s="9"/>
      <c r="I44" s="12"/>
    </row>
    <row r="45">
      <c r="A45" s="4"/>
      <c r="B45" s="46" t="s">
        <v>31</v>
      </c>
      <c r="C45" s="81"/>
      <c r="D45" s="47">
        <v>70.0</v>
      </c>
      <c r="E45" s="48">
        <f t="shared" si="2"/>
        <v>840</v>
      </c>
      <c r="F45" s="9"/>
      <c r="G45" s="9"/>
      <c r="H45" s="9"/>
      <c r="I45" s="12"/>
    </row>
    <row r="46">
      <c r="A46" s="4"/>
      <c r="B46" s="46" t="s">
        <v>32</v>
      </c>
      <c r="C46" s="81"/>
      <c r="D46" s="47">
        <v>50.0</v>
      </c>
      <c r="E46" s="48">
        <f t="shared" si="2"/>
        <v>600</v>
      </c>
      <c r="F46" s="9"/>
      <c r="G46" s="9"/>
      <c r="H46" s="9"/>
      <c r="I46" s="12"/>
    </row>
    <row r="47">
      <c r="A47" s="4"/>
      <c r="B47" s="46" t="s">
        <v>33</v>
      </c>
      <c r="C47" s="82">
        <v>0.0243</v>
      </c>
      <c r="D47" s="47">
        <f>(C29*C47)/12</f>
        <v>394.875</v>
      </c>
      <c r="E47" s="48">
        <f t="shared" si="2"/>
        <v>4738.5</v>
      </c>
      <c r="F47" s="9"/>
      <c r="G47" s="9"/>
      <c r="H47" s="9"/>
      <c r="I47" s="12"/>
    </row>
    <row r="48">
      <c r="A48" s="4"/>
      <c r="B48" s="19" t="s">
        <v>91</v>
      </c>
      <c r="C48" s="83"/>
      <c r="D48" s="47">
        <v>100.0</v>
      </c>
      <c r="E48" s="48">
        <f t="shared" si="2"/>
        <v>1200</v>
      </c>
      <c r="F48" s="9"/>
      <c r="G48" s="9"/>
      <c r="H48" s="9"/>
      <c r="I48" s="12"/>
    </row>
    <row r="49">
      <c r="A49" s="4"/>
      <c r="B49" s="42" t="s">
        <v>34</v>
      </c>
      <c r="C49" s="50"/>
      <c r="D49" s="51">
        <f>SUM(D42:D48)</f>
        <v>1553.077327</v>
      </c>
      <c r="E49" s="52">
        <f t="shared" si="2"/>
        <v>18636.92793</v>
      </c>
      <c r="F49" s="9"/>
      <c r="G49" s="9"/>
      <c r="H49" s="9"/>
      <c r="I49" s="12"/>
    </row>
    <row r="50">
      <c r="A50" s="4"/>
      <c r="B50" s="46" t="s">
        <v>35</v>
      </c>
      <c r="C50" s="53">
        <v>650.0</v>
      </c>
      <c r="D50" s="47">
        <f>C50*4</f>
        <v>2600</v>
      </c>
      <c r="E50" s="48">
        <f t="shared" si="2"/>
        <v>31200</v>
      </c>
      <c r="F50" s="9"/>
      <c r="G50" s="9"/>
      <c r="H50" s="9"/>
      <c r="I50" s="12"/>
    </row>
    <row r="51">
      <c r="A51" s="4"/>
      <c r="B51" s="54" t="s">
        <v>36</v>
      </c>
      <c r="C51" s="55"/>
      <c r="D51" s="56">
        <f>(D50-D49)</f>
        <v>1046.922673</v>
      </c>
      <c r="E51" s="57">
        <f t="shared" si="2"/>
        <v>12563.07207</v>
      </c>
      <c r="F51" s="9"/>
      <c r="G51" s="9"/>
      <c r="H51" s="9"/>
      <c r="I51" s="12"/>
    </row>
    <row r="52">
      <c r="A52" s="4"/>
      <c r="B52" s="35"/>
      <c r="C52" s="36"/>
      <c r="D52" s="36"/>
      <c r="E52" s="37"/>
      <c r="F52" s="9"/>
      <c r="G52" s="9"/>
      <c r="H52" s="9"/>
      <c r="I52" s="12"/>
    </row>
    <row r="53">
      <c r="A53" s="1"/>
      <c r="B53" s="5" t="s">
        <v>112</v>
      </c>
      <c r="C53" s="62"/>
      <c r="D53" s="7" t="s">
        <v>2</v>
      </c>
      <c r="E53" s="8" t="s">
        <v>3</v>
      </c>
      <c r="F53" s="2"/>
      <c r="G53" s="2"/>
      <c r="H53" s="2"/>
      <c r="I53" s="3"/>
    </row>
    <row r="54">
      <c r="A54" s="4"/>
      <c r="B54" s="31" t="s">
        <v>56</v>
      </c>
      <c r="C54" s="76">
        <v>195000.0</v>
      </c>
      <c r="D54" s="15"/>
      <c r="E54" s="16"/>
      <c r="F54" s="9"/>
      <c r="G54" s="9"/>
      <c r="H54" s="9"/>
      <c r="I54" s="12"/>
    </row>
    <row r="55">
      <c r="A55" s="4"/>
      <c r="B55" s="19" t="s">
        <v>6</v>
      </c>
      <c r="C55" s="76">
        <v>195000.0</v>
      </c>
      <c r="D55" s="21"/>
      <c r="E55" s="22"/>
      <c r="F55" s="9"/>
      <c r="G55" s="9"/>
      <c r="H55" s="9"/>
      <c r="I55" s="12"/>
    </row>
    <row r="56">
      <c r="A56" s="4"/>
      <c r="B56" s="13" t="s">
        <v>9</v>
      </c>
      <c r="C56" s="23">
        <f>IF(E56="",$D$6*$C$4,E56*$C$29)</f>
        <v>136500</v>
      </c>
      <c r="D56" s="26">
        <v>0.2</v>
      </c>
      <c r="E56" s="87">
        <v>0.7</v>
      </c>
      <c r="F56" s="9"/>
      <c r="G56" s="9"/>
      <c r="H56" s="9"/>
      <c r="I56" s="12"/>
    </row>
    <row r="57">
      <c r="A57" s="4"/>
      <c r="B57" s="13" t="s">
        <v>10</v>
      </c>
      <c r="C57" s="23">
        <f>IF(E57="",$C$4*$D$7,E57)</f>
        <v>4290</v>
      </c>
      <c r="D57" s="26">
        <v>0.022</v>
      </c>
      <c r="E57" s="25"/>
      <c r="F57" s="9"/>
      <c r="G57" s="9"/>
      <c r="H57" s="9"/>
      <c r="I57" s="12"/>
    </row>
    <row r="58">
      <c r="A58" s="4"/>
      <c r="B58" s="13" t="s">
        <v>12</v>
      </c>
      <c r="C58" s="28">
        <v>0.0775</v>
      </c>
      <c r="D58" s="15"/>
      <c r="E58" s="16"/>
      <c r="F58" s="9"/>
      <c r="G58" s="9"/>
      <c r="H58" s="9"/>
      <c r="I58" s="12"/>
    </row>
    <row r="59">
      <c r="A59" s="4"/>
      <c r="B59" s="13" t="s">
        <v>14</v>
      </c>
      <c r="C59" s="30">
        <v>30.0</v>
      </c>
      <c r="D59" s="15"/>
      <c r="E59" s="16"/>
      <c r="F59" s="9"/>
      <c r="G59" s="9"/>
      <c r="H59" s="9"/>
      <c r="I59" s="12"/>
    </row>
    <row r="60">
      <c r="A60" s="4"/>
      <c r="B60" s="13" t="s">
        <v>16</v>
      </c>
      <c r="C60" s="23">
        <f>C54-C56</f>
        <v>58500</v>
      </c>
      <c r="D60" s="15"/>
      <c r="E60" s="16"/>
      <c r="F60" s="9"/>
      <c r="G60" s="9"/>
      <c r="H60" s="9"/>
      <c r="I60" s="12"/>
    </row>
    <row r="61">
      <c r="A61" s="4"/>
      <c r="B61" s="31" t="s">
        <v>18</v>
      </c>
      <c r="C61" s="23">
        <f>-PMT(C58/12,C59*12,C60)</f>
        <v>419.1011637</v>
      </c>
      <c r="D61" s="15"/>
      <c r="E61" s="16"/>
      <c r="F61" s="9"/>
      <c r="G61" s="9"/>
      <c r="H61" s="9"/>
      <c r="I61" s="12"/>
    </row>
    <row r="62">
      <c r="A62" s="4"/>
      <c r="B62" s="13" t="s">
        <v>20</v>
      </c>
      <c r="C62" s="14">
        <v>15000.0</v>
      </c>
      <c r="D62" s="15"/>
      <c r="E62" s="16"/>
      <c r="F62" s="9"/>
      <c r="G62" s="9"/>
      <c r="H62" s="9"/>
      <c r="I62" s="12"/>
    </row>
    <row r="63">
      <c r="A63" s="4"/>
      <c r="B63" s="13" t="s">
        <v>22</v>
      </c>
      <c r="C63" s="23">
        <f>C62+C57+C56</f>
        <v>155790</v>
      </c>
      <c r="D63" s="15"/>
      <c r="E63" s="16"/>
      <c r="F63" s="9"/>
      <c r="G63" s="9"/>
      <c r="H63" s="9"/>
      <c r="I63" s="12"/>
    </row>
    <row r="64">
      <c r="A64" s="4"/>
      <c r="B64" s="13"/>
      <c r="C64" s="32"/>
      <c r="D64" s="33"/>
      <c r="E64" s="32"/>
      <c r="F64" s="9"/>
      <c r="G64" s="9"/>
      <c r="H64" s="9"/>
      <c r="I64" s="12"/>
    </row>
    <row r="65">
      <c r="A65" s="4"/>
      <c r="B65" s="34"/>
      <c r="C65" s="35"/>
      <c r="D65" s="36"/>
      <c r="E65" s="37"/>
      <c r="F65" s="9"/>
      <c r="G65" s="9"/>
      <c r="H65" s="9"/>
      <c r="I65" s="12"/>
    </row>
    <row r="66">
      <c r="A66" s="4"/>
      <c r="B66" s="38" t="s">
        <v>24</v>
      </c>
      <c r="C66" s="39"/>
      <c r="D66" s="40" t="s">
        <v>25</v>
      </c>
      <c r="E66" s="40" t="s">
        <v>26</v>
      </c>
      <c r="F66" s="9"/>
      <c r="G66" s="9"/>
      <c r="H66" s="9"/>
      <c r="I66" s="12"/>
    </row>
    <row r="67">
      <c r="A67" s="4"/>
      <c r="B67" s="42" t="s">
        <v>28</v>
      </c>
      <c r="C67" s="80"/>
      <c r="D67" s="43">
        <f>C61</f>
        <v>419.1011637</v>
      </c>
      <c r="E67" s="44">
        <f t="shared" ref="E67:E76" si="3">D67*12</f>
        <v>5029.213964</v>
      </c>
      <c r="F67" s="9"/>
      <c r="G67" s="9"/>
      <c r="H67" s="9"/>
      <c r="I67" s="12"/>
    </row>
    <row r="68">
      <c r="A68" s="4"/>
      <c r="B68" s="46" t="s">
        <v>29</v>
      </c>
      <c r="C68" s="81"/>
      <c r="D68" s="47">
        <v>70.0</v>
      </c>
      <c r="E68" s="48">
        <f t="shared" si="3"/>
        <v>840</v>
      </c>
      <c r="F68" s="9"/>
      <c r="G68" s="9"/>
      <c r="H68" s="9"/>
      <c r="I68" s="12"/>
    </row>
    <row r="69">
      <c r="A69" s="4"/>
      <c r="B69" s="46" t="s">
        <v>30</v>
      </c>
      <c r="C69" s="81"/>
      <c r="D69" s="47">
        <v>30.0</v>
      </c>
      <c r="E69" s="48">
        <f t="shared" si="3"/>
        <v>360</v>
      </c>
      <c r="F69" s="9"/>
      <c r="G69" s="9"/>
      <c r="H69" s="9"/>
      <c r="I69" s="12"/>
    </row>
    <row r="70">
      <c r="A70" s="4"/>
      <c r="B70" s="46" t="s">
        <v>31</v>
      </c>
      <c r="C70" s="81"/>
      <c r="D70" s="47">
        <v>70.0</v>
      </c>
      <c r="E70" s="48">
        <f t="shared" si="3"/>
        <v>840</v>
      </c>
      <c r="F70" s="9"/>
      <c r="G70" s="9"/>
      <c r="H70" s="9"/>
      <c r="I70" s="12"/>
    </row>
    <row r="71">
      <c r="A71" s="4"/>
      <c r="B71" s="46" t="s">
        <v>32</v>
      </c>
      <c r="C71" s="81"/>
      <c r="D71" s="47">
        <v>50.0</v>
      </c>
      <c r="E71" s="48">
        <f t="shared" si="3"/>
        <v>600</v>
      </c>
      <c r="F71" s="9"/>
      <c r="G71" s="9"/>
      <c r="H71" s="9"/>
      <c r="I71" s="12"/>
    </row>
    <row r="72">
      <c r="A72" s="4"/>
      <c r="B72" s="46" t="s">
        <v>33</v>
      </c>
      <c r="C72" s="82">
        <v>0.0243</v>
      </c>
      <c r="D72" s="47">
        <f>(C54*C72)/12</f>
        <v>394.875</v>
      </c>
      <c r="E72" s="48">
        <f t="shared" si="3"/>
        <v>4738.5</v>
      </c>
      <c r="F72" s="9"/>
      <c r="G72" s="9"/>
      <c r="H72" s="9"/>
      <c r="I72" s="12"/>
    </row>
    <row r="73">
      <c r="A73" s="4"/>
      <c r="B73" s="19" t="s">
        <v>91</v>
      </c>
      <c r="C73" s="83"/>
      <c r="D73" s="47">
        <v>100.0</v>
      </c>
      <c r="E73" s="48">
        <f t="shared" si="3"/>
        <v>1200</v>
      </c>
      <c r="F73" s="9"/>
      <c r="G73" s="9"/>
      <c r="H73" s="9"/>
      <c r="I73" s="12"/>
    </row>
    <row r="74">
      <c r="A74" s="4"/>
      <c r="B74" s="42" t="s">
        <v>34</v>
      </c>
      <c r="C74" s="50"/>
      <c r="D74" s="51">
        <f>SUM(D67:D73)</f>
        <v>1133.976164</v>
      </c>
      <c r="E74" s="52">
        <f t="shared" si="3"/>
        <v>13607.71396</v>
      </c>
      <c r="F74" s="9"/>
      <c r="G74" s="9"/>
      <c r="H74" s="9"/>
      <c r="I74" s="12"/>
    </row>
    <row r="75">
      <c r="A75" s="4"/>
      <c r="B75" s="46" t="s">
        <v>35</v>
      </c>
      <c r="C75" s="53">
        <v>650.0</v>
      </c>
      <c r="D75" s="47">
        <f>C75*4</f>
        <v>2600</v>
      </c>
      <c r="E75" s="48">
        <f t="shared" si="3"/>
        <v>31200</v>
      </c>
      <c r="F75" s="9"/>
      <c r="G75" s="9"/>
      <c r="H75" s="9"/>
      <c r="I75" s="12"/>
    </row>
    <row r="76">
      <c r="A76" s="58"/>
      <c r="B76" s="54" t="s">
        <v>36</v>
      </c>
      <c r="C76" s="55"/>
      <c r="D76" s="56">
        <f>(D75-D74)</f>
        <v>1466.023836</v>
      </c>
      <c r="E76" s="57">
        <f t="shared" si="3"/>
        <v>17592.28604</v>
      </c>
      <c r="F76" s="59"/>
      <c r="G76" s="59"/>
      <c r="H76" s="59"/>
      <c r="I76" s="61"/>
    </row>
    <row r="77">
      <c r="A77" s="4"/>
      <c r="B77" s="9"/>
      <c r="C77" s="9"/>
      <c r="D77" s="9"/>
      <c r="E77" s="9"/>
      <c r="F77" s="9"/>
      <c r="G77" s="9"/>
      <c r="H77" s="9"/>
      <c r="I77" s="12"/>
    </row>
    <row r="78">
      <c r="A78" s="1"/>
      <c r="B78" s="5" t="s">
        <v>127</v>
      </c>
      <c r="C78" s="62"/>
      <c r="D78" s="7" t="s">
        <v>2</v>
      </c>
      <c r="E78" s="8" t="s">
        <v>3</v>
      </c>
      <c r="F78" s="2"/>
      <c r="G78" s="2"/>
      <c r="H78" s="2"/>
      <c r="I78" s="3"/>
    </row>
    <row r="79">
      <c r="A79" s="4"/>
      <c r="B79" s="31" t="s">
        <v>56</v>
      </c>
      <c r="C79" s="76">
        <v>195000.0</v>
      </c>
      <c r="D79" s="15"/>
      <c r="E79" s="16"/>
      <c r="F79" s="9"/>
      <c r="G79" s="9"/>
      <c r="H79" s="9"/>
      <c r="I79" s="12"/>
    </row>
    <row r="80">
      <c r="A80" s="4"/>
      <c r="B80" s="19" t="s">
        <v>6</v>
      </c>
      <c r="C80" s="76">
        <v>195000.0</v>
      </c>
      <c r="D80" s="21"/>
      <c r="E80" s="22"/>
      <c r="F80" s="9"/>
      <c r="G80" s="9"/>
      <c r="H80" s="9"/>
      <c r="I80" s="12"/>
    </row>
    <row r="81">
      <c r="A81" s="4"/>
      <c r="B81" s="13" t="s">
        <v>9</v>
      </c>
      <c r="C81" s="23">
        <f>IF(E81="",$D$6*$C$4,E81*$C$29)</f>
        <v>195000</v>
      </c>
      <c r="D81" s="26">
        <v>0.2</v>
      </c>
      <c r="E81" s="87">
        <v>1.0</v>
      </c>
      <c r="F81" s="9"/>
      <c r="G81" s="9"/>
      <c r="H81" s="9"/>
      <c r="I81" s="12"/>
    </row>
    <row r="82">
      <c r="A82" s="4"/>
      <c r="B82" s="13" t="s">
        <v>10</v>
      </c>
      <c r="C82" s="23">
        <f>IF(E82="",$C$4*$D$7,E82)</f>
        <v>4290</v>
      </c>
      <c r="D82" s="26">
        <v>0.022</v>
      </c>
      <c r="E82" s="25"/>
      <c r="F82" s="9"/>
      <c r="G82" s="9"/>
      <c r="H82" s="9"/>
      <c r="I82" s="12"/>
    </row>
    <row r="83">
      <c r="A83" s="4"/>
      <c r="B83" s="13" t="s">
        <v>12</v>
      </c>
      <c r="C83" s="28">
        <v>0.0775</v>
      </c>
      <c r="D83" s="15"/>
      <c r="E83" s="16"/>
      <c r="F83" s="9"/>
      <c r="G83" s="9"/>
      <c r="H83" s="9"/>
      <c r="I83" s="12"/>
    </row>
    <row r="84">
      <c r="A84" s="4"/>
      <c r="B84" s="13" t="s">
        <v>14</v>
      </c>
      <c r="C84" s="30">
        <v>30.0</v>
      </c>
      <c r="D84" s="15"/>
      <c r="E84" s="16"/>
      <c r="F84" s="9"/>
      <c r="G84" s="9"/>
      <c r="H84" s="9"/>
      <c r="I84" s="12"/>
    </row>
    <row r="85">
      <c r="A85" s="4"/>
      <c r="B85" s="13" t="s">
        <v>16</v>
      </c>
      <c r="C85" s="23">
        <f>C79-C81</f>
        <v>0</v>
      </c>
      <c r="D85" s="15"/>
      <c r="E85" s="16"/>
      <c r="F85" s="9"/>
      <c r="G85" s="9"/>
      <c r="H85" s="9"/>
      <c r="I85" s="12"/>
    </row>
    <row r="86">
      <c r="A86" s="4"/>
      <c r="B86" s="31" t="s">
        <v>18</v>
      </c>
      <c r="C86" s="23">
        <f>-PMT(C83/12,C84*12,C85)</f>
        <v>0</v>
      </c>
      <c r="D86" s="15"/>
      <c r="E86" s="16"/>
      <c r="F86" s="9"/>
      <c r="G86" s="9"/>
      <c r="H86" s="9"/>
      <c r="I86" s="12"/>
    </row>
    <row r="87">
      <c r="A87" s="4"/>
      <c r="B87" s="13" t="s">
        <v>20</v>
      </c>
      <c r="C87" s="14">
        <v>5000.0</v>
      </c>
      <c r="D87" s="15"/>
      <c r="E87" s="16"/>
      <c r="F87" s="9"/>
      <c r="G87" s="9"/>
      <c r="H87" s="9"/>
      <c r="I87" s="12"/>
    </row>
    <row r="88">
      <c r="A88" s="4"/>
      <c r="B88" s="13" t="s">
        <v>22</v>
      </c>
      <c r="C88" s="23">
        <f>C87+C82+C81</f>
        <v>204290</v>
      </c>
      <c r="D88" s="15"/>
      <c r="E88" s="16"/>
      <c r="F88" s="9"/>
      <c r="G88" s="9"/>
      <c r="H88" s="9"/>
      <c r="I88" s="12"/>
    </row>
    <row r="89">
      <c r="A89" s="4"/>
      <c r="B89" s="13"/>
      <c r="C89" s="32"/>
      <c r="D89" s="33"/>
      <c r="E89" s="32"/>
      <c r="F89" s="9"/>
      <c r="G89" s="9"/>
      <c r="H89" s="9"/>
      <c r="I89" s="12"/>
    </row>
    <row r="90">
      <c r="A90" s="4"/>
      <c r="B90" s="34"/>
      <c r="C90" s="35"/>
      <c r="D90" s="36"/>
      <c r="E90" s="37"/>
      <c r="F90" s="9"/>
      <c r="G90" s="9"/>
      <c r="H90" s="9"/>
      <c r="I90" s="12"/>
    </row>
    <row r="91">
      <c r="A91" s="4"/>
      <c r="B91" s="38" t="s">
        <v>24</v>
      </c>
      <c r="C91" s="39"/>
      <c r="D91" s="40" t="s">
        <v>25</v>
      </c>
      <c r="E91" s="40" t="s">
        <v>26</v>
      </c>
      <c r="F91" s="9"/>
      <c r="G91" s="9"/>
      <c r="H91" s="9"/>
      <c r="I91" s="12"/>
    </row>
    <row r="92">
      <c r="A92" s="4"/>
      <c r="B92" s="42" t="s">
        <v>28</v>
      </c>
      <c r="C92" s="80"/>
      <c r="D92" s="43">
        <f>C86</f>
        <v>0</v>
      </c>
      <c r="E92" s="44">
        <f t="shared" ref="E92:E101" si="4">D92*12</f>
        <v>0</v>
      </c>
      <c r="F92" s="9"/>
      <c r="G92" s="9"/>
      <c r="H92" s="9"/>
      <c r="I92" s="12"/>
    </row>
    <row r="93">
      <c r="A93" s="4"/>
      <c r="B93" s="46" t="s">
        <v>29</v>
      </c>
      <c r="C93" s="81"/>
      <c r="D93" s="47">
        <v>70.0</v>
      </c>
      <c r="E93" s="48">
        <f t="shared" si="4"/>
        <v>840</v>
      </c>
      <c r="F93" s="9"/>
      <c r="G93" s="9"/>
      <c r="H93" s="9"/>
      <c r="I93" s="12"/>
    </row>
    <row r="94">
      <c r="A94" s="4"/>
      <c r="B94" s="46" t="s">
        <v>30</v>
      </c>
      <c r="C94" s="81"/>
      <c r="D94" s="47">
        <v>30.0</v>
      </c>
      <c r="E94" s="48">
        <f t="shared" si="4"/>
        <v>360</v>
      </c>
      <c r="F94" s="9"/>
      <c r="G94" s="9"/>
      <c r="H94" s="9"/>
      <c r="I94" s="12"/>
    </row>
    <row r="95">
      <c r="A95" s="4"/>
      <c r="B95" s="46" t="s">
        <v>31</v>
      </c>
      <c r="C95" s="81"/>
      <c r="D95" s="47">
        <v>80.0</v>
      </c>
      <c r="E95" s="48">
        <f t="shared" si="4"/>
        <v>960</v>
      </c>
      <c r="F95" s="9"/>
      <c r="G95" s="9"/>
      <c r="H95" s="9"/>
      <c r="I95" s="12"/>
    </row>
    <row r="96">
      <c r="A96" s="4"/>
      <c r="B96" s="46" t="s">
        <v>32</v>
      </c>
      <c r="C96" s="81"/>
      <c r="D96" s="47">
        <v>50.0</v>
      </c>
      <c r="E96" s="48">
        <f t="shared" si="4"/>
        <v>600</v>
      </c>
      <c r="F96" s="9"/>
      <c r="G96" s="9"/>
      <c r="H96" s="9"/>
      <c r="I96" s="12"/>
    </row>
    <row r="97">
      <c r="A97" s="4"/>
      <c r="B97" s="46" t="s">
        <v>33</v>
      </c>
      <c r="C97" s="82">
        <v>0.0243</v>
      </c>
      <c r="D97" s="47">
        <f>(C79*C97)/12</f>
        <v>394.875</v>
      </c>
      <c r="E97" s="48">
        <f t="shared" si="4"/>
        <v>4738.5</v>
      </c>
      <c r="F97" s="9"/>
      <c r="G97" s="9"/>
      <c r="H97" s="9"/>
      <c r="I97" s="12"/>
    </row>
    <row r="98">
      <c r="A98" s="4"/>
      <c r="B98" s="19" t="s">
        <v>91</v>
      </c>
      <c r="C98" s="83"/>
      <c r="D98" s="47">
        <v>130.0</v>
      </c>
      <c r="E98" s="48">
        <f t="shared" si="4"/>
        <v>1560</v>
      </c>
      <c r="F98" s="9"/>
      <c r="G98" s="9"/>
      <c r="H98" s="9"/>
      <c r="I98" s="12"/>
    </row>
    <row r="99">
      <c r="A99" s="4"/>
      <c r="B99" s="42" t="s">
        <v>34</v>
      </c>
      <c r="C99" s="50"/>
      <c r="D99" s="51">
        <f>SUM(D92:D98)</f>
        <v>754.875</v>
      </c>
      <c r="E99" s="52">
        <f t="shared" si="4"/>
        <v>9058.5</v>
      </c>
      <c r="F99" s="9"/>
      <c r="G99" s="9"/>
      <c r="H99" s="9"/>
      <c r="I99" s="12"/>
    </row>
    <row r="100">
      <c r="A100" s="4"/>
      <c r="B100" s="46" t="s">
        <v>35</v>
      </c>
      <c r="C100" s="53">
        <v>600.0</v>
      </c>
      <c r="D100" s="47">
        <f>C100*4</f>
        <v>2400</v>
      </c>
      <c r="E100" s="48">
        <f t="shared" si="4"/>
        <v>28800</v>
      </c>
      <c r="F100" s="9"/>
      <c r="G100" s="9"/>
      <c r="H100" s="9"/>
      <c r="I100" s="12"/>
    </row>
    <row r="101">
      <c r="A101" s="58"/>
      <c r="B101" s="54" t="s">
        <v>36</v>
      </c>
      <c r="C101" s="55"/>
      <c r="D101" s="56">
        <f>(D100-D99)</f>
        <v>1645.125</v>
      </c>
      <c r="E101" s="57">
        <f t="shared" si="4"/>
        <v>19741.5</v>
      </c>
      <c r="F101" s="59"/>
      <c r="G101" s="59"/>
      <c r="H101" s="59"/>
      <c r="I101" s="61"/>
    </row>
    <row r="102">
      <c r="A102" s="58"/>
      <c r="B102" s="59"/>
      <c r="C102" s="59"/>
      <c r="D102" s="59"/>
      <c r="E102" s="59"/>
      <c r="F102" s="59"/>
      <c r="G102" s="59"/>
      <c r="H102" s="59"/>
      <c r="I102" s="61"/>
      <c r="K102" s="96"/>
    </row>
  </sheetData>
  <hyperlinks>
    <hyperlink r:id="rId1" ref="H3"/>
  </hyperlin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128</v>
      </c>
      <c r="C3" s="62"/>
      <c r="D3" s="7" t="s">
        <v>2</v>
      </c>
      <c r="E3" s="8" t="s">
        <v>3</v>
      </c>
      <c r="F3" s="9"/>
      <c r="G3" s="65" t="s">
        <v>4</v>
      </c>
      <c r="H3" s="84" t="s">
        <v>129</v>
      </c>
      <c r="I3" s="12"/>
    </row>
    <row r="4">
      <c r="A4" s="4"/>
      <c r="B4" s="31" t="s">
        <v>56</v>
      </c>
      <c r="C4" s="14">
        <v>209900.0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209000.0</v>
      </c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41980</v>
      </c>
      <c r="D6" s="26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4617.8</v>
      </c>
      <c r="D7" s="26">
        <v>0.022</v>
      </c>
      <c r="E7" s="25"/>
      <c r="F7" s="9"/>
      <c r="G7" s="29"/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167920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1061.368625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46597.8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C17" s="80"/>
      <c r="D17" s="43">
        <f>C11</f>
        <v>1061.368625</v>
      </c>
      <c r="E17" s="44">
        <f t="shared" ref="E17:E26" si="1">D17*12</f>
        <v>12736.4235</v>
      </c>
      <c r="F17" s="9"/>
      <c r="G17" s="45">
        <f>E26/C13</f>
        <v>0.09491878371</v>
      </c>
      <c r="H17" s="9"/>
      <c r="I17" s="12"/>
    </row>
    <row r="18">
      <c r="A18" s="4"/>
      <c r="B18" s="46" t="s">
        <v>29</v>
      </c>
      <c r="C18" s="81"/>
      <c r="D18" s="47">
        <v>65.0</v>
      </c>
      <c r="E18" s="48">
        <f t="shared" si="1"/>
        <v>780</v>
      </c>
      <c r="F18" s="9"/>
      <c r="G18" s="9"/>
      <c r="H18" s="9"/>
      <c r="I18" s="12"/>
    </row>
    <row r="19">
      <c r="A19" s="4"/>
      <c r="B19" s="46" t="s">
        <v>30</v>
      </c>
      <c r="C19" s="81"/>
      <c r="D19" s="47">
        <v>30.0</v>
      </c>
      <c r="E19" s="48">
        <f t="shared" si="1"/>
        <v>360</v>
      </c>
      <c r="F19" s="9"/>
      <c r="G19" s="27"/>
      <c r="H19" s="9"/>
      <c r="I19" s="12"/>
    </row>
    <row r="20">
      <c r="A20" s="4"/>
      <c r="B20" s="46" t="s">
        <v>31</v>
      </c>
      <c r="C20" s="81"/>
      <c r="D20" s="47"/>
      <c r="E20" s="48">
        <f t="shared" si="1"/>
        <v>0</v>
      </c>
      <c r="F20" s="9"/>
      <c r="G20" s="9"/>
      <c r="H20" s="9"/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C22" s="82">
        <v>0.0243</v>
      </c>
      <c r="D22" s="47">
        <f>(C4*C22)/12</f>
        <v>425.0475</v>
      </c>
      <c r="E22" s="48">
        <f t="shared" si="1"/>
        <v>5100.57</v>
      </c>
      <c r="F22" s="9"/>
      <c r="G22" s="9"/>
      <c r="H22" s="9"/>
      <c r="I22" s="12"/>
    </row>
    <row r="23">
      <c r="A23" s="4"/>
      <c r="B23" s="19" t="s">
        <v>91</v>
      </c>
      <c r="C23" s="83"/>
      <c r="D23" s="47"/>
      <c r="E23" s="48">
        <f t="shared" si="1"/>
        <v>0</v>
      </c>
      <c r="F23" s="9"/>
      <c r="G23" s="9"/>
      <c r="H23" s="9"/>
      <c r="I23" s="12"/>
    </row>
    <row r="24">
      <c r="A24" s="4"/>
      <c r="B24" s="42" t="s">
        <v>34</v>
      </c>
      <c r="C24" s="50"/>
      <c r="D24" s="51">
        <f>SUM(D17:D23)</f>
        <v>1631.416125</v>
      </c>
      <c r="E24" s="52">
        <f t="shared" si="1"/>
        <v>19576.9935</v>
      </c>
      <c r="F24" s="9"/>
      <c r="G24" s="9"/>
      <c r="H24" s="9"/>
      <c r="I24" s="12"/>
    </row>
    <row r="25">
      <c r="A25" s="4"/>
      <c r="B25" s="46" t="s">
        <v>35</v>
      </c>
      <c r="C25" s="53">
        <v>500.0</v>
      </c>
      <c r="D25" s="47">
        <f>C25*4</f>
        <v>2000</v>
      </c>
      <c r="E25" s="48">
        <f t="shared" si="1"/>
        <v>24000</v>
      </c>
      <c r="F25" s="9"/>
      <c r="G25" s="9"/>
      <c r="H25" s="9"/>
      <c r="I25" s="12"/>
    </row>
    <row r="26">
      <c r="A26" s="4"/>
      <c r="B26" s="54" t="s">
        <v>36</v>
      </c>
      <c r="C26" s="100"/>
      <c r="D26" s="56">
        <f>(D25-D24)</f>
        <v>368.583875</v>
      </c>
      <c r="E26" s="57">
        <f t="shared" si="1"/>
        <v>4423.006499</v>
      </c>
      <c r="F26" s="9"/>
      <c r="G26" s="9"/>
      <c r="H26" s="9"/>
      <c r="I26" s="12"/>
    </row>
    <row r="27">
      <c r="A27" s="58"/>
      <c r="B27" s="58"/>
      <c r="C27" s="59"/>
      <c r="D27" s="59"/>
      <c r="E27" s="60"/>
      <c r="F27" s="59"/>
      <c r="G27" s="59"/>
      <c r="H27" s="59"/>
      <c r="I27" s="61"/>
    </row>
  </sheetData>
  <hyperlinks>
    <hyperlink r:id="rId1" ref="H3"/>
  </hyperlin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9.2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120</v>
      </c>
      <c r="C3" s="62"/>
      <c r="D3" s="7" t="s">
        <v>2</v>
      </c>
      <c r="E3" s="8" t="s">
        <v>3</v>
      </c>
      <c r="F3" s="9"/>
      <c r="G3" s="65" t="s">
        <v>4</v>
      </c>
      <c r="H3" s="85" t="s">
        <v>121</v>
      </c>
      <c r="I3" s="12"/>
    </row>
    <row r="4">
      <c r="A4" s="4"/>
      <c r="B4" s="31" t="s">
        <v>56</v>
      </c>
      <c r="C4" s="76">
        <v>149900.0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76">
        <v>149900.0</v>
      </c>
      <c r="D5" s="21"/>
      <c r="E5" s="22"/>
      <c r="F5" s="9"/>
      <c r="G5" s="27" t="s">
        <v>11</v>
      </c>
      <c r="H5" s="9"/>
      <c r="I5" s="12"/>
    </row>
    <row r="6">
      <c r="A6" s="4"/>
      <c r="B6" s="13" t="s">
        <v>9</v>
      </c>
      <c r="C6" s="23">
        <f>IF(E6="",$D$6*$C$5,E6*C4)</f>
        <v>44970</v>
      </c>
      <c r="D6" s="86">
        <v>0.3</v>
      </c>
      <c r="E6" s="87"/>
      <c r="F6" s="9"/>
      <c r="G6" s="29" t="s">
        <v>101</v>
      </c>
      <c r="H6" s="29">
        <v>1100.0</v>
      </c>
      <c r="I6" s="12"/>
    </row>
    <row r="7">
      <c r="A7" s="4"/>
      <c r="B7" s="13" t="s">
        <v>10</v>
      </c>
      <c r="C7" s="23">
        <f>IF(E7="",$C$4*$D$7,E7)</f>
        <v>3297.8</v>
      </c>
      <c r="D7" s="26">
        <v>0.022</v>
      </c>
      <c r="E7" s="87"/>
      <c r="F7" s="9"/>
      <c r="G7" s="88" t="s">
        <v>102</v>
      </c>
      <c r="H7" s="29">
        <v>350.0</v>
      </c>
      <c r="I7" s="12"/>
    </row>
    <row r="8">
      <c r="A8" s="4"/>
      <c r="B8" s="13" t="s">
        <v>12</v>
      </c>
      <c r="C8" s="28">
        <v>0.0775</v>
      </c>
      <c r="D8" s="15"/>
      <c r="E8" s="16"/>
      <c r="F8" s="9"/>
      <c r="G8" s="89" t="s">
        <v>103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90" t="s">
        <v>104</v>
      </c>
      <c r="H9" s="9"/>
      <c r="I9" s="12"/>
    </row>
    <row r="10">
      <c r="A10" s="4"/>
      <c r="B10" s="13" t="s">
        <v>16</v>
      </c>
      <c r="C10" s="23">
        <f>C4-C6</f>
        <v>104930</v>
      </c>
      <c r="D10" s="15"/>
      <c r="E10" s="16"/>
      <c r="F10" s="9"/>
      <c r="G10" s="98" t="s">
        <v>122</v>
      </c>
      <c r="H10" s="29">
        <v>1000.0</v>
      </c>
      <c r="I10" s="12"/>
    </row>
    <row r="11">
      <c r="A11" s="4"/>
      <c r="B11" s="31" t="s">
        <v>18</v>
      </c>
      <c r="C11" s="23">
        <f>-PMT(C8/12,C9*12,C10)</f>
        <v>751.7313693</v>
      </c>
      <c r="D11" s="15"/>
      <c r="E11" s="16"/>
      <c r="F11" s="9"/>
      <c r="G11" s="29" t="s">
        <v>106</v>
      </c>
      <c r="H11" s="29">
        <v>600.0</v>
      </c>
      <c r="I11" s="12"/>
    </row>
    <row r="12">
      <c r="A12" s="4"/>
      <c r="B12" s="13" t="s">
        <v>20</v>
      </c>
      <c r="C12" s="14">
        <v>5000.0</v>
      </c>
      <c r="D12" s="15"/>
      <c r="E12" s="16"/>
      <c r="F12" s="9"/>
      <c r="G12" s="29" t="s">
        <v>123</v>
      </c>
      <c r="H12" s="29">
        <v>480.0</v>
      </c>
      <c r="I12" s="12"/>
    </row>
    <row r="13">
      <c r="A13" s="4"/>
      <c r="B13" s="13" t="s">
        <v>22</v>
      </c>
      <c r="C13" s="23">
        <f>C12+C7+C6</f>
        <v>53267.8</v>
      </c>
      <c r="D13" s="15"/>
      <c r="E13" s="16"/>
      <c r="F13" s="9"/>
      <c r="G13" s="29" t="s">
        <v>124</v>
      </c>
      <c r="H13" s="29">
        <v>700.0</v>
      </c>
      <c r="I13" s="12"/>
    </row>
    <row r="14">
      <c r="A14" s="4"/>
      <c r="B14" s="13"/>
      <c r="C14" s="32"/>
      <c r="D14" s="33"/>
      <c r="E14" s="32"/>
      <c r="F14" s="9"/>
      <c r="G14" s="9"/>
      <c r="H14" s="91"/>
      <c r="I14" s="12"/>
    </row>
    <row r="15">
      <c r="A15" s="4"/>
      <c r="B15" s="34"/>
      <c r="C15" s="35"/>
      <c r="D15" s="36"/>
      <c r="E15" s="37"/>
      <c r="F15" s="9"/>
      <c r="G15" s="9"/>
      <c r="H15" s="99">
        <f>SUM(H6:H14)</f>
        <v>4230</v>
      </c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109</v>
      </c>
      <c r="H16" s="92" t="s">
        <v>110</v>
      </c>
      <c r="I16" s="12"/>
    </row>
    <row r="17">
      <c r="A17" s="4"/>
      <c r="B17" s="42" t="s">
        <v>28</v>
      </c>
      <c r="C17" s="80"/>
      <c r="D17" s="43">
        <f>C11</f>
        <v>751.7313693</v>
      </c>
      <c r="E17" s="44">
        <f t="shared" ref="E17:E26" si="1">D17*12</f>
        <v>9020.776431</v>
      </c>
      <c r="F17" s="9"/>
      <c r="G17" s="45">
        <f>E26/C13</f>
        <v>0.05850914753</v>
      </c>
      <c r="H17" s="93">
        <v>0.3</v>
      </c>
      <c r="I17" s="12"/>
    </row>
    <row r="18">
      <c r="A18" s="4"/>
      <c r="B18" s="46" t="s">
        <v>29</v>
      </c>
      <c r="C18" s="81"/>
      <c r="D18" s="47">
        <v>65.0</v>
      </c>
      <c r="E18" s="48">
        <f t="shared" si="1"/>
        <v>780</v>
      </c>
      <c r="F18" s="9"/>
      <c r="G18" s="45" t="str">
        <f>E50/C37</f>
        <v>#DIV/0!</v>
      </c>
      <c r="H18" s="93">
        <v>0.5</v>
      </c>
      <c r="I18" s="12"/>
    </row>
    <row r="19">
      <c r="A19" s="4"/>
      <c r="B19" s="46" t="s">
        <v>30</v>
      </c>
      <c r="C19" s="81"/>
      <c r="D19" s="47">
        <v>30.0</v>
      </c>
      <c r="E19" s="48">
        <f t="shared" si="1"/>
        <v>360</v>
      </c>
      <c r="F19" s="9"/>
      <c r="G19" s="94" t="str">
        <f>E75/C62</f>
        <v>#DIV/0!</v>
      </c>
      <c r="H19" s="93">
        <v>0.7</v>
      </c>
      <c r="I19" s="12"/>
    </row>
    <row r="20">
      <c r="A20" s="4"/>
      <c r="B20" s="46" t="s">
        <v>31</v>
      </c>
      <c r="C20" s="81"/>
      <c r="D20" s="47">
        <v>70.0</v>
      </c>
      <c r="E20" s="48">
        <f t="shared" si="1"/>
        <v>840</v>
      </c>
      <c r="F20" s="9"/>
      <c r="G20" s="94" t="str">
        <f>E100/C87</f>
        <v>#DIV/0!</v>
      </c>
      <c r="H20" s="93">
        <v>1.0</v>
      </c>
      <c r="I20" s="12"/>
    </row>
    <row r="21">
      <c r="A21" s="4"/>
      <c r="B21" s="46" t="s">
        <v>32</v>
      </c>
      <c r="C21" s="81"/>
      <c r="D21" s="47">
        <v>50.0</v>
      </c>
      <c r="E21" s="48">
        <f t="shared" si="1"/>
        <v>600</v>
      </c>
      <c r="F21" s="9"/>
      <c r="G21" s="29"/>
      <c r="H21" s="9"/>
      <c r="I21" s="12"/>
    </row>
    <row r="22">
      <c r="A22" s="4"/>
      <c r="B22" s="46" t="s">
        <v>33</v>
      </c>
      <c r="C22" s="82">
        <v>0.0243</v>
      </c>
      <c r="D22" s="47">
        <f>(C5*C22)/12</f>
        <v>303.5475</v>
      </c>
      <c r="E22" s="48">
        <f t="shared" si="1"/>
        <v>3642.57</v>
      </c>
      <c r="F22" s="9"/>
      <c r="G22" s="29" t="s">
        <v>125</v>
      </c>
      <c r="H22" s="9"/>
      <c r="I22" s="12"/>
    </row>
    <row r="23">
      <c r="A23" s="4"/>
      <c r="B23" s="19" t="s">
        <v>91</v>
      </c>
      <c r="C23" s="83"/>
      <c r="D23" s="47">
        <v>70.0</v>
      </c>
      <c r="E23" s="48">
        <f t="shared" si="1"/>
        <v>840</v>
      </c>
      <c r="F23" s="9"/>
      <c r="G23" s="29" t="s">
        <v>126</v>
      </c>
      <c r="H23" s="9"/>
      <c r="I23" s="12"/>
    </row>
    <row r="24">
      <c r="A24" s="4"/>
      <c r="B24" s="42" t="s">
        <v>34</v>
      </c>
      <c r="C24" s="50"/>
      <c r="D24" s="51">
        <f>SUM(D17:D23)</f>
        <v>1340.278869</v>
      </c>
      <c r="E24" s="52">
        <f t="shared" si="1"/>
        <v>16083.34643</v>
      </c>
      <c r="F24" s="9"/>
      <c r="G24" s="9">
        <f>8*100</f>
        <v>800</v>
      </c>
      <c r="H24" s="9"/>
      <c r="I24" s="12"/>
    </row>
    <row r="25">
      <c r="A25" s="4"/>
      <c r="B25" s="46" t="s">
        <v>35</v>
      </c>
      <c r="C25" s="53">
        <v>800.0</v>
      </c>
      <c r="D25" s="47">
        <f>C25*2</f>
        <v>1600</v>
      </c>
      <c r="E25" s="48">
        <f t="shared" si="1"/>
        <v>19200</v>
      </c>
      <c r="F25" s="9"/>
      <c r="G25" s="9"/>
      <c r="H25" s="9"/>
      <c r="I25" s="12"/>
    </row>
    <row r="26">
      <c r="A26" s="4"/>
      <c r="B26" s="54" t="s">
        <v>36</v>
      </c>
      <c r="C26" s="55"/>
      <c r="D26" s="56">
        <f>(D25-D24)</f>
        <v>259.7211307</v>
      </c>
      <c r="E26" s="57">
        <f t="shared" si="1"/>
        <v>3116.653569</v>
      </c>
      <c r="F26" s="9"/>
      <c r="G26" s="9"/>
      <c r="H26" s="9"/>
      <c r="I26" s="12"/>
    </row>
    <row r="27">
      <c r="A27" s="58"/>
      <c r="B27" s="35"/>
      <c r="C27" s="36"/>
      <c r="D27" s="36"/>
      <c r="E27" s="95"/>
      <c r="F27" s="59"/>
      <c r="G27" s="59"/>
      <c r="H27" s="59"/>
      <c r="I27" s="61"/>
    </row>
  </sheetData>
  <hyperlinks>
    <hyperlink r:id="rId1" ref="H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45</v>
      </c>
      <c r="C3" s="62"/>
      <c r="D3" s="7" t="s">
        <v>2</v>
      </c>
      <c r="E3" s="8" t="s">
        <v>3</v>
      </c>
      <c r="F3" s="9"/>
      <c r="G3" s="65" t="s">
        <v>4</v>
      </c>
      <c r="H3" s="66" t="s">
        <v>46</v>
      </c>
      <c r="I3" s="12"/>
    </row>
    <row r="4">
      <c r="A4" s="4"/>
      <c r="B4" s="13" t="s">
        <v>6</v>
      </c>
      <c r="C4" s="14">
        <v>259900.0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51980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5717.8</v>
      </c>
      <c r="D7" s="26">
        <v>0.022</v>
      </c>
      <c r="E7" s="25"/>
      <c r="F7" s="9"/>
      <c r="G7" s="29" t="s">
        <v>13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15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 t="s">
        <v>17</v>
      </c>
      <c r="H9" s="9"/>
      <c r="I9" s="12"/>
    </row>
    <row r="10">
      <c r="A10" s="4"/>
      <c r="B10" s="13" t="s">
        <v>16</v>
      </c>
      <c r="C10" s="23">
        <f>C4-C6</f>
        <v>207920</v>
      </c>
      <c r="D10" s="15"/>
      <c r="E10" s="16"/>
      <c r="F10" s="9"/>
      <c r="G10" s="29" t="s">
        <v>19</v>
      </c>
      <c r="H10" s="9"/>
      <c r="I10" s="12"/>
    </row>
    <row r="11">
      <c r="A11" s="4"/>
      <c r="B11" s="31" t="s">
        <v>18</v>
      </c>
      <c r="C11" s="23">
        <f>-PMT(C8/12,C9*12,C10)</f>
        <v>1314.195834</v>
      </c>
      <c r="D11" s="15"/>
      <c r="E11" s="16"/>
      <c r="F11" s="9"/>
      <c r="G11" s="29" t="s">
        <v>21</v>
      </c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 t="s">
        <v>23</v>
      </c>
      <c r="H12" s="9"/>
      <c r="I12" s="12"/>
    </row>
    <row r="13">
      <c r="A13" s="4"/>
      <c r="B13" s="13" t="s">
        <v>22</v>
      </c>
      <c r="C13" s="23">
        <f>C12+C7+C6</f>
        <v>57697.8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1314.195834</v>
      </c>
      <c r="E17" s="44">
        <f t="shared" ref="E17:E25" si="1">D17*12</f>
        <v>15770.35001</v>
      </c>
      <c r="F17" s="9"/>
      <c r="G17" s="45">
        <f>E25/C13</f>
        <v>-0.02291855172</v>
      </c>
      <c r="H17" s="9"/>
      <c r="I17" s="12"/>
    </row>
    <row r="18">
      <c r="A18" s="4"/>
      <c r="B18" s="46" t="s">
        <v>29</v>
      </c>
      <c r="D18" s="47">
        <v>91.0</v>
      </c>
      <c r="E18" s="48">
        <f t="shared" si="1"/>
        <v>1092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D22" s="47">
        <v>505.0</v>
      </c>
      <c r="E22" s="48">
        <f t="shared" si="1"/>
        <v>6060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2060.195834</v>
      </c>
      <c r="E23" s="52">
        <f t="shared" si="1"/>
        <v>24722.35001</v>
      </c>
      <c r="F23" s="9"/>
      <c r="G23" s="9"/>
      <c r="H23" s="9"/>
      <c r="I23" s="12"/>
    </row>
    <row r="24">
      <c r="A24" s="4"/>
      <c r="B24" s="46" t="s">
        <v>35</v>
      </c>
      <c r="C24" s="53">
        <v>650.0</v>
      </c>
      <c r="D24" s="47">
        <f>C24*3</f>
        <v>1950</v>
      </c>
      <c r="E24" s="48">
        <f t="shared" si="1"/>
        <v>23400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-110.1958344</v>
      </c>
      <c r="E25" s="57">
        <f t="shared" si="1"/>
        <v>-1322.350013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47</v>
      </c>
      <c r="C3" s="6" t="s">
        <v>1</v>
      </c>
      <c r="D3" s="7" t="s">
        <v>2</v>
      </c>
      <c r="E3" s="8" t="s">
        <v>3</v>
      </c>
      <c r="F3" s="9"/>
      <c r="G3" s="65" t="s">
        <v>4</v>
      </c>
      <c r="H3" s="66" t="s">
        <v>48</v>
      </c>
      <c r="I3" s="12"/>
    </row>
    <row r="4">
      <c r="A4" s="4"/>
      <c r="B4" s="13" t="s">
        <v>6</v>
      </c>
      <c r="C4" s="14">
        <v>175000.0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35000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3850</v>
      </c>
      <c r="D7" s="26">
        <v>0.022</v>
      </c>
      <c r="E7" s="25"/>
      <c r="F7" s="9"/>
      <c r="G7" s="29" t="s">
        <v>49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50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 t="s">
        <v>51</v>
      </c>
      <c r="H9" s="9"/>
      <c r="I9" s="12"/>
    </row>
    <row r="10">
      <c r="A10" s="4"/>
      <c r="B10" s="13" t="s">
        <v>16</v>
      </c>
      <c r="C10" s="23">
        <f>C4-C6</f>
        <v>140000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884.8952329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38850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884.8952329</v>
      </c>
      <c r="E17" s="44">
        <f t="shared" ref="E17:E25" si="1">D17*12</f>
        <v>10618.74279</v>
      </c>
      <c r="F17" s="9"/>
      <c r="G17" s="45">
        <f>E25/C13</f>
        <v>0.1313064918</v>
      </c>
      <c r="H17" s="9"/>
      <c r="I17" s="12"/>
    </row>
    <row r="18">
      <c r="A18" s="4"/>
      <c r="B18" s="46" t="s">
        <v>29</v>
      </c>
      <c r="D18" s="47">
        <v>56.0</v>
      </c>
      <c r="E18" s="48">
        <f t="shared" si="1"/>
        <v>672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D22" s="47">
        <v>284.0</v>
      </c>
      <c r="E22" s="48">
        <f t="shared" si="1"/>
        <v>3408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1374.895233</v>
      </c>
      <c r="E23" s="52">
        <f t="shared" si="1"/>
        <v>16498.74279</v>
      </c>
      <c r="F23" s="9"/>
      <c r="G23" s="9"/>
      <c r="H23" s="9"/>
      <c r="I23" s="12"/>
    </row>
    <row r="24">
      <c r="A24" s="4"/>
      <c r="B24" s="46" t="s">
        <v>35</v>
      </c>
      <c r="C24" s="53">
        <v>600.0</v>
      </c>
      <c r="D24" s="47">
        <f>C24*3</f>
        <v>1800</v>
      </c>
      <c r="E24" s="48">
        <f t="shared" si="1"/>
        <v>21600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425.1047671</v>
      </c>
      <c r="E25" s="57">
        <f t="shared" si="1"/>
        <v>5101.257205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52</v>
      </c>
      <c r="C3" s="6" t="s">
        <v>1</v>
      </c>
      <c r="D3" s="7" t="s">
        <v>2</v>
      </c>
      <c r="E3" s="8" t="s">
        <v>3</v>
      </c>
      <c r="F3" s="9"/>
      <c r="G3" s="65" t="s">
        <v>4</v>
      </c>
      <c r="H3" s="66" t="s">
        <v>53</v>
      </c>
      <c r="I3" s="12"/>
    </row>
    <row r="4">
      <c r="A4" s="4"/>
      <c r="B4" s="13" t="s">
        <v>6</v>
      </c>
      <c r="C4" s="14">
        <v>175999.0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35199.8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3871.978</v>
      </c>
      <c r="D7" s="26">
        <v>0.022</v>
      </c>
      <c r="E7" s="25"/>
      <c r="F7" s="9"/>
      <c r="G7" s="29" t="s">
        <v>49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50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 t="s">
        <v>51</v>
      </c>
      <c r="H9" s="9"/>
      <c r="I9" s="12"/>
    </row>
    <row r="10">
      <c r="A10" s="4"/>
      <c r="B10" s="13" t="s">
        <v>16</v>
      </c>
      <c r="C10" s="23">
        <f>C4-C6</f>
        <v>140799.2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889.9467205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39071.778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889.9467205</v>
      </c>
      <c r="E17" s="44">
        <f t="shared" ref="E17:E25" si="1">D17*12</f>
        <v>10679.36065</v>
      </c>
      <c r="F17" s="9"/>
      <c r="G17" s="45">
        <f>E25/C13</f>
        <v>0.1290097255</v>
      </c>
      <c r="H17" s="9"/>
      <c r="I17" s="12"/>
    </row>
    <row r="18">
      <c r="A18" s="4"/>
      <c r="B18" s="46" t="s">
        <v>29</v>
      </c>
      <c r="D18" s="47">
        <v>56.0</v>
      </c>
      <c r="E18" s="48">
        <f t="shared" si="1"/>
        <v>672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D22" s="47">
        <v>284.0</v>
      </c>
      <c r="E22" s="48">
        <f t="shared" si="1"/>
        <v>3408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1379.946721</v>
      </c>
      <c r="E23" s="52">
        <f t="shared" si="1"/>
        <v>16559.36065</v>
      </c>
      <c r="F23" s="9"/>
      <c r="G23" s="9"/>
      <c r="H23" s="9"/>
      <c r="I23" s="12"/>
    </row>
    <row r="24">
      <c r="A24" s="4"/>
      <c r="B24" s="46" t="s">
        <v>35</v>
      </c>
      <c r="C24" s="53">
        <v>600.0</v>
      </c>
      <c r="D24" s="47">
        <f>C24*3</f>
        <v>1800</v>
      </c>
      <c r="E24" s="48">
        <f t="shared" si="1"/>
        <v>21600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420.0532795</v>
      </c>
      <c r="E25" s="57">
        <f t="shared" si="1"/>
        <v>5040.639354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54</v>
      </c>
      <c r="C3" s="6" t="s">
        <v>1</v>
      </c>
      <c r="D3" s="7" t="s">
        <v>2</v>
      </c>
      <c r="E3" s="8" t="s">
        <v>3</v>
      </c>
      <c r="F3" s="9"/>
      <c r="G3" s="65" t="s">
        <v>4</v>
      </c>
      <c r="H3" s="66" t="s">
        <v>55</v>
      </c>
      <c r="I3" s="12"/>
    </row>
    <row r="4">
      <c r="A4" s="4"/>
      <c r="B4" s="31" t="s">
        <v>56</v>
      </c>
      <c r="C4" s="14">
        <v>197100.0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39420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4336.2</v>
      </c>
      <c r="D7" s="26">
        <v>0.022</v>
      </c>
      <c r="E7" s="25"/>
      <c r="F7" s="9"/>
      <c r="G7" s="29" t="s">
        <v>57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58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 t="s">
        <v>51</v>
      </c>
      <c r="H9" s="9"/>
      <c r="I9" s="12"/>
    </row>
    <row r="10">
      <c r="A10" s="4"/>
      <c r="B10" s="13" t="s">
        <v>16</v>
      </c>
      <c r="C10" s="23">
        <f>C4-C6</f>
        <v>157680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996.6448594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43756.2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996.6448594</v>
      </c>
      <c r="E17" s="44">
        <f t="shared" ref="E17:E25" si="1">D17*12</f>
        <v>11959.73831</v>
      </c>
      <c r="F17" s="9"/>
      <c r="G17" s="45">
        <f>E25/C13</f>
        <v>0.1158295667</v>
      </c>
      <c r="H17" s="9"/>
      <c r="I17" s="12"/>
    </row>
    <row r="18">
      <c r="A18" s="4"/>
      <c r="B18" s="46" t="s">
        <v>29</v>
      </c>
      <c r="D18" s="47">
        <v>63.0</v>
      </c>
      <c r="E18" s="48">
        <f t="shared" si="1"/>
        <v>756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50.0</v>
      </c>
      <c r="E21" s="48">
        <f t="shared" si="1"/>
        <v>600</v>
      </c>
      <c r="F21" s="9"/>
      <c r="G21" s="9"/>
      <c r="H21" s="9"/>
      <c r="I21" s="12"/>
    </row>
    <row r="22">
      <c r="A22" s="4"/>
      <c r="B22" s="46" t="s">
        <v>33</v>
      </c>
      <c r="D22" s="47">
        <v>318.0</v>
      </c>
      <c r="E22" s="48">
        <f t="shared" si="1"/>
        <v>3816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1527.644859</v>
      </c>
      <c r="E23" s="52">
        <f t="shared" si="1"/>
        <v>18331.73831</v>
      </c>
      <c r="F23" s="9"/>
      <c r="G23" s="9"/>
      <c r="H23" s="9"/>
      <c r="I23" s="12"/>
    </row>
    <row r="24">
      <c r="A24" s="4"/>
      <c r="B24" s="46" t="s">
        <v>35</v>
      </c>
      <c r="C24" s="53">
        <v>650.0</v>
      </c>
      <c r="D24" s="47">
        <f>C24*3</f>
        <v>1950</v>
      </c>
      <c r="E24" s="48">
        <f t="shared" si="1"/>
        <v>23400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422.3551406</v>
      </c>
      <c r="E25" s="57">
        <f t="shared" si="1"/>
        <v>5068.261687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59</v>
      </c>
      <c r="C3" s="6" t="s">
        <v>1</v>
      </c>
      <c r="D3" s="7" t="s">
        <v>2</v>
      </c>
      <c r="E3" s="8" t="s">
        <v>3</v>
      </c>
      <c r="F3" s="9"/>
      <c r="G3" s="65" t="s">
        <v>4</v>
      </c>
      <c r="H3" s="66" t="s">
        <v>60</v>
      </c>
      <c r="I3" s="12"/>
    </row>
    <row r="4">
      <c r="A4" s="4"/>
      <c r="B4" s="67" t="s">
        <v>56</v>
      </c>
      <c r="C4" s="68">
        <v>213000.0</v>
      </c>
      <c r="D4" s="69"/>
      <c r="E4" s="70"/>
      <c r="F4" s="9"/>
      <c r="G4" s="9"/>
      <c r="H4" s="9"/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71">
        <f>IF(E6="",$D$6*$C$4,E6)</f>
        <v>42600</v>
      </c>
      <c r="D6" s="72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71">
        <f>IF(E7="",$C$4*$D$7,E7)</f>
        <v>4686</v>
      </c>
      <c r="D7" s="72">
        <v>0.022</v>
      </c>
      <c r="E7" s="25"/>
      <c r="F7" s="9"/>
      <c r="G7" s="29" t="s">
        <v>61</v>
      </c>
      <c r="H7" s="9"/>
      <c r="I7" s="12"/>
    </row>
    <row r="8">
      <c r="A8" s="4"/>
      <c r="B8" s="13" t="s">
        <v>12</v>
      </c>
      <c r="C8" s="73">
        <v>0.065</v>
      </c>
      <c r="D8" s="74"/>
      <c r="E8" s="16"/>
      <c r="F8" s="9"/>
      <c r="G8" s="29" t="s">
        <v>58</v>
      </c>
      <c r="H8" s="9"/>
      <c r="I8" s="12"/>
    </row>
    <row r="9">
      <c r="A9" s="4"/>
      <c r="B9" s="13" t="s">
        <v>14</v>
      </c>
      <c r="C9" s="75">
        <v>30.0</v>
      </c>
      <c r="D9" s="74"/>
      <c r="E9" s="16"/>
      <c r="F9" s="9"/>
      <c r="G9" s="29" t="s">
        <v>51</v>
      </c>
      <c r="H9" s="9"/>
      <c r="I9" s="12"/>
    </row>
    <row r="10">
      <c r="A10" s="4"/>
      <c r="B10" s="13" t="s">
        <v>16</v>
      </c>
      <c r="C10" s="71">
        <f>C4-C6</f>
        <v>170400</v>
      </c>
      <c r="D10" s="74"/>
      <c r="E10" s="16"/>
      <c r="F10" s="9"/>
      <c r="G10" s="29" t="s">
        <v>62</v>
      </c>
      <c r="H10" s="9"/>
      <c r="I10" s="12"/>
    </row>
    <row r="11">
      <c r="A11" s="4"/>
      <c r="B11" s="31" t="s">
        <v>18</v>
      </c>
      <c r="C11" s="71">
        <f>-PMT(C8/12,C9*12,C10)</f>
        <v>1077.043912</v>
      </c>
      <c r="D11" s="74"/>
      <c r="E11" s="16"/>
      <c r="F11" s="9"/>
      <c r="G11" s="29" t="s">
        <v>63</v>
      </c>
      <c r="H11" s="9"/>
      <c r="I11" s="12"/>
    </row>
    <row r="12">
      <c r="A12" s="4"/>
      <c r="B12" s="13" t="s">
        <v>20</v>
      </c>
      <c r="C12" s="76">
        <v>0.0</v>
      </c>
      <c r="D12" s="74"/>
      <c r="E12" s="16"/>
      <c r="F12" s="9"/>
      <c r="G12" s="29" t="s">
        <v>64</v>
      </c>
      <c r="H12" s="9"/>
      <c r="I12" s="12"/>
    </row>
    <row r="13">
      <c r="A13" s="4"/>
      <c r="B13" s="13" t="s">
        <v>22</v>
      </c>
      <c r="C13" s="71">
        <f>C12+C7+C6</f>
        <v>47286</v>
      </c>
      <c r="D13" s="74"/>
      <c r="E13" s="16"/>
      <c r="F13" s="9"/>
      <c r="G13" s="9"/>
      <c r="H13" s="9"/>
      <c r="I13" s="12"/>
    </row>
    <row r="14">
      <c r="A14" s="4"/>
      <c r="B14" s="77"/>
      <c r="C14" s="77"/>
      <c r="D14" s="78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1077.043912</v>
      </c>
      <c r="E17" s="44">
        <f t="shared" ref="E17:E25" si="1">D17*12</f>
        <v>12924.52694</v>
      </c>
      <c r="F17" s="9"/>
      <c r="G17" s="45">
        <f>E25/C13</f>
        <v>0.05861085851</v>
      </c>
      <c r="H17" s="9"/>
      <c r="I17" s="12"/>
    </row>
    <row r="18">
      <c r="A18" s="4"/>
      <c r="B18" s="46" t="s">
        <v>29</v>
      </c>
      <c r="D18" s="47">
        <v>75.0</v>
      </c>
      <c r="E18" s="48">
        <f t="shared" si="1"/>
        <v>900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85.0</v>
      </c>
      <c r="E21" s="48">
        <f t="shared" si="1"/>
        <v>1020</v>
      </c>
      <c r="F21" s="9"/>
      <c r="G21" s="9"/>
      <c r="H21" s="9"/>
      <c r="I21" s="12"/>
    </row>
    <row r="22">
      <c r="A22" s="4"/>
      <c r="B22" s="46" t="s">
        <v>33</v>
      </c>
      <c r="D22" s="47">
        <v>382.0</v>
      </c>
      <c r="E22" s="48">
        <f t="shared" si="1"/>
        <v>4584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1719.043912</v>
      </c>
      <c r="E23" s="52">
        <f t="shared" si="1"/>
        <v>20628.52694</v>
      </c>
      <c r="F23" s="9"/>
      <c r="G23" s="9"/>
      <c r="H23" s="9"/>
      <c r="I23" s="12"/>
    </row>
    <row r="24">
      <c r="A24" s="4"/>
      <c r="B24" s="46" t="s">
        <v>35</v>
      </c>
      <c r="C24" s="53">
        <v>650.0</v>
      </c>
      <c r="D24" s="47">
        <f>C24*3</f>
        <v>1950</v>
      </c>
      <c r="E24" s="48">
        <f t="shared" si="1"/>
        <v>23400</v>
      </c>
      <c r="F24" s="9"/>
      <c r="G24" s="9"/>
      <c r="H24" s="9"/>
      <c r="I24" s="12"/>
    </row>
    <row r="25">
      <c r="A25" s="58"/>
      <c r="B25" s="54" t="s">
        <v>36</v>
      </c>
      <c r="C25" s="55"/>
      <c r="D25" s="56">
        <f>(D24-D23)</f>
        <v>230.956088</v>
      </c>
      <c r="E25" s="57">
        <f t="shared" si="1"/>
        <v>2771.473056</v>
      </c>
      <c r="F25" s="9"/>
      <c r="G25" s="9"/>
      <c r="H25" s="9"/>
      <c r="I25" s="12"/>
    </row>
    <row r="26"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65</v>
      </c>
      <c r="C3" s="62"/>
      <c r="D3" s="7" t="s">
        <v>2</v>
      </c>
      <c r="E3" s="8" t="s">
        <v>3</v>
      </c>
      <c r="F3" s="9"/>
      <c r="G3" s="65" t="s">
        <v>4</v>
      </c>
      <c r="H3" s="66" t="s">
        <v>66</v>
      </c>
      <c r="I3" s="12"/>
    </row>
    <row r="4">
      <c r="A4" s="4"/>
      <c r="B4" s="31" t="s">
        <v>56</v>
      </c>
      <c r="C4" s="14">
        <v>215000.0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43000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4730</v>
      </c>
      <c r="D7" s="26">
        <v>0.022</v>
      </c>
      <c r="E7" s="25"/>
      <c r="F7" s="9"/>
      <c r="G7" s="29" t="s">
        <v>67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/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172000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1087.157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47730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1087.157</v>
      </c>
      <c r="E17" s="44">
        <f t="shared" ref="E17:E25" si="1">D17*12</f>
        <v>13045.884</v>
      </c>
      <c r="F17" s="9"/>
      <c r="G17" s="45">
        <f>E25/C13</f>
        <v>0.02635901938</v>
      </c>
      <c r="H17" s="9"/>
      <c r="I17" s="12"/>
    </row>
    <row r="18">
      <c r="A18" s="4"/>
      <c r="B18" s="46" t="s">
        <v>29</v>
      </c>
      <c r="D18" s="47">
        <v>70.0</v>
      </c>
      <c r="E18" s="48">
        <f t="shared" si="1"/>
        <v>840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85.0</v>
      </c>
      <c r="E21" s="48">
        <f t="shared" si="1"/>
        <v>1020</v>
      </c>
      <c r="F21" s="9"/>
      <c r="G21" s="9"/>
      <c r="H21" s="9"/>
      <c r="I21" s="12"/>
    </row>
    <row r="22">
      <c r="A22" s="4"/>
      <c r="B22" s="46" t="s">
        <v>33</v>
      </c>
      <c r="D22" s="47">
        <v>353.0</v>
      </c>
      <c r="E22" s="48">
        <f t="shared" si="1"/>
        <v>4236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1695.157</v>
      </c>
      <c r="E23" s="52">
        <f t="shared" si="1"/>
        <v>20341.884</v>
      </c>
      <c r="F23" s="9"/>
      <c r="G23" s="9"/>
      <c r="H23" s="9"/>
      <c r="I23" s="12"/>
    </row>
    <row r="24">
      <c r="A24" s="4"/>
      <c r="B24" s="46" t="s">
        <v>35</v>
      </c>
      <c r="C24" s="53">
        <v>450.0</v>
      </c>
      <c r="D24" s="47">
        <f>C24*4</f>
        <v>1800</v>
      </c>
      <c r="E24" s="48">
        <f t="shared" si="1"/>
        <v>21600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104.8429996</v>
      </c>
      <c r="E25" s="57">
        <f t="shared" si="1"/>
        <v>1258.115995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0"/>
    <col customWidth="1" min="7" max="7" width="30.38"/>
    <col customWidth="1" min="8" max="8" width="4.75"/>
  </cols>
  <sheetData>
    <row r="2">
      <c r="A2" s="1"/>
      <c r="B2" s="1"/>
      <c r="C2" s="2"/>
      <c r="D2" s="2"/>
      <c r="E2" s="2"/>
      <c r="F2" s="2"/>
      <c r="G2" s="2"/>
      <c r="H2" s="2"/>
      <c r="I2" s="3"/>
    </row>
    <row r="3">
      <c r="A3" s="4"/>
      <c r="B3" s="5" t="s">
        <v>68</v>
      </c>
      <c r="C3" s="62"/>
      <c r="D3" s="7" t="s">
        <v>2</v>
      </c>
      <c r="E3" s="8" t="s">
        <v>3</v>
      </c>
      <c r="F3" s="9"/>
      <c r="G3" s="65" t="s">
        <v>4</v>
      </c>
      <c r="H3" s="66" t="s">
        <v>69</v>
      </c>
      <c r="I3" s="12"/>
    </row>
    <row r="4">
      <c r="A4" s="4"/>
      <c r="B4" s="31" t="s">
        <v>56</v>
      </c>
      <c r="C4" s="14">
        <v>249999.0</v>
      </c>
      <c r="D4" s="15"/>
      <c r="E4" s="16"/>
      <c r="F4" s="9"/>
      <c r="G4" s="9"/>
      <c r="H4" s="9"/>
      <c r="I4" s="12"/>
    </row>
    <row r="5">
      <c r="A5" s="4"/>
      <c r="B5" s="19" t="s">
        <v>6</v>
      </c>
      <c r="C5" s="20"/>
      <c r="D5" s="21"/>
      <c r="E5" s="22"/>
      <c r="F5" s="9"/>
      <c r="G5" s="9"/>
      <c r="H5" s="9"/>
      <c r="I5" s="12"/>
    </row>
    <row r="6">
      <c r="A6" s="4"/>
      <c r="B6" s="13" t="s">
        <v>9</v>
      </c>
      <c r="C6" s="23">
        <f>IF(E6="",$D$6*$C$4,E6)</f>
        <v>49999.8</v>
      </c>
      <c r="D6" s="24">
        <v>0.2</v>
      </c>
      <c r="E6" s="25"/>
      <c r="F6" s="9"/>
      <c r="G6" s="27" t="s">
        <v>11</v>
      </c>
      <c r="H6" s="9"/>
      <c r="I6" s="12"/>
    </row>
    <row r="7">
      <c r="A7" s="4"/>
      <c r="B7" s="13" t="s">
        <v>10</v>
      </c>
      <c r="C7" s="23">
        <f>IF(E7="",$C$4*$D$7,E7)</f>
        <v>5499.978</v>
      </c>
      <c r="D7" s="26">
        <v>0.022</v>
      </c>
      <c r="E7" s="25"/>
      <c r="F7" s="9"/>
      <c r="G7" s="29" t="s">
        <v>67</v>
      </c>
      <c r="H7" s="9"/>
      <c r="I7" s="12"/>
    </row>
    <row r="8">
      <c r="A8" s="4"/>
      <c r="B8" s="13" t="s">
        <v>12</v>
      </c>
      <c r="C8" s="28">
        <v>0.065</v>
      </c>
      <c r="D8" s="15"/>
      <c r="E8" s="16"/>
      <c r="F8" s="9"/>
      <c r="G8" s="29" t="s">
        <v>70</v>
      </c>
      <c r="H8" s="9"/>
      <c r="I8" s="12"/>
    </row>
    <row r="9">
      <c r="A9" s="4"/>
      <c r="B9" s="13" t="s">
        <v>14</v>
      </c>
      <c r="C9" s="30">
        <v>30.0</v>
      </c>
      <c r="D9" s="15"/>
      <c r="E9" s="16"/>
      <c r="F9" s="9"/>
      <c r="G9" s="29"/>
      <c r="H9" s="9"/>
      <c r="I9" s="12"/>
    </row>
    <row r="10">
      <c r="A10" s="4"/>
      <c r="B10" s="13" t="s">
        <v>16</v>
      </c>
      <c r="C10" s="23">
        <f>C4-C6</f>
        <v>199999.2</v>
      </c>
      <c r="D10" s="15"/>
      <c r="E10" s="16"/>
      <c r="F10" s="9"/>
      <c r="G10" s="29"/>
      <c r="H10" s="9"/>
      <c r="I10" s="12"/>
    </row>
    <row r="11">
      <c r="A11" s="4"/>
      <c r="B11" s="31" t="s">
        <v>18</v>
      </c>
      <c r="C11" s="23">
        <f>-PMT(C8/12,C9*12,C10)</f>
        <v>1264.13099</v>
      </c>
      <c r="D11" s="15"/>
      <c r="E11" s="16"/>
      <c r="F11" s="9"/>
      <c r="G11" s="29"/>
      <c r="H11" s="9"/>
      <c r="I11" s="12"/>
    </row>
    <row r="12">
      <c r="A12" s="4"/>
      <c r="B12" s="13" t="s">
        <v>20</v>
      </c>
      <c r="C12" s="14">
        <v>0.0</v>
      </c>
      <c r="D12" s="15"/>
      <c r="E12" s="16"/>
      <c r="F12" s="9"/>
      <c r="G12" s="29"/>
      <c r="H12" s="9"/>
      <c r="I12" s="12"/>
    </row>
    <row r="13">
      <c r="A13" s="4"/>
      <c r="B13" s="13" t="s">
        <v>22</v>
      </c>
      <c r="C13" s="23">
        <f>C12+C7+C6</f>
        <v>55499.778</v>
      </c>
      <c r="D13" s="15"/>
      <c r="E13" s="16"/>
      <c r="F13" s="9"/>
      <c r="G13" s="9"/>
      <c r="H13" s="9"/>
      <c r="I13" s="12"/>
    </row>
    <row r="14">
      <c r="A14" s="4"/>
      <c r="B14" s="13"/>
      <c r="C14" s="32"/>
      <c r="D14" s="33"/>
      <c r="E14" s="32"/>
      <c r="F14" s="9"/>
      <c r="G14" s="9"/>
      <c r="H14" s="9"/>
      <c r="I14" s="12"/>
    </row>
    <row r="15">
      <c r="A15" s="4"/>
      <c r="B15" s="34"/>
      <c r="C15" s="35"/>
      <c r="D15" s="36"/>
      <c r="E15" s="37"/>
      <c r="F15" s="9"/>
      <c r="G15" s="9"/>
      <c r="H15" s="9"/>
      <c r="I15" s="12"/>
    </row>
    <row r="16">
      <c r="A16" s="4"/>
      <c r="B16" s="38" t="s">
        <v>24</v>
      </c>
      <c r="C16" s="39"/>
      <c r="D16" s="40" t="s">
        <v>25</v>
      </c>
      <c r="E16" s="40" t="s">
        <v>26</v>
      </c>
      <c r="F16" s="9"/>
      <c r="G16" s="41" t="s">
        <v>27</v>
      </c>
      <c r="H16" s="9"/>
      <c r="I16" s="12"/>
    </row>
    <row r="17">
      <c r="A17" s="4"/>
      <c r="B17" s="42" t="s">
        <v>28</v>
      </c>
      <c r="D17" s="43">
        <f>C11</f>
        <v>1264.13099</v>
      </c>
      <c r="E17" s="44">
        <f t="shared" ref="E17:E25" si="1">D17*12</f>
        <v>15169.57189</v>
      </c>
      <c r="F17" s="9"/>
      <c r="G17" s="45">
        <f>E25/C13</f>
        <v>0.04970160628</v>
      </c>
      <c r="H17" s="9"/>
      <c r="I17" s="12"/>
    </row>
    <row r="18">
      <c r="A18" s="4"/>
      <c r="B18" s="46" t="s">
        <v>29</v>
      </c>
      <c r="D18" s="47">
        <v>86.0</v>
      </c>
      <c r="E18" s="48">
        <f t="shared" si="1"/>
        <v>1032</v>
      </c>
      <c r="F18" s="9"/>
      <c r="G18" s="9"/>
      <c r="H18" s="9"/>
      <c r="I18" s="12"/>
    </row>
    <row r="19">
      <c r="A19" s="4"/>
      <c r="B19" s="46" t="s">
        <v>30</v>
      </c>
      <c r="D19" s="49">
        <v>0.0</v>
      </c>
      <c r="E19" s="48">
        <f t="shared" si="1"/>
        <v>0</v>
      </c>
      <c r="F19" s="9"/>
      <c r="G19" s="9"/>
      <c r="H19" s="9"/>
      <c r="I19" s="12"/>
    </row>
    <row r="20">
      <c r="A20" s="4"/>
      <c r="B20" s="46" t="s">
        <v>31</v>
      </c>
      <c r="D20" s="47">
        <v>100.0</v>
      </c>
      <c r="E20" s="48">
        <f t="shared" si="1"/>
        <v>1200</v>
      </c>
      <c r="F20" s="9"/>
      <c r="G20" s="9"/>
      <c r="H20" s="9"/>
      <c r="I20" s="12"/>
    </row>
    <row r="21">
      <c r="A21" s="4"/>
      <c r="B21" s="46" t="s">
        <v>32</v>
      </c>
      <c r="D21" s="47">
        <v>85.0</v>
      </c>
      <c r="E21" s="48">
        <f t="shared" si="1"/>
        <v>1020</v>
      </c>
      <c r="F21" s="9"/>
      <c r="G21" s="9"/>
      <c r="H21" s="9"/>
      <c r="I21" s="12"/>
    </row>
    <row r="22">
      <c r="A22" s="4"/>
      <c r="B22" s="46" t="s">
        <v>33</v>
      </c>
      <c r="D22" s="47">
        <v>435.0</v>
      </c>
      <c r="E22" s="48">
        <f t="shared" si="1"/>
        <v>5220</v>
      </c>
      <c r="F22" s="9"/>
      <c r="G22" s="9"/>
      <c r="H22" s="9"/>
      <c r="I22" s="12"/>
    </row>
    <row r="23">
      <c r="A23" s="4"/>
      <c r="B23" s="42" t="s">
        <v>34</v>
      </c>
      <c r="C23" s="50"/>
      <c r="D23" s="51">
        <f>SUM(D17:D22)</f>
        <v>1970.13099</v>
      </c>
      <c r="E23" s="52">
        <f t="shared" si="1"/>
        <v>23641.57189</v>
      </c>
      <c r="F23" s="9"/>
      <c r="G23" s="9"/>
      <c r="H23" s="9"/>
      <c r="I23" s="12"/>
    </row>
    <row r="24">
      <c r="A24" s="4"/>
      <c r="B24" s="46" t="s">
        <v>35</v>
      </c>
      <c r="C24" s="53">
        <v>550.0</v>
      </c>
      <c r="D24" s="47">
        <f>C24*4</f>
        <v>2200</v>
      </c>
      <c r="E24" s="48">
        <f t="shared" si="1"/>
        <v>26400</v>
      </c>
      <c r="F24" s="9"/>
      <c r="G24" s="9"/>
      <c r="H24" s="9"/>
      <c r="I24" s="12"/>
    </row>
    <row r="25">
      <c r="A25" s="4"/>
      <c r="B25" s="54" t="s">
        <v>36</v>
      </c>
      <c r="C25" s="55"/>
      <c r="D25" s="56">
        <f>(D24-D23)</f>
        <v>229.8690096</v>
      </c>
      <c r="E25" s="57">
        <f t="shared" si="1"/>
        <v>2758.428115</v>
      </c>
      <c r="F25" s="9"/>
      <c r="G25" s="9"/>
      <c r="H25" s="9"/>
      <c r="I25" s="12"/>
    </row>
    <row r="26">
      <c r="A26" s="58"/>
      <c r="B26" s="58"/>
      <c r="C26" s="59"/>
      <c r="D26" s="59"/>
      <c r="E26" s="60"/>
      <c r="F26" s="59"/>
      <c r="G26" s="59"/>
      <c r="H26" s="59"/>
      <c r="I26" s="61"/>
    </row>
  </sheetData>
  <hyperlinks>
    <hyperlink r:id="rId1" ref="H3"/>
  </hyperlinks>
  <drawing r:id="rId2"/>
</worksheet>
</file>