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 activeTab="3"/>
  </bookViews>
  <sheets>
    <sheet name="Datasheet" sheetId="1" r:id="rId1"/>
    <sheet name="ECONOMIC ANALYSIS" sheetId="2" r:id="rId2"/>
    <sheet name="AFTER TAX CALCULATION" sheetId="3" r:id="rId3"/>
    <sheet name="SA1" sheetId="4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16"/>
  <c r="F36"/>
  <c r="F32"/>
  <c r="F33"/>
  <c r="F34"/>
  <c r="F35"/>
  <c r="F31"/>
  <c r="F17"/>
  <c r="F18"/>
  <c r="F19"/>
  <c r="F20"/>
  <c r="F21"/>
  <c r="F22"/>
  <c r="F23"/>
  <c r="F24"/>
  <c r="F25"/>
  <c r="F26"/>
  <c r="F27"/>
  <c r="F28"/>
  <c r="F29"/>
  <c r="F30"/>
  <c r="F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16"/>
  <c r="D21"/>
  <c r="D22"/>
  <c r="D23"/>
  <c r="D24"/>
  <c r="D25"/>
  <c r="D26"/>
  <c r="D27"/>
  <c r="D28"/>
  <c r="D29"/>
  <c r="D30"/>
  <c r="D31"/>
  <c r="D32"/>
  <c r="D33"/>
  <c r="D34"/>
  <c r="D35"/>
  <c r="D36"/>
  <c r="D17"/>
  <c r="D18"/>
  <c r="D19"/>
  <c r="D20"/>
  <c r="D11"/>
  <c r="D10"/>
  <c r="D9"/>
  <c r="D8"/>
  <c r="D7"/>
  <c r="F78" i="3" l="1"/>
  <c r="M78"/>
  <c r="M53"/>
  <c r="F53"/>
  <c r="F1"/>
  <c r="J58"/>
  <c r="K58" s="1"/>
  <c r="L58" s="1"/>
  <c r="J77"/>
  <c r="J59"/>
  <c r="J60"/>
  <c r="J61"/>
  <c r="J62"/>
  <c r="J63"/>
  <c r="J64"/>
  <c r="K64" s="1"/>
  <c r="L64" s="1"/>
  <c r="M64" s="1"/>
  <c r="J65"/>
  <c r="J66"/>
  <c r="J67"/>
  <c r="J68"/>
  <c r="K68" s="1"/>
  <c r="L68" s="1"/>
  <c r="M68" s="1"/>
  <c r="J69"/>
  <c r="J70"/>
  <c r="J71"/>
  <c r="J72"/>
  <c r="J73"/>
  <c r="J74"/>
  <c r="J75"/>
  <c r="J76"/>
  <c r="K76" s="1"/>
  <c r="L76" s="1"/>
  <c r="J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57"/>
  <c r="D60"/>
  <c r="K75"/>
  <c r="L75" s="1"/>
  <c r="K72"/>
  <c r="L72" s="1"/>
  <c r="M72" s="1"/>
  <c r="K71"/>
  <c r="L71" s="1"/>
  <c r="K67"/>
  <c r="L67" s="1"/>
  <c r="K66"/>
  <c r="L66" s="1"/>
  <c r="K63"/>
  <c r="L63" s="1"/>
  <c r="K60"/>
  <c r="L60" s="1"/>
  <c r="K59"/>
  <c r="L59" s="1"/>
  <c r="M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57"/>
  <c r="C52"/>
  <c r="D76"/>
  <c r="E76" s="1"/>
  <c r="D75"/>
  <c r="E75" s="1"/>
  <c r="D74"/>
  <c r="E74" s="1"/>
  <c r="D72"/>
  <c r="E72" s="1"/>
  <c r="D71"/>
  <c r="E71" s="1"/>
  <c r="D68"/>
  <c r="E68" s="1"/>
  <c r="F68"/>
  <c r="D67"/>
  <c r="E67" s="1"/>
  <c r="D64"/>
  <c r="E64" s="1"/>
  <c r="F64" s="1"/>
  <c r="D63"/>
  <c r="E63" s="1"/>
  <c r="D62"/>
  <c r="E62" s="1"/>
  <c r="E60"/>
  <c r="D59"/>
  <c r="E59" s="1"/>
  <c r="F57"/>
  <c r="J33"/>
  <c r="J34"/>
  <c r="J35"/>
  <c r="J36"/>
  <c r="K36" s="1"/>
  <c r="L36" s="1"/>
  <c r="M36" s="1"/>
  <c r="J37"/>
  <c r="J38"/>
  <c r="J39"/>
  <c r="J40"/>
  <c r="J41"/>
  <c r="J42"/>
  <c r="J43"/>
  <c r="J44"/>
  <c r="J45"/>
  <c r="J46"/>
  <c r="J47"/>
  <c r="J48"/>
  <c r="J49"/>
  <c r="J50"/>
  <c r="J51"/>
  <c r="J52"/>
  <c r="J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32"/>
  <c r="C47"/>
  <c r="K37"/>
  <c r="L37" s="1"/>
  <c r="M37" s="1"/>
  <c r="K39"/>
  <c r="L39" s="1"/>
  <c r="M39" s="1"/>
  <c r="K41"/>
  <c r="L41" s="1"/>
  <c r="M41" s="1"/>
  <c r="K42"/>
  <c r="L42" s="1"/>
  <c r="K45"/>
  <c r="L45" s="1"/>
  <c r="M45" s="1"/>
  <c r="K47"/>
  <c r="L47" s="1"/>
  <c r="M47" s="1"/>
  <c r="K49"/>
  <c r="L49" s="1"/>
  <c r="M49" s="1"/>
  <c r="K50"/>
  <c r="L50" s="1"/>
  <c r="M50" s="1"/>
  <c r="K51"/>
  <c r="L51" s="1"/>
  <c r="M51" s="1"/>
  <c r="K34"/>
  <c r="L34" s="1"/>
  <c r="M34" s="1"/>
  <c r="K33"/>
  <c r="L33" s="1"/>
  <c r="M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32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33"/>
  <c r="C33"/>
  <c r="C34"/>
  <c r="C35"/>
  <c r="C36"/>
  <c r="C37"/>
  <c r="C38"/>
  <c r="C39"/>
  <c r="C40"/>
  <c r="C41"/>
  <c r="C42"/>
  <c r="C43"/>
  <c r="C44"/>
  <c r="C45"/>
  <c r="C46"/>
  <c r="C48"/>
  <c r="C49"/>
  <c r="C50"/>
  <c r="C51"/>
  <c r="C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32"/>
  <c r="L7"/>
  <c r="L8" s="1"/>
  <c r="K8"/>
  <c r="K7"/>
  <c r="L6"/>
  <c r="K6"/>
  <c r="F5"/>
  <c r="K29" i="2"/>
  <c r="L29"/>
  <c r="M29"/>
  <c r="W6"/>
  <c r="W7"/>
  <c r="W8"/>
  <c r="W9"/>
  <c r="W28" s="1"/>
  <c r="W10"/>
  <c r="W11"/>
  <c r="W12"/>
  <c r="W13"/>
  <c r="W14"/>
  <c r="W15"/>
  <c r="W16"/>
  <c r="W17"/>
  <c r="W18"/>
  <c r="W19"/>
  <c r="W20"/>
  <c r="W21"/>
  <c r="W22"/>
  <c r="W23"/>
  <c r="W24"/>
  <c r="W2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S6"/>
  <c r="S7"/>
  <c r="S8"/>
  <c r="S9"/>
  <c r="S28" s="1"/>
  <c r="S10"/>
  <c r="S11"/>
  <c r="S12"/>
  <c r="S13"/>
  <c r="S14"/>
  <c r="S15"/>
  <c r="S16"/>
  <c r="S17"/>
  <c r="S18"/>
  <c r="S19"/>
  <c r="S20"/>
  <c r="S21"/>
  <c r="S22"/>
  <c r="S23"/>
  <c r="S24"/>
  <c r="S2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W5"/>
  <c r="V5"/>
  <c r="V29" s="1"/>
  <c r="U5"/>
  <c r="T5"/>
  <c r="S5"/>
  <c r="R5"/>
  <c r="R29" s="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5"/>
  <c r="U28"/>
  <c r="C16" i="1"/>
  <c r="C38"/>
  <c r="C34"/>
  <c r="C19"/>
  <c r="E16"/>
  <c r="G16"/>
  <c r="I16"/>
  <c r="K65" i="3" l="1"/>
  <c r="L65" s="1"/>
  <c r="K61"/>
  <c r="L61" s="1"/>
  <c r="M61" s="1"/>
  <c r="K69"/>
  <c r="L69" s="1"/>
  <c r="M69" s="1"/>
  <c r="K73"/>
  <c r="L73" s="1"/>
  <c r="M73" s="1"/>
  <c r="K77"/>
  <c r="L77" s="1"/>
  <c r="M77" s="1"/>
  <c r="M60"/>
  <c r="M65"/>
  <c r="M76"/>
  <c r="M58"/>
  <c r="M66"/>
  <c r="M59"/>
  <c r="M67"/>
  <c r="M71"/>
  <c r="K62"/>
  <c r="L62" s="1"/>
  <c r="M62" s="1"/>
  <c r="K70"/>
  <c r="L70" s="1"/>
  <c r="M70" s="1"/>
  <c r="K74"/>
  <c r="L74" s="1"/>
  <c r="M74" s="1"/>
  <c r="M63"/>
  <c r="M75"/>
  <c r="F75"/>
  <c r="F72"/>
  <c r="F60"/>
  <c r="F76"/>
  <c r="F62"/>
  <c r="F74"/>
  <c r="F59"/>
  <c r="D61"/>
  <c r="E61" s="1"/>
  <c r="F61" s="1"/>
  <c r="F63"/>
  <c r="D65"/>
  <c r="E65" s="1"/>
  <c r="F65" s="1"/>
  <c r="F67"/>
  <c r="D69"/>
  <c r="E69" s="1"/>
  <c r="F69" s="1"/>
  <c r="F71"/>
  <c r="D73"/>
  <c r="E73" s="1"/>
  <c r="F73" s="1"/>
  <c r="D77"/>
  <c r="E77" s="1"/>
  <c r="F77" s="1"/>
  <c r="D58"/>
  <c r="E58" s="1"/>
  <c r="F58" s="1"/>
  <c r="D66"/>
  <c r="E66" s="1"/>
  <c r="F66" s="1"/>
  <c r="D70"/>
  <c r="E70" s="1"/>
  <c r="F70" s="1"/>
  <c r="K48"/>
  <c r="L48" s="1"/>
  <c r="M48" s="1"/>
  <c r="K40"/>
  <c r="L40" s="1"/>
  <c r="M40" s="1"/>
  <c r="K43"/>
  <c r="L43" s="1"/>
  <c r="M43" s="1"/>
  <c r="K35"/>
  <c r="L35" s="1"/>
  <c r="M35" s="1"/>
  <c r="K52"/>
  <c r="L52" s="1"/>
  <c r="M52" s="1"/>
  <c r="K44"/>
  <c r="L44" s="1"/>
  <c r="M44" s="1"/>
  <c r="M42"/>
  <c r="K46"/>
  <c r="L46" s="1"/>
  <c r="M46" s="1"/>
  <c r="K38"/>
  <c r="L38" s="1"/>
  <c r="M38" s="1"/>
  <c r="M33"/>
  <c r="K9"/>
  <c r="L9"/>
  <c r="E6"/>
  <c r="F6" s="1"/>
  <c r="T29" i="2"/>
  <c r="E24" i="1"/>
  <c r="G15"/>
  <c r="C15"/>
  <c r="I19"/>
  <c r="I14"/>
  <c r="I15"/>
  <c r="D51" i="2"/>
  <c r="D45"/>
  <c r="D39"/>
  <c r="D11"/>
  <c r="D17"/>
  <c r="D23"/>
  <c r="E12" i="1"/>
  <c r="G12"/>
  <c r="I12"/>
  <c r="C12"/>
  <c r="I24"/>
  <c r="D105" i="2"/>
  <c r="D97"/>
  <c r="D77"/>
  <c r="D69"/>
  <c r="G19" i="1"/>
  <c r="E19"/>
  <c r="I22"/>
  <c r="G22"/>
  <c r="E22"/>
  <c r="C22"/>
  <c r="I21"/>
  <c r="G21"/>
  <c r="E21"/>
  <c r="C21"/>
  <c r="C24"/>
  <c r="K10" i="3" l="1"/>
  <c r="L10"/>
  <c r="E7"/>
  <c r="F7" s="1"/>
  <c r="E12" i="2"/>
  <c r="B89"/>
  <c r="I89" s="1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E96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81"/>
  <c r="E68"/>
  <c r="I27" i="1"/>
  <c r="I25" s="1"/>
  <c r="H109" i="2" s="1"/>
  <c r="G27" i="1"/>
  <c r="F53" i="2"/>
  <c r="F52"/>
  <c r="F51"/>
  <c r="F50"/>
  <c r="F49"/>
  <c r="F48"/>
  <c r="F47"/>
  <c r="F46"/>
  <c r="F45"/>
  <c r="F44"/>
  <c r="F43"/>
  <c r="F42"/>
  <c r="F40"/>
  <c r="F41"/>
  <c r="F39"/>
  <c r="F38"/>
  <c r="F37"/>
  <c r="F36"/>
  <c r="F35"/>
  <c r="F34"/>
  <c r="E40"/>
  <c r="E27" i="1"/>
  <c r="F16" i="2"/>
  <c r="F17"/>
  <c r="F18"/>
  <c r="F19"/>
  <c r="F20"/>
  <c r="F21"/>
  <c r="F22"/>
  <c r="F23"/>
  <c r="F24"/>
  <c r="F25"/>
  <c r="F15"/>
  <c r="F6"/>
  <c r="F7"/>
  <c r="F8"/>
  <c r="F9"/>
  <c r="F10"/>
  <c r="F11"/>
  <c r="F12"/>
  <c r="F13"/>
  <c r="F14"/>
  <c r="C27" i="1"/>
  <c r="G6" i="2"/>
  <c r="G17" s="1"/>
  <c r="G24" i="1"/>
  <c r="E15"/>
  <c r="C34" i="2" s="1"/>
  <c r="G14" i="1"/>
  <c r="B61" i="2" s="1"/>
  <c r="E14" i="1"/>
  <c r="B33" i="2" s="1"/>
  <c r="I33" s="1"/>
  <c r="C14" i="1"/>
  <c r="B5" i="2" s="1"/>
  <c r="I5" s="1"/>
  <c r="L5" i="3"/>
  <c r="I5"/>
  <c r="G62" i="2"/>
  <c r="G64" s="1"/>
  <c r="G90"/>
  <c r="G94" s="1"/>
  <c r="G34"/>
  <c r="G46" s="1"/>
  <c r="C6"/>
  <c r="C11" s="1"/>
  <c r="C90"/>
  <c r="C91" s="1"/>
  <c r="C62"/>
  <c r="C63" s="1"/>
  <c r="K11" i="3" l="1"/>
  <c r="L11" s="1"/>
  <c r="H6"/>
  <c r="I6" s="1"/>
  <c r="H7" s="1"/>
  <c r="I7" s="1"/>
  <c r="E8"/>
  <c r="F8" s="1"/>
  <c r="M5" i="2"/>
  <c r="G102"/>
  <c r="G107"/>
  <c r="G96"/>
  <c r="C75"/>
  <c r="G91"/>
  <c r="G93"/>
  <c r="G100"/>
  <c r="C68"/>
  <c r="G95"/>
  <c r="G97"/>
  <c r="G108"/>
  <c r="C76"/>
  <c r="G98"/>
  <c r="G99"/>
  <c r="G92"/>
  <c r="C67"/>
  <c r="C69"/>
  <c r="C5" i="3"/>
  <c r="C66" i="2"/>
  <c r="G106"/>
  <c r="G103"/>
  <c r="G101"/>
  <c r="G104"/>
  <c r="G105"/>
  <c r="G109"/>
  <c r="G63"/>
  <c r="C71"/>
  <c r="C64"/>
  <c r="I64" s="1"/>
  <c r="C80"/>
  <c r="C65"/>
  <c r="C79"/>
  <c r="C72"/>
  <c r="C74"/>
  <c r="C81"/>
  <c r="E25" i="1"/>
  <c r="H53" i="2" s="1"/>
  <c r="G25" i="1"/>
  <c r="H81" i="2" s="1"/>
  <c r="G12"/>
  <c r="G65"/>
  <c r="G66"/>
  <c r="G15"/>
  <c r="G81"/>
  <c r="G20"/>
  <c r="G72"/>
  <c r="G73"/>
  <c r="G74"/>
  <c r="G80"/>
  <c r="G23"/>
  <c r="G68"/>
  <c r="G76"/>
  <c r="G69"/>
  <c r="G77"/>
  <c r="G70"/>
  <c r="G78"/>
  <c r="G71"/>
  <c r="I61"/>
  <c r="L5" s="1"/>
  <c r="C49"/>
  <c r="C43"/>
  <c r="C42"/>
  <c r="C35"/>
  <c r="C36"/>
  <c r="C52"/>
  <c r="C39"/>
  <c r="C48"/>
  <c r="C53"/>
  <c r="C45"/>
  <c r="C40"/>
  <c r="C50"/>
  <c r="C37"/>
  <c r="C38"/>
  <c r="C46"/>
  <c r="C47"/>
  <c r="C44"/>
  <c r="C41"/>
  <c r="C51"/>
  <c r="I76"/>
  <c r="G79"/>
  <c r="G67"/>
  <c r="G75"/>
  <c r="B53"/>
  <c r="C25" i="1"/>
  <c r="H25" i="2" s="1"/>
  <c r="I63"/>
  <c r="I62"/>
  <c r="L6" s="1"/>
  <c r="C70"/>
  <c r="C78"/>
  <c r="C99"/>
  <c r="C107"/>
  <c r="C97"/>
  <c r="C105"/>
  <c r="C100"/>
  <c r="C108"/>
  <c r="C102"/>
  <c r="C96"/>
  <c r="C104"/>
  <c r="C94"/>
  <c r="C106"/>
  <c r="C92"/>
  <c r="C98"/>
  <c r="C95"/>
  <c r="C103"/>
  <c r="C93"/>
  <c r="C101"/>
  <c r="C109"/>
  <c r="C23"/>
  <c r="C8"/>
  <c r="C24"/>
  <c r="C18"/>
  <c r="C14"/>
  <c r="C22"/>
  <c r="C19"/>
  <c r="C20"/>
  <c r="C10"/>
  <c r="C21"/>
  <c r="C17"/>
  <c r="C12"/>
  <c r="C7"/>
  <c r="C9"/>
  <c r="C15"/>
  <c r="C16"/>
  <c r="C13"/>
  <c r="C25"/>
  <c r="C73"/>
  <c r="C77"/>
  <c r="I90"/>
  <c r="G47"/>
  <c r="G40"/>
  <c r="G38"/>
  <c r="G50"/>
  <c r="G35"/>
  <c r="G36"/>
  <c r="G49"/>
  <c r="G42"/>
  <c r="I34"/>
  <c r="G51"/>
  <c r="G44"/>
  <c r="G41"/>
  <c r="G43"/>
  <c r="G37"/>
  <c r="G53"/>
  <c r="G39"/>
  <c r="G52"/>
  <c r="G48"/>
  <c r="G45"/>
  <c r="G18"/>
  <c r="G7"/>
  <c r="G21"/>
  <c r="G10"/>
  <c r="G25"/>
  <c r="G11"/>
  <c r="G19"/>
  <c r="G8"/>
  <c r="G16"/>
  <c r="G24"/>
  <c r="G13"/>
  <c r="I6"/>
  <c r="K6" s="1"/>
  <c r="G14"/>
  <c r="G22"/>
  <c r="G9"/>
  <c r="K12" i="3" l="1"/>
  <c r="L12" s="1"/>
  <c r="H8"/>
  <c r="I8" s="1"/>
  <c r="H9" s="1"/>
  <c r="I9" s="1"/>
  <c r="H10" s="1"/>
  <c r="I10" s="1"/>
  <c r="H11" s="1"/>
  <c r="I11" s="1"/>
  <c r="H12" s="1"/>
  <c r="I12" s="1"/>
  <c r="E9"/>
  <c r="F9" s="1"/>
  <c r="B6"/>
  <c r="C6" s="1"/>
  <c r="M6" i="2"/>
  <c r="K5"/>
  <c r="I91"/>
  <c r="I101"/>
  <c r="M17" s="1"/>
  <c r="I80"/>
  <c r="I65"/>
  <c r="L9" s="1"/>
  <c r="V26"/>
  <c r="I17"/>
  <c r="I72"/>
  <c r="I70"/>
  <c r="L14" s="1"/>
  <c r="I109"/>
  <c r="I78"/>
  <c r="I67"/>
  <c r="I79"/>
  <c r="L23" s="1"/>
  <c r="I71"/>
  <c r="I66"/>
  <c r="I68"/>
  <c r="I46"/>
  <c r="I74"/>
  <c r="I81"/>
  <c r="I75"/>
  <c r="I96"/>
  <c r="S26"/>
  <c r="I69"/>
  <c r="I94"/>
  <c r="I104"/>
  <c r="M20" s="1"/>
  <c r="I24"/>
  <c r="K24" s="1"/>
  <c r="U26"/>
  <c r="I35"/>
  <c r="I95"/>
  <c r="I106"/>
  <c r="M22" s="1"/>
  <c r="I107"/>
  <c r="I98"/>
  <c r="I103"/>
  <c r="I99"/>
  <c r="I100"/>
  <c r="I93"/>
  <c r="I92"/>
  <c r="I102"/>
  <c r="M18" s="1"/>
  <c r="I105"/>
  <c r="I108"/>
  <c r="M24" s="1"/>
  <c r="I97"/>
  <c r="I20"/>
  <c r="K20" s="1"/>
  <c r="I15"/>
  <c r="K15" s="1"/>
  <c r="I12"/>
  <c r="K12" s="1"/>
  <c r="I23"/>
  <c r="K23" s="1"/>
  <c r="I73"/>
  <c r="I77"/>
  <c r="L21" s="1"/>
  <c r="I45"/>
  <c r="I41"/>
  <c r="I42"/>
  <c r="I40"/>
  <c r="I48"/>
  <c r="I53"/>
  <c r="I44"/>
  <c r="I49"/>
  <c r="I47"/>
  <c r="I52"/>
  <c r="I37"/>
  <c r="I51"/>
  <c r="I36"/>
  <c r="I50"/>
  <c r="I39"/>
  <c r="I43"/>
  <c r="I38"/>
  <c r="I7"/>
  <c r="K7" s="1"/>
  <c r="I18"/>
  <c r="K18" s="1"/>
  <c r="I21"/>
  <c r="I9"/>
  <c r="K9" s="1"/>
  <c r="I13"/>
  <c r="K13" s="1"/>
  <c r="I19"/>
  <c r="K19" s="1"/>
  <c r="I10"/>
  <c r="K10" s="1"/>
  <c r="I25"/>
  <c r="K25" s="1"/>
  <c r="I14"/>
  <c r="K14" s="1"/>
  <c r="I16"/>
  <c r="K16" s="1"/>
  <c r="I22"/>
  <c r="K22" s="1"/>
  <c r="I11"/>
  <c r="K11" s="1"/>
  <c r="I8"/>
  <c r="K8" s="1"/>
  <c r="K13" i="3" l="1"/>
  <c r="L13" s="1"/>
  <c r="H13"/>
  <c r="I13" s="1"/>
  <c r="E10"/>
  <c r="F10"/>
  <c r="E11" s="1"/>
  <c r="F11" s="1"/>
  <c r="E12" s="1"/>
  <c r="F12" s="1"/>
  <c r="E13" s="1"/>
  <c r="B7"/>
  <c r="C7" s="1"/>
  <c r="M15" i="2"/>
  <c r="L17"/>
  <c r="M9"/>
  <c r="M11"/>
  <c r="M10"/>
  <c r="L19"/>
  <c r="L12"/>
  <c r="L11"/>
  <c r="L16"/>
  <c r="M7"/>
  <c r="M12"/>
  <c r="L20"/>
  <c r="K21"/>
  <c r="M8"/>
  <c r="M16"/>
  <c r="M19"/>
  <c r="M23"/>
  <c r="L13"/>
  <c r="L25"/>
  <c r="L10"/>
  <c r="L22"/>
  <c r="K17"/>
  <c r="L24"/>
  <c r="L7"/>
  <c r="L27" s="1"/>
  <c r="M13"/>
  <c r="M21"/>
  <c r="M14"/>
  <c r="L18"/>
  <c r="L15"/>
  <c r="M25"/>
  <c r="L8"/>
  <c r="P26"/>
  <c r="I54"/>
  <c r="R54"/>
  <c r="Q26"/>
  <c r="R26"/>
  <c r="I84" s="1"/>
  <c r="I55"/>
  <c r="R39"/>
  <c r="R41"/>
  <c r="I111"/>
  <c r="R46"/>
  <c r="R37"/>
  <c r="I26"/>
  <c r="I27"/>
  <c r="R36"/>
  <c r="R49"/>
  <c r="I110"/>
  <c r="R48"/>
  <c r="R52"/>
  <c r="R40"/>
  <c r="R51"/>
  <c r="R50"/>
  <c r="R55"/>
  <c r="R42"/>
  <c r="R43"/>
  <c r="R45"/>
  <c r="R53"/>
  <c r="R47"/>
  <c r="R56"/>
  <c r="R44"/>
  <c r="R38"/>
  <c r="T26"/>
  <c r="I112" s="1"/>
  <c r="Q56"/>
  <c r="Q51"/>
  <c r="I83"/>
  <c r="Q45"/>
  <c r="Q48"/>
  <c r="Q37"/>
  <c r="Q38"/>
  <c r="Q39"/>
  <c r="Q53"/>
  <c r="Q46"/>
  <c r="I82"/>
  <c r="Q42"/>
  <c r="Q44"/>
  <c r="Q47"/>
  <c r="Q54"/>
  <c r="Q55"/>
  <c r="Q40"/>
  <c r="Q49"/>
  <c r="Q50"/>
  <c r="Q41"/>
  <c r="Q43"/>
  <c r="Q36"/>
  <c r="Q52"/>
  <c r="W26"/>
  <c r="I56" s="1"/>
  <c r="P38"/>
  <c r="P53"/>
  <c r="P51"/>
  <c r="P49"/>
  <c r="P37"/>
  <c r="P50"/>
  <c r="P43"/>
  <c r="P44"/>
  <c r="P46"/>
  <c r="P42"/>
  <c r="P52"/>
  <c r="P56"/>
  <c r="P54"/>
  <c r="P48"/>
  <c r="P47"/>
  <c r="P39"/>
  <c r="P55"/>
  <c r="P40"/>
  <c r="P45"/>
  <c r="P36"/>
  <c r="P41"/>
  <c r="O45"/>
  <c r="O46"/>
  <c r="O51"/>
  <c r="O53"/>
  <c r="O38"/>
  <c r="O44"/>
  <c r="O41"/>
  <c r="O36"/>
  <c r="O40"/>
  <c r="O37"/>
  <c r="O43"/>
  <c r="O54"/>
  <c r="O47"/>
  <c r="O52"/>
  <c r="O56"/>
  <c r="O49"/>
  <c r="O39"/>
  <c r="O42"/>
  <c r="O50"/>
  <c r="O48"/>
  <c r="O55"/>
  <c r="K14" i="3" l="1"/>
  <c r="L14" s="1"/>
  <c r="H14"/>
  <c r="I14" s="1"/>
  <c r="F13"/>
  <c r="E14" s="1"/>
  <c r="F14" s="1"/>
  <c r="B8"/>
  <c r="C8" s="1"/>
  <c r="I28" i="2"/>
  <c r="K27"/>
  <c r="M27"/>
  <c r="K15" i="3" l="1"/>
  <c r="L15" s="1"/>
  <c r="H15"/>
  <c r="I15" s="1"/>
  <c r="E15"/>
  <c r="F15" s="1"/>
  <c r="B9"/>
  <c r="C9" s="1"/>
  <c r="B10" s="1"/>
  <c r="C10" s="1"/>
  <c r="B11" s="1"/>
  <c r="C11" s="1"/>
  <c r="B12" s="1"/>
  <c r="C12" s="1"/>
  <c r="B13" s="1"/>
  <c r="C13" s="1"/>
  <c r="B14" s="1"/>
  <c r="C14" s="1"/>
  <c r="B15" s="1"/>
  <c r="C15" s="1"/>
  <c r="K16" l="1"/>
  <c r="L16" s="1"/>
  <c r="H16"/>
  <c r="I16" s="1"/>
  <c r="E16"/>
  <c r="F16" s="1"/>
  <c r="B16"/>
  <c r="C16" s="1"/>
  <c r="K17" l="1"/>
  <c r="L17"/>
  <c r="H17"/>
  <c r="I17" s="1"/>
  <c r="E17"/>
  <c r="F17" s="1"/>
  <c r="B17"/>
  <c r="C17" s="1"/>
  <c r="K18" l="1"/>
  <c r="L18"/>
  <c r="H18"/>
  <c r="I18" s="1"/>
  <c r="E18"/>
  <c r="F18"/>
  <c r="B18"/>
  <c r="C18" s="1"/>
  <c r="K19" l="1"/>
  <c r="L19" s="1"/>
  <c r="H19"/>
  <c r="I19" s="1"/>
  <c r="E19"/>
  <c r="F19" s="1"/>
  <c r="B19"/>
  <c r="C19" s="1"/>
  <c r="K20" l="1"/>
  <c r="L20" s="1"/>
  <c r="H20"/>
  <c r="I20" s="1"/>
  <c r="E20"/>
  <c r="F20" s="1"/>
  <c r="B20"/>
  <c r="C20" s="1"/>
  <c r="K21" l="1"/>
  <c r="L21"/>
  <c r="H21"/>
  <c r="I21" s="1"/>
  <c r="E21"/>
  <c r="F21" s="1"/>
  <c r="B21"/>
  <c r="C21" s="1"/>
  <c r="K22" l="1"/>
  <c r="L22"/>
  <c r="H22"/>
  <c r="I22" s="1"/>
  <c r="E22"/>
  <c r="F22" s="1"/>
  <c r="B22"/>
  <c r="C22" s="1"/>
  <c r="L23" l="1"/>
  <c r="K23"/>
  <c r="H23"/>
  <c r="I23" s="1"/>
  <c r="E23"/>
  <c r="F23" s="1"/>
  <c r="B23"/>
  <c r="C23" s="1"/>
  <c r="K24" l="1"/>
  <c r="L24"/>
  <c r="H24"/>
  <c r="I24" s="1"/>
  <c r="E24"/>
  <c r="F24" s="1"/>
  <c r="B24"/>
  <c r="C24" s="1"/>
  <c r="K25" l="1"/>
  <c r="L25"/>
  <c r="H25"/>
  <c r="I25" s="1"/>
  <c r="E25"/>
  <c r="F25" s="1"/>
  <c r="B25"/>
  <c r="C25" s="1"/>
</calcChain>
</file>

<file path=xl/sharedStrings.xml><?xml version="1.0" encoding="utf-8"?>
<sst xmlns="http://schemas.openxmlformats.org/spreadsheetml/2006/main" count="218" uniqueCount="102">
  <si>
    <t>Alternative 1</t>
  </si>
  <si>
    <t>Per Unit</t>
  </si>
  <si>
    <t>Alternative 2</t>
  </si>
  <si>
    <t>Alternative 3</t>
  </si>
  <si>
    <t>Alternative 4</t>
  </si>
  <si>
    <t xml:space="preserve">Year of construction </t>
  </si>
  <si>
    <t>Class</t>
  </si>
  <si>
    <t>B</t>
  </si>
  <si>
    <t>A</t>
  </si>
  <si>
    <t>Total area</t>
  </si>
  <si>
    <t>S.F.</t>
  </si>
  <si>
    <t>Number of  Floors</t>
  </si>
  <si>
    <t>Age</t>
  </si>
  <si>
    <t>Useful life (year)</t>
  </si>
  <si>
    <t>Remaining useful life</t>
  </si>
  <si>
    <t>Cost</t>
  </si>
  <si>
    <t>Total Initial Cost ($ M)</t>
  </si>
  <si>
    <t>Annual O&amp;M cost ($ M)</t>
  </si>
  <si>
    <t>Revenue ($ M)</t>
  </si>
  <si>
    <t xml:space="preserve">Bank repayment($ M) </t>
  </si>
  <si>
    <t>7th Year</t>
  </si>
  <si>
    <t>7th year</t>
  </si>
  <si>
    <t>Bond repayment($ M)</t>
  </si>
  <si>
    <t>yearly</t>
  </si>
  <si>
    <t>Bond repayment final($ M)</t>
  </si>
  <si>
    <t>20th Year</t>
  </si>
  <si>
    <t>Overhaul cost ($ M)</t>
  </si>
  <si>
    <t>Terminal value @ 20 year (DDB) ($ M)</t>
  </si>
  <si>
    <t>CCA(%)</t>
  </si>
  <si>
    <t>Decision horizon</t>
  </si>
  <si>
    <t>20 Year</t>
  </si>
  <si>
    <t>MARR before tax</t>
  </si>
  <si>
    <t>Income tax</t>
  </si>
  <si>
    <t>MARR after tax</t>
  </si>
  <si>
    <t>IRR CALCULATION</t>
  </si>
  <si>
    <t>BENEFIT TO COST RATIO CALCULATION</t>
  </si>
  <si>
    <t>A3</t>
  </si>
  <si>
    <t>A2</t>
  </si>
  <si>
    <t>A1</t>
  </si>
  <si>
    <t>A4</t>
  </si>
  <si>
    <t>alterntive  1</t>
  </si>
  <si>
    <t>EOY</t>
  </si>
  <si>
    <t>Initial Cost (1 M)</t>
  </si>
  <si>
    <t>annual maintanance cost</t>
  </si>
  <si>
    <t>Overhaul Cost (1 M)</t>
  </si>
  <si>
    <t>Bank Repayment (1M)</t>
  </si>
  <si>
    <t>Bond Repayment(1M)</t>
  </si>
  <si>
    <t>Annual Rvenue(1 M)</t>
  </si>
  <si>
    <t>Terminal Value</t>
  </si>
  <si>
    <t>Cash Flow(1 M)</t>
  </si>
  <si>
    <t xml:space="preserve"> COST</t>
  </si>
  <si>
    <t>BENEFIT</t>
  </si>
  <si>
    <t>NPW</t>
  </si>
  <si>
    <t>IRR</t>
  </si>
  <si>
    <t>ΔIRR</t>
  </si>
  <si>
    <t>BCR</t>
  </si>
  <si>
    <t>Select A3</t>
  </si>
  <si>
    <t>ΔB</t>
  </si>
  <si>
    <t>ΔBCR</t>
  </si>
  <si>
    <t>ΔC</t>
  </si>
  <si>
    <t>alterntive  2</t>
  </si>
  <si>
    <t>Bank Repayment(1M)</t>
  </si>
  <si>
    <t>alterntive  3</t>
  </si>
  <si>
    <t>Bank Repayment</t>
  </si>
  <si>
    <t>Bond Repayment</t>
  </si>
  <si>
    <t>alterntive  4</t>
  </si>
  <si>
    <t>income tax rate</t>
  </si>
  <si>
    <t>VALUE IN FORMULA OF CCA</t>
  </si>
  <si>
    <t>CCA</t>
  </si>
  <si>
    <t>UCC</t>
  </si>
  <si>
    <t xml:space="preserve"> Every 6th Year</t>
  </si>
  <si>
    <t xml:space="preserve"> Every 8th Year</t>
  </si>
  <si>
    <t>Yearly</t>
  </si>
  <si>
    <t>Depreciation rate</t>
  </si>
  <si>
    <t>WACC(%)</t>
  </si>
  <si>
    <t>Bank Interest rate</t>
  </si>
  <si>
    <t>Bond Interest rate</t>
  </si>
  <si>
    <t>Bannk loan amount($ M)</t>
  </si>
  <si>
    <t>Bond amount($ M)</t>
  </si>
  <si>
    <t>Debt</t>
  </si>
  <si>
    <t>Profit</t>
  </si>
  <si>
    <t>Opportunity cost</t>
  </si>
  <si>
    <t>A4-A2</t>
  </si>
  <si>
    <t>Select A4</t>
  </si>
  <si>
    <t>A3-A4</t>
  </si>
  <si>
    <t>A1-A3</t>
  </si>
  <si>
    <t>BEFORE TAX CF</t>
  </si>
  <si>
    <t>TAXABLE INCOME</t>
  </si>
  <si>
    <t>INCOME TAX</t>
  </si>
  <si>
    <t>AFTER TAX CF</t>
  </si>
  <si>
    <t>A-1</t>
  </si>
  <si>
    <t>A-2</t>
  </si>
  <si>
    <t>A-3</t>
  </si>
  <si>
    <t>NPV</t>
  </si>
  <si>
    <t xml:space="preserve">Uncertain Parametres </t>
  </si>
  <si>
    <t>MARR</t>
  </si>
  <si>
    <t>Inflation Rate</t>
  </si>
  <si>
    <t>O&amp;M Cost ($ M)</t>
  </si>
  <si>
    <t>Overhaul Cost ($ M)</t>
  </si>
  <si>
    <t>Salvage value ($ M)</t>
  </si>
  <si>
    <t>Deviation Range</t>
  </si>
  <si>
    <t>Salvage Value ($ M)</t>
  </si>
</sst>
</file>

<file path=xl/styles.xml><?xml version="1.0" encoding="utf-8"?>
<styleSheet xmlns="http://schemas.openxmlformats.org/spreadsheetml/2006/main">
  <numFmts count="5">
    <numFmt numFmtId="164" formatCode="_-[$$-1009]* #,##0.00_-;\-[$$-1009]* #,##0.00_-;_-[$$-1009]* &quot;-&quot;??_-;_-@_-"/>
    <numFmt numFmtId="165" formatCode="&quot;$&quot;#,##0.00"/>
    <numFmt numFmtId="166" formatCode="0.0%"/>
    <numFmt numFmtId="167" formatCode="0.000"/>
    <numFmt numFmtId="168" formatCode="&quot;$&quot;#,##0.0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64" fontId="0" fillId="0" borderId="0" xfId="1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/>
    <xf numFmtId="165" fontId="3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0" fillId="0" borderId="0" xfId="0" applyNumberFormat="1"/>
    <xf numFmtId="165" fontId="0" fillId="0" borderId="0" xfId="1" applyNumberFormat="1" applyFont="1"/>
    <xf numFmtId="165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5" fontId="3" fillId="0" borderId="0" xfId="0" applyNumberFormat="1" applyFont="1"/>
    <xf numFmtId="0" fontId="3" fillId="0" borderId="0" xfId="0" applyFont="1" applyAlignment="1"/>
    <xf numFmtId="0" fontId="0" fillId="0" borderId="0" xfId="0" applyAlignment="1"/>
    <xf numFmtId="10" fontId="3" fillId="0" borderId="0" xfId="0" applyNumberFormat="1" applyFont="1"/>
    <xf numFmtId="10" fontId="0" fillId="0" borderId="0" xfId="0" applyNumberFormat="1"/>
    <xf numFmtId="9" fontId="0" fillId="0" borderId="0" xfId="0" applyNumberFormat="1"/>
    <xf numFmtId="9" fontId="0" fillId="0" borderId="0" xfId="2" applyFont="1"/>
    <xf numFmtId="9" fontId="0" fillId="0" borderId="0" xfId="2" applyNumberFormat="1" applyFont="1"/>
    <xf numFmtId="165" fontId="3" fillId="0" borderId="0" xfId="0" applyNumberFormat="1" applyFont="1" applyAlignment="1">
      <alignment horizontal="right" vertical="center"/>
    </xf>
    <xf numFmtId="165" fontId="0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 vertical="center"/>
    </xf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3" fillId="0" borderId="0" xfId="0" applyNumberFormat="1" applyFont="1"/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65" fontId="3" fillId="0" borderId="0" xfId="0" applyNumberFormat="1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166" fontId="0" fillId="0" borderId="0" xfId="2" applyNumberFormat="1" applyFont="1"/>
    <xf numFmtId="10" fontId="0" fillId="0" borderId="0" xfId="2" applyNumberFormat="1" applyFont="1"/>
    <xf numFmtId="0" fontId="0" fillId="0" borderId="0" xfId="0" applyNumberFormat="1"/>
  </cellXfs>
  <cellStyles count="3">
    <cellStyle name="Currency" xfId="1" builtinId="4" customBuilti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NPW vs IRR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6.725052598654549E-2"/>
          <c:y val="0.14385252928122869"/>
          <c:w val="0.9133145738314945"/>
          <c:h val="0.84407963061735014"/>
        </c:manualLayout>
      </c:layout>
      <c:scatterChart>
        <c:scatterStyle val="lineMarker"/>
        <c:ser>
          <c:idx val="0"/>
          <c:order val="0"/>
          <c:tx>
            <c:strRef>
              <c:f>'ECONOMIC ANALYSIS'!$O$34:$O$35</c:f>
              <c:strCache>
                <c:ptCount val="1"/>
                <c:pt idx="0">
                  <c:v>NPW 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ANALYSIS'!$N$36:$N$56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'ECONOMIC ANALYSIS'!$O$36:$O$56</c:f>
              <c:numCache>
                <c:formatCode>"$"#,##0.00</c:formatCode>
                <c:ptCount val="21"/>
                <c:pt idx="0">
                  <c:v>27.970226474492531</c:v>
                </c:pt>
                <c:pt idx="1">
                  <c:v>23.035254280061242</c:v>
                </c:pt>
                <c:pt idx="2">
                  <c:v>18.763510821968726</c:v>
                </c:pt>
                <c:pt idx="3">
                  <c:v>15.053461928863992</c:v>
                </c:pt>
                <c:pt idx="4">
                  <c:v>11.820474930639282</c:v>
                </c:pt>
                <c:pt idx="5">
                  <c:v>8.9938153992334939</c:v>
                </c:pt>
                <c:pt idx="6">
                  <c:v>6.5142077719162188</c:v>
                </c:pt>
                <c:pt idx="7">
                  <c:v>4.3318487481553163</c:v>
                </c:pt>
                <c:pt idx="8">
                  <c:v>2.4047852113832526</c:v>
                </c:pt>
                <c:pt idx="9">
                  <c:v>0.69758639539607969</c:v>
                </c:pt>
                <c:pt idx="10">
                  <c:v>-0.81974582301966947</c:v>
                </c:pt>
                <c:pt idx="11">
                  <c:v>-2.1726734320374135</c:v>
                </c:pt>
                <c:pt idx="12">
                  <c:v>-3.3828616525177679</c:v>
                </c:pt>
                <c:pt idx="13">
                  <c:v>-4.4687901803066978</c:v>
                </c:pt>
                <c:pt idx="14">
                  <c:v>-5.4462597075710022</c:v>
                </c:pt>
                <c:pt idx="15">
                  <c:v>-6.3288126482298281</c:v>
                </c:pt>
                <c:pt idx="16">
                  <c:v>-7.1280834072545254</c:v>
                </c:pt>
                <c:pt idx="17">
                  <c:v>-7.8540906569873687</c:v>
                </c:pt>
                <c:pt idx="18">
                  <c:v>-8.5154817700795729</c:v>
                </c:pt>
                <c:pt idx="19">
                  <c:v>-9.1197376935605678</c:v>
                </c:pt>
                <c:pt idx="20">
                  <c:v>-9.6733450415062006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B66-498B-A01C-CD3D5BFDBDE1}"/>
            </c:ext>
          </c:extLst>
        </c:ser>
        <c:ser>
          <c:idx val="1"/>
          <c:order val="1"/>
          <c:tx>
            <c:strRef>
              <c:f>'ECONOMIC ANALYSIS'!$P$34:$P$35</c:f>
              <c:strCache>
                <c:ptCount val="1"/>
                <c:pt idx="0">
                  <c:v>NPW 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'ECONOMIC ANALYSIS'!$N$36:$N$56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'ECONOMIC ANALYSIS'!$P$36:$P$56</c:f>
              <c:numCache>
                <c:formatCode>"$"#,##0.00</c:formatCode>
                <c:ptCount val="21"/>
                <c:pt idx="0">
                  <c:v>22.17377565679503</c:v>
                </c:pt>
                <c:pt idx="1">
                  <c:v>18.603884211468795</c:v>
                </c:pt>
                <c:pt idx="2">
                  <c:v>15.489003038792468</c:v>
                </c:pt>
                <c:pt idx="3">
                  <c:v>12.762028296340706</c:v>
                </c:pt>
                <c:pt idx="4">
                  <c:v>10.366726172323304</c:v>
                </c:pt>
                <c:pt idx="5">
                  <c:v>8.2558425610473414</c:v>
                </c:pt>
                <c:pt idx="6">
                  <c:v>6.3895611873553726</c:v>
                </c:pt>
                <c:pt idx="7">
                  <c:v>4.7342426517069107</c:v>
                </c:pt>
                <c:pt idx="8">
                  <c:v>3.2613905470344022</c:v>
                </c:pt>
                <c:pt idx="9">
                  <c:v>1.9468015939157723</c:v>
                </c:pt>
                <c:pt idx="10">
                  <c:v>0.76986528263767795</c:v>
                </c:pt>
                <c:pt idx="11">
                  <c:v>-0.28701471259488542</c:v>
                </c:pt>
                <c:pt idx="12">
                  <c:v>-1.238899692045683</c:v>
                </c:pt>
                <c:pt idx="13">
                  <c:v>-2.0987137082419167</c:v>
                </c:pt>
                <c:pt idx="14">
                  <c:v>-2.8775745743111472</c:v>
                </c:pt>
                <c:pt idx="15">
                  <c:v>-3.5850699608384886</c:v>
                </c:pt>
                <c:pt idx="16">
                  <c:v>-4.2294882276595906</c:v>
                </c:pt>
                <c:pt idx="17">
                  <c:v>-4.8180118562541789</c:v>
                </c:pt>
                <c:pt idx="18">
                  <c:v>-5.3568799111780105</c:v>
                </c:pt>
                <c:pt idx="19">
                  <c:v>-5.8515247963061103</c:v>
                </c:pt>
                <c:pt idx="20">
                  <c:v>-6.3066876289605602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3B66-498B-A01C-CD3D5BFDBDE1}"/>
            </c:ext>
          </c:extLst>
        </c:ser>
        <c:ser>
          <c:idx val="2"/>
          <c:order val="2"/>
          <c:tx>
            <c:strRef>
              <c:f>'ECONOMIC ANALYSIS'!$Q$34:$Q$35</c:f>
              <c:strCache>
                <c:ptCount val="1"/>
                <c:pt idx="0">
                  <c:v>NPW 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'ECONOMIC ANALYSIS'!$N$36:$N$56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'ECONOMIC ANALYSIS'!$Q$36:$Q$56</c:f>
              <c:numCache>
                <c:formatCode>"$"#,##0.00</c:formatCode>
                <c:ptCount val="21"/>
                <c:pt idx="0">
                  <c:v>28.086965062077102</c:v>
                </c:pt>
                <c:pt idx="1">
                  <c:v>23.307154363260548</c:v>
                </c:pt>
                <c:pt idx="2">
                  <c:v>19.165341792612576</c:v>
                </c:pt>
                <c:pt idx="3">
                  <c:v>15.56416543157734</c:v>
                </c:pt>
                <c:pt idx="4">
                  <c:v>12.42245232053941</c:v>
                </c:pt>
                <c:pt idx="5">
                  <c:v>9.6723419442534926</c:v>
                </c:pt>
                <c:pt idx="6">
                  <c:v>7.2569500657906261</c:v>
                </c:pt>
                <c:pt idx="7">
                  <c:v>5.1284663602044418</c:v>
                </c:pt>
                <c:pt idx="8">
                  <c:v>3.2466012383792382</c:v>
                </c:pt>
                <c:pt idx="9">
                  <c:v>1.577314492547881</c:v>
                </c:pt>
                <c:pt idx="10">
                  <c:v>9.1771980732662684E-2</c:v>
                </c:pt>
                <c:pt idx="11">
                  <c:v>-1.2345126985349069</c:v>
                </c:pt>
                <c:pt idx="12">
                  <c:v>-2.4223860865177897</c:v>
                </c:pt>
                <c:pt idx="13">
                  <c:v>-3.489640091264647</c:v>
                </c:pt>
                <c:pt idx="14">
                  <c:v>-4.4514969753024687</c:v>
                </c:pt>
                <c:pt idx="15">
                  <c:v>-5.3210122252771779</c:v>
                </c:pt>
                <c:pt idx="16">
                  <c:v>-6.1094099895670606</c:v>
                </c:pt>
                <c:pt idx="17">
                  <c:v>-6.8263630142059064</c:v>
                </c:pt>
                <c:pt idx="18">
                  <c:v>-7.4802267915768645</c:v>
                </c:pt>
                <c:pt idx="19">
                  <c:v>-8.0782358503103442</c:v>
                </c:pt>
                <c:pt idx="20">
                  <c:v>-8.6266686719048167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3B66-498B-A01C-CD3D5BFDBDE1}"/>
            </c:ext>
          </c:extLst>
        </c:ser>
        <c:ser>
          <c:idx val="3"/>
          <c:order val="3"/>
          <c:tx>
            <c:strRef>
              <c:f>'ECONOMIC ANALYSIS'!$R$34:$R$35</c:f>
              <c:strCache>
                <c:ptCount val="1"/>
                <c:pt idx="0">
                  <c:v>NPW 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'ECONOMIC ANALYSIS'!$N$36:$N$56</c:f>
              <c:numCache>
                <c:formatCode>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xVal>
          <c:yVal>
            <c:numRef>
              <c:f>'ECONOMIC ANALYSIS'!$R$36:$R$56</c:f>
              <c:numCache>
                <c:formatCode>"$"#,##0.00</c:formatCode>
                <c:ptCount val="21"/>
                <c:pt idx="0">
                  <c:v>22.49904333476319</c:v>
                </c:pt>
                <c:pt idx="1">
                  <c:v>18.614771878402745</c:v>
                </c:pt>
                <c:pt idx="2">
                  <c:v>15.235464356097911</c:v>
                </c:pt>
                <c:pt idx="3">
                  <c:v>12.285701581443337</c:v>
                </c:pt>
                <c:pt idx="4">
                  <c:v>9.7023800581734285</c:v>
                </c:pt>
                <c:pt idx="5">
                  <c:v>7.4325588916302685</c:v>
                </c:pt>
                <c:pt idx="6">
                  <c:v>5.4317050234378641</c:v>
                </c:pt>
                <c:pt idx="7">
                  <c:v>3.6622593993792556</c:v>
                </c:pt>
                <c:pt idx="8">
                  <c:v>2.0924623856590152</c:v>
                </c:pt>
                <c:pt idx="9">
                  <c:v>0.69538913876019848</c:v>
                </c:pt>
                <c:pt idx="10">
                  <c:v>-0.55184456553422123</c:v>
                </c:pt>
                <c:pt idx="11">
                  <c:v>-1.6687377663537184</c:v>
                </c:pt>
                <c:pt idx="12">
                  <c:v>-2.6719465583812028</c:v>
                </c:pt>
                <c:pt idx="13">
                  <c:v>-3.5757337569748948</c:v>
                </c:pt>
                <c:pt idx="14">
                  <c:v>-4.3923426705291337</c:v>
                </c:pt>
                <c:pt idx="15">
                  <c:v>-5.1323085107928659</c:v>
                </c:pt>
                <c:pt idx="16">
                  <c:v>-5.8047184411310724</c:v>
                </c:pt>
                <c:pt idx="17">
                  <c:v>-6.4174292260146792</c:v>
                </c:pt>
                <c:pt idx="18">
                  <c:v>-6.9772498021012197</c:v>
                </c:pt>
                <c:pt idx="19">
                  <c:v>-7.4900947629414905</c:v>
                </c:pt>
                <c:pt idx="20">
                  <c:v>-7.961113672947004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3B66-498B-A01C-CD3D5BFDBDE1}"/>
            </c:ext>
          </c:extLst>
        </c:ser>
        <c:dLbls/>
        <c:axId val="144709504"/>
        <c:axId val="144711040"/>
      </c:scatterChart>
      <c:valAx>
        <c:axId val="1447095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1040"/>
        <c:crosses val="autoZero"/>
        <c:crossBetween val="midCat"/>
      </c:valAx>
      <c:valAx>
        <c:axId val="144711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526256</xdr:colOff>
      <xdr:row>33</xdr:row>
      <xdr:rowOff>157163</xdr:rowOff>
    </xdr:from>
    <xdr:to>
      <xdr:col>33</xdr:col>
      <xdr:colOff>511968</xdr:colOff>
      <xdr:row>62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J38"/>
  <sheetViews>
    <sheetView topLeftCell="A15" workbookViewId="0">
      <selection activeCell="I24" sqref="I24"/>
    </sheetView>
  </sheetViews>
  <sheetFormatPr defaultRowHeight="15"/>
  <cols>
    <col min="1" max="1" width="18.85546875" customWidth="1"/>
    <col min="2" max="2" width="34.28515625" style="1" customWidth="1"/>
    <col min="3" max="3" width="14.85546875" style="2" customWidth="1"/>
    <col min="4" max="4" width="8.28515625" style="2" bestFit="1" customWidth="1"/>
    <col min="5" max="5" width="14.140625" style="2" customWidth="1"/>
    <col min="6" max="6" width="8.28515625" style="2" customWidth="1"/>
    <col min="7" max="7" width="14.140625" style="2" customWidth="1"/>
    <col min="8" max="8" width="8.28515625" style="2" customWidth="1"/>
    <col min="9" max="9" width="12.85546875" customWidth="1"/>
    <col min="10" max="10" width="8.28515625" customWidth="1"/>
  </cols>
  <sheetData>
    <row r="5" spans="2:10" ht="30.75" customHeight="1">
      <c r="B5" s="7"/>
      <c r="C5" s="10" t="s">
        <v>0</v>
      </c>
      <c r="D5" s="10" t="s">
        <v>1</v>
      </c>
      <c r="E5" s="10" t="s">
        <v>2</v>
      </c>
      <c r="F5" s="10" t="s">
        <v>1</v>
      </c>
      <c r="G5" s="10" t="s">
        <v>3</v>
      </c>
      <c r="H5" s="10" t="s">
        <v>1</v>
      </c>
      <c r="I5" s="10" t="s">
        <v>4</v>
      </c>
      <c r="J5" s="11" t="s">
        <v>1</v>
      </c>
    </row>
    <row r="6" spans="2:10" ht="18" customHeight="1">
      <c r="B6" s="7" t="s">
        <v>5</v>
      </c>
      <c r="C6" s="7">
        <v>1962</v>
      </c>
      <c r="D6" s="7"/>
      <c r="E6" s="7">
        <v>1992</v>
      </c>
      <c r="F6" s="7"/>
      <c r="G6" s="7">
        <v>2010</v>
      </c>
      <c r="H6" s="7"/>
      <c r="I6" s="7">
        <v>2004</v>
      </c>
      <c r="J6" s="12"/>
    </row>
    <row r="7" spans="2:10" ht="18" customHeight="1">
      <c r="B7" s="7" t="s">
        <v>6</v>
      </c>
      <c r="C7" s="7" t="s">
        <v>7</v>
      </c>
      <c r="D7" s="7"/>
      <c r="E7" s="7" t="s">
        <v>8</v>
      </c>
      <c r="F7" s="7"/>
      <c r="G7" s="7" t="s">
        <v>8</v>
      </c>
      <c r="H7" s="7"/>
      <c r="I7" s="7" t="s">
        <v>8</v>
      </c>
      <c r="J7" s="12"/>
    </row>
    <row r="8" spans="2:10" ht="18" customHeight="1">
      <c r="B8" s="7" t="s">
        <v>9</v>
      </c>
      <c r="C8" s="10">
        <v>75091</v>
      </c>
      <c r="D8" s="7" t="s">
        <v>10</v>
      </c>
      <c r="E8" s="10">
        <v>165000</v>
      </c>
      <c r="F8" s="7" t="s">
        <v>10</v>
      </c>
      <c r="G8" s="10">
        <v>188700</v>
      </c>
      <c r="H8" s="7" t="s">
        <v>10</v>
      </c>
      <c r="I8" s="10">
        <v>52487</v>
      </c>
      <c r="J8" s="7" t="s">
        <v>10</v>
      </c>
    </row>
    <row r="9" spans="2:10" ht="18" customHeight="1">
      <c r="B9" s="7" t="s">
        <v>11</v>
      </c>
      <c r="C9" s="7">
        <v>7</v>
      </c>
      <c r="D9" s="7"/>
      <c r="E9" s="7">
        <v>10</v>
      </c>
      <c r="F9" s="7"/>
      <c r="G9" s="7">
        <v>17</v>
      </c>
      <c r="H9" s="7"/>
      <c r="I9" s="7">
        <v>4</v>
      </c>
      <c r="J9" s="12"/>
    </row>
    <row r="10" spans="2:10" ht="18" customHeight="1">
      <c r="B10" s="7" t="s">
        <v>12</v>
      </c>
      <c r="C10" s="7">
        <v>56</v>
      </c>
      <c r="D10" s="7"/>
      <c r="E10" s="7">
        <v>26</v>
      </c>
      <c r="F10" s="7"/>
      <c r="G10" s="7">
        <v>8</v>
      </c>
      <c r="H10" s="7"/>
      <c r="I10" s="7">
        <v>14</v>
      </c>
      <c r="J10" s="12"/>
    </row>
    <row r="11" spans="2:10" ht="18" customHeight="1">
      <c r="B11" s="7" t="s">
        <v>13</v>
      </c>
      <c r="C11" s="7">
        <v>80</v>
      </c>
      <c r="D11" s="7"/>
      <c r="E11" s="7">
        <v>85</v>
      </c>
      <c r="F11" s="7"/>
      <c r="G11" s="7">
        <v>85</v>
      </c>
      <c r="H11" s="7"/>
      <c r="I11" s="7">
        <v>85</v>
      </c>
      <c r="J11" s="12"/>
    </row>
    <row r="12" spans="2:10" ht="18" customHeight="1">
      <c r="B12" s="7" t="s">
        <v>14</v>
      </c>
      <c r="C12" s="7">
        <f>C11-C10</f>
        <v>24</v>
      </c>
      <c r="D12" s="7"/>
      <c r="E12" s="7">
        <f t="shared" ref="E12:I12" si="0">E11-E10</f>
        <v>59</v>
      </c>
      <c r="F12" s="7"/>
      <c r="G12" s="7">
        <f t="shared" si="0"/>
        <v>77</v>
      </c>
      <c r="H12" s="7"/>
      <c r="I12" s="7">
        <f t="shared" si="0"/>
        <v>71</v>
      </c>
      <c r="J12" s="7"/>
    </row>
    <row r="13" spans="2:10" ht="18" customHeight="1">
      <c r="B13" s="53" t="s">
        <v>15</v>
      </c>
      <c r="C13" s="54"/>
      <c r="D13" s="54"/>
      <c r="E13" s="54"/>
      <c r="F13" s="54"/>
      <c r="G13" s="54"/>
      <c r="H13" s="54"/>
      <c r="I13" s="54"/>
      <c r="J13" s="55"/>
    </row>
    <row r="14" spans="2:10" ht="18" customHeight="1">
      <c r="B14" s="7" t="s">
        <v>16</v>
      </c>
      <c r="C14" s="13">
        <f>(75091*299.6)/1000000</f>
        <v>22.4972636</v>
      </c>
      <c r="D14" s="8"/>
      <c r="E14" s="13">
        <f>(165000*100)/1000000</f>
        <v>16.5</v>
      </c>
      <c r="F14" s="8"/>
      <c r="G14" s="13">
        <f>(188700*112.6)/1000000</f>
        <v>21.247620000000001</v>
      </c>
      <c r="H14" s="8"/>
      <c r="I14" s="13">
        <f>(52487*352.5)/1000000</f>
        <v>18.5016675</v>
      </c>
      <c r="J14" s="12"/>
    </row>
    <row r="15" spans="2:10" ht="18" customHeight="1">
      <c r="B15" s="7" t="s">
        <v>17</v>
      </c>
      <c r="C15" s="13">
        <f>(75091*14)/1000000</f>
        <v>1.051274</v>
      </c>
      <c r="D15" s="8"/>
      <c r="E15" s="13">
        <f>(165000*6.5)/1000000</f>
        <v>1.0725</v>
      </c>
      <c r="F15" s="8"/>
      <c r="G15" s="13">
        <f>(188700*6.5)/1000000</f>
        <v>1.22655</v>
      </c>
      <c r="H15" s="8"/>
      <c r="I15" s="13">
        <f>(52487*10)/1000000</f>
        <v>0.52486999999999995</v>
      </c>
      <c r="J15" s="7"/>
    </row>
    <row r="16" spans="2:10" ht="18" customHeight="1">
      <c r="B16" s="7" t="s">
        <v>26</v>
      </c>
      <c r="C16" s="13">
        <f>(75091*12)/1000000</f>
        <v>0.901092</v>
      </c>
      <c r="D16" s="8" t="s">
        <v>70</v>
      </c>
      <c r="E16" s="13">
        <f>(165000*6*1.05)/1000000</f>
        <v>1.0395000000000001</v>
      </c>
      <c r="F16" s="8" t="s">
        <v>70</v>
      </c>
      <c r="G16" s="13">
        <f>(188700*6*1.05)/1000000</f>
        <v>1.1888099999999999</v>
      </c>
      <c r="H16" s="8" t="s">
        <v>71</v>
      </c>
      <c r="I16" s="13">
        <f>(52487*6)/1000000</f>
        <v>0.31492199999999998</v>
      </c>
      <c r="J16" s="6" t="s">
        <v>71</v>
      </c>
    </row>
    <row r="17" spans="2:10" ht="18" customHeight="1">
      <c r="B17" s="53" t="s">
        <v>79</v>
      </c>
      <c r="C17" s="56"/>
      <c r="D17" s="56"/>
      <c r="E17" s="56"/>
      <c r="F17" s="56"/>
      <c r="G17" s="56"/>
      <c r="H17" s="56"/>
      <c r="I17" s="56"/>
      <c r="J17" s="57"/>
    </row>
    <row r="18" spans="2:10" ht="18" customHeight="1">
      <c r="B18" s="7" t="s">
        <v>77</v>
      </c>
      <c r="C18" s="13">
        <v>7.5</v>
      </c>
      <c r="D18" s="8"/>
      <c r="E18" s="13">
        <v>1.5</v>
      </c>
      <c r="F18" s="8"/>
      <c r="G18" s="13">
        <v>6.25</v>
      </c>
      <c r="H18" s="8"/>
      <c r="I18" s="13">
        <v>3.5</v>
      </c>
      <c r="J18" s="8"/>
    </row>
    <row r="19" spans="2:10" ht="18" customHeight="1">
      <c r="B19" s="7" t="s">
        <v>19</v>
      </c>
      <c r="C19" s="13">
        <f>-FV(0.03405,7,0,7.5)</f>
        <v>9.4809539255074906</v>
      </c>
      <c r="D19" s="8" t="s">
        <v>20</v>
      </c>
      <c r="E19" s="13">
        <f>-FV(0.03405,7,0,1.5)</f>
        <v>1.8961907851014981</v>
      </c>
      <c r="F19" s="8" t="s">
        <v>21</v>
      </c>
      <c r="G19" s="13">
        <f>-FV(0.03405,7,0,6.25)</f>
        <v>7.9007949379229085</v>
      </c>
      <c r="H19" s="8" t="s">
        <v>21</v>
      </c>
      <c r="I19" s="13">
        <f>-FV(0.03405,7,0,3.5)</f>
        <v>4.4244451652368291</v>
      </c>
      <c r="J19" s="8" t="s">
        <v>21</v>
      </c>
    </row>
    <row r="20" spans="2:10" ht="18" customHeight="1">
      <c r="B20" s="7" t="s">
        <v>78</v>
      </c>
      <c r="C20" s="13">
        <v>3</v>
      </c>
      <c r="D20" s="8"/>
      <c r="E20" s="13">
        <v>3</v>
      </c>
      <c r="F20" s="8"/>
      <c r="G20" s="13">
        <v>3</v>
      </c>
      <c r="H20" s="8"/>
      <c r="I20" s="13">
        <v>3</v>
      </c>
      <c r="J20" s="8"/>
    </row>
    <row r="21" spans="2:10" ht="18" customHeight="1">
      <c r="B21" s="7" t="s">
        <v>22</v>
      </c>
      <c r="C21" s="13">
        <f>(0.0572*3000000)/1000000</f>
        <v>0.1716</v>
      </c>
      <c r="D21" s="8" t="s">
        <v>72</v>
      </c>
      <c r="E21" s="13">
        <f>(0.0572*3000000)/1000000</f>
        <v>0.1716</v>
      </c>
      <c r="F21" s="8" t="s">
        <v>23</v>
      </c>
      <c r="G21" s="13">
        <f>(0.0572*3000000)/1000000</f>
        <v>0.1716</v>
      </c>
      <c r="H21" s="8" t="s">
        <v>23</v>
      </c>
      <c r="I21" s="13">
        <f>(0.0572*3000000)/1000000</f>
        <v>0.1716</v>
      </c>
      <c r="J21" s="8" t="s">
        <v>23</v>
      </c>
    </row>
    <row r="22" spans="2:10" ht="18" customHeight="1">
      <c r="B22" s="7" t="s">
        <v>24</v>
      </c>
      <c r="C22" s="13">
        <f>((0.0572*3000000)+3000000)/1000000</f>
        <v>3.1716000000000002</v>
      </c>
      <c r="D22" s="8" t="s">
        <v>25</v>
      </c>
      <c r="E22" s="13">
        <f>((0.0572*3000000)+3000000)/1000000</f>
        <v>3.1716000000000002</v>
      </c>
      <c r="F22" s="8" t="s">
        <v>25</v>
      </c>
      <c r="G22" s="13">
        <f>((0.0572*3000000)+3000000)/1000000</f>
        <v>3.1716000000000002</v>
      </c>
      <c r="H22" s="8" t="s">
        <v>25</v>
      </c>
      <c r="I22" s="13">
        <f>((0.0572*3000000)+3000000)/1000000</f>
        <v>3.1716000000000002</v>
      </c>
      <c r="J22" s="6" t="s">
        <v>25</v>
      </c>
    </row>
    <row r="23" spans="2:10" ht="18" customHeight="1">
      <c r="B23" s="53" t="s">
        <v>80</v>
      </c>
      <c r="C23" s="56"/>
      <c r="D23" s="56"/>
      <c r="E23" s="56"/>
      <c r="F23" s="56"/>
      <c r="G23" s="56"/>
      <c r="H23" s="56"/>
      <c r="I23" s="56"/>
      <c r="J23" s="57"/>
    </row>
    <row r="24" spans="2:10" ht="18" customHeight="1">
      <c r="B24" s="7" t="s">
        <v>18</v>
      </c>
      <c r="C24" s="13">
        <f>(75091*(5*12))/1000000</f>
        <v>4.5054600000000002</v>
      </c>
      <c r="D24" s="8" t="s">
        <v>72</v>
      </c>
      <c r="E24" s="13">
        <f>(165000*(1.8*12))/1000000</f>
        <v>3.5640000000000005</v>
      </c>
      <c r="F24" s="8" t="s">
        <v>72</v>
      </c>
      <c r="G24" s="13">
        <f>(188700*2*12)/1000000</f>
        <v>4.5288000000000004</v>
      </c>
      <c r="H24" s="8" t="s">
        <v>72</v>
      </c>
      <c r="I24" s="13">
        <f>(52487*(5*12))/1000000</f>
        <v>3.1492200000000001</v>
      </c>
      <c r="J24" s="8" t="s">
        <v>72</v>
      </c>
    </row>
    <row r="25" spans="2:10" ht="18" customHeight="1">
      <c r="B25" s="7" t="s">
        <v>27</v>
      </c>
      <c r="C25" s="14">
        <f>(C14*C27)*(1-C27)^19</f>
        <v>0.35889366628708519</v>
      </c>
      <c r="D25" s="7"/>
      <c r="E25" s="14">
        <f>(E14*E27)*(1-E27)^19</f>
        <v>0.2904664418965156</v>
      </c>
      <c r="F25" s="7"/>
      <c r="G25" s="14">
        <f>(G14*G27)*(1-G27)^19</f>
        <v>0.33472626177263981</v>
      </c>
      <c r="H25" s="7"/>
      <c r="I25" s="14">
        <f>(I14*I27)*(1-I27)^19</f>
        <v>0.30283538353801265</v>
      </c>
      <c r="J25" s="12"/>
    </row>
    <row r="26" spans="2:10" ht="18" customHeight="1">
      <c r="B26" s="7" t="s">
        <v>28</v>
      </c>
      <c r="C26" s="9">
        <v>0.05</v>
      </c>
      <c r="D26" s="9"/>
      <c r="E26" s="9">
        <v>0.06</v>
      </c>
      <c r="F26" s="9"/>
      <c r="G26" s="9">
        <v>0.06</v>
      </c>
      <c r="H26" s="9"/>
      <c r="I26" s="9">
        <v>0.06</v>
      </c>
      <c r="J26" s="12"/>
    </row>
    <row r="27" spans="2:10" ht="18" customHeight="1">
      <c r="B27" s="7" t="s">
        <v>73</v>
      </c>
      <c r="C27" s="47">
        <f>2/C12</f>
        <v>8.3333333333333329E-2</v>
      </c>
      <c r="D27" s="7"/>
      <c r="E27" s="47">
        <f>2/E12</f>
        <v>3.3898305084745763E-2</v>
      </c>
      <c r="F27" s="7"/>
      <c r="G27" s="47">
        <f>2/G12</f>
        <v>2.5974025974025976E-2</v>
      </c>
      <c r="H27" s="7"/>
      <c r="I27" s="47">
        <f>2/I12</f>
        <v>2.8169014084507043E-2</v>
      </c>
      <c r="J27" s="12"/>
    </row>
    <row r="28" spans="2:10">
      <c r="B28" s="40"/>
      <c r="G28" s="4"/>
      <c r="H28" s="4"/>
    </row>
    <row r="31" spans="2:10">
      <c r="B31" s="15" t="s">
        <v>29</v>
      </c>
      <c r="C31" s="6" t="s">
        <v>30</v>
      </c>
      <c r="D31" s="5"/>
    </row>
    <row r="32" spans="2:10">
      <c r="B32" s="15" t="s">
        <v>75</v>
      </c>
      <c r="C32" s="43">
        <v>3.4049999999999997E-2</v>
      </c>
      <c r="D32" s="5"/>
    </row>
    <row r="33" spans="2:4">
      <c r="B33" s="15" t="s">
        <v>76</v>
      </c>
      <c r="C33" s="43">
        <v>5.7200000000000001E-2</v>
      </c>
      <c r="D33" s="5"/>
    </row>
    <row r="34" spans="2:4">
      <c r="B34" s="15" t="s">
        <v>74</v>
      </c>
      <c r="C34" s="43">
        <f>((C18*C32)+(C20*C33))/(C18+C20)</f>
        <v>4.0664285714285715E-2</v>
      </c>
      <c r="D34" s="5"/>
    </row>
    <row r="35" spans="2:4">
      <c r="B35" s="15" t="s">
        <v>81</v>
      </c>
      <c r="C35" s="44">
        <v>7.0000000000000007E-2</v>
      </c>
      <c r="D35" s="5"/>
    </row>
    <row r="36" spans="2:4">
      <c r="B36" s="15" t="s">
        <v>31</v>
      </c>
      <c r="C36" s="45">
        <v>7.0000000000000007E-2</v>
      </c>
      <c r="D36" s="5"/>
    </row>
    <row r="37" spans="2:4">
      <c r="B37" s="15" t="s">
        <v>32</v>
      </c>
      <c r="C37" s="45">
        <v>0.38</v>
      </c>
      <c r="D37" s="5"/>
    </row>
    <row r="38" spans="2:4">
      <c r="B38" s="15" t="s">
        <v>33</v>
      </c>
      <c r="C38" s="46">
        <f>C36*(1-C37)</f>
        <v>4.3400000000000001E-2</v>
      </c>
      <c r="D38" s="5"/>
    </row>
  </sheetData>
  <mergeCells count="3">
    <mergeCell ref="B13:J13"/>
    <mergeCell ref="B17:J17"/>
    <mergeCell ref="B23:J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2"/>
  <sheetViews>
    <sheetView topLeftCell="E28" zoomScale="80" zoomScaleNormal="80" workbookViewId="0">
      <selection activeCell="P43" sqref="P43"/>
    </sheetView>
  </sheetViews>
  <sheetFormatPr defaultRowHeight="15"/>
  <cols>
    <col min="1" max="1" width="6.5703125" style="20" customWidth="1"/>
    <col min="2" max="2" width="9.5703125" customWidth="1"/>
    <col min="4" max="4" width="12.28515625" customWidth="1"/>
    <col min="5" max="5" width="13.5703125" customWidth="1"/>
    <col min="6" max="6" width="11.140625" customWidth="1"/>
    <col min="7" max="7" width="12.28515625" customWidth="1"/>
    <col min="8" max="8" width="8.85546875" customWidth="1"/>
    <col min="9" max="10" width="13.7109375" customWidth="1"/>
    <col min="11" max="11" width="10.7109375" customWidth="1"/>
    <col min="12" max="12" width="10.7109375" style="16" customWidth="1"/>
    <col min="13" max="13" width="10.7109375" customWidth="1"/>
    <col min="14" max="14" width="9.5703125" customWidth="1"/>
  </cols>
  <sheetData>
    <row r="1" spans="1:29">
      <c r="K1" s="59" t="s">
        <v>34</v>
      </c>
      <c r="L1" s="59"/>
      <c r="M1" s="59"/>
      <c r="N1" s="59"/>
      <c r="P1" s="22" t="s">
        <v>35</v>
      </c>
      <c r="Q1" s="22"/>
      <c r="R1" s="23"/>
      <c r="S1" s="23"/>
      <c r="T1" s="22" t="s">
        <v>35</v>
      </c>
      <c r="U1" s="22"/>
      <c r="V1" s="23"/>
      <c r="W1" s="23"/>
      <c r="X1" s="23"/>
    </row>
    <row r="2" spans="1:29">
      <c r="K2" s="16" t="s">
        <v>38</v>
      </c>
      <c r="L2" s="16" t="s">
        <v>36</v>
      </c>
      <c r="M2" t="s">
        <v>39</v>
      </c>
      <c r="N2" t="s">
        <v>37</v>
      </c>
      <c r="P2" s="60" t="s">
        <v>38</v>
      </c>
      <c r="Q2" s="60"/>
      <c r="R2" s="60" t="s">
        <v>36</v>
      </c>
      <c r="S2" s="60"/>
      <c r="T2" s="60" t="s">
        <v>39</v>
      </c>
      <c r="U2" s="60"/>
      <c r="V2" s="60" t="s">
        <v>37</v>
      </c>
      <c r="W2" s="60"/>
    </row>
    <row r="3" spans="1:29">
      <c r="A3" s="58" t="s">
        <v>40</v>
      </c>
      <c r="B3" s="58"/>
      <c r="C3" s="58"/>
      <c r="D3" s="58"/>
      <c r="E3" s="58"/>
      <c r="F3" s="58"/>
      <c r="G3" s="58"/>
      <c r="H3" s="58"/>
      <c r="I3" s="58"/>
      <c r="J3" s="38"/>
    </row>
    <row r="4" spans="1:29">
      <c r="A4" s="19" t="s">
        <v>41</v>
      </c>
      <c r="B4" s="18" t="s">
        <v>42</v>
      </c>
      <c r="C4" s="16" t="s">
        <v>43</v>
      </c>
      <c r="D4" s="18" t="s">
        <v>44</v>
      </c>
      <c r="E4" s="18" t="s">
        <v>45</v>
      </c>
      <c r="F4" s="18" t="s">
        <v>46</v>
      </c>
      <c r="G4" s="18" t="s">
        <v>47</v>
      </c>
      <c r="H4" s="18" t="s">
        <v>48</v>
      </c>
      <c r="I4" s="18" t="s">
        <v>49</v>
      </c>
      <c r="J4" s="18"/>
      <c r="K4" s="16" t="s">
        <v>85</v>
      </c>
      <c r="L4" s="16" t="s">
        <v>84</v>
      </c>
      <c r="M4" s="30" t="s">
        <v>82</v>
      </c>
      <c r="P4" s="39" t="s">
        <v>50</v>
      </c>
      <c r="Q4" s="39" t="s">
        <v>51</v>
      </c>
      <c r="R4" s="39" t="s">
        <v>50</v>
      </c>
      <c r="S4" s="39" t="s">
        <v>51</v>
      </c>
      <c r="T4" s="39" t="s">
        <v>50</v>
      </c>
      <c r="U4" s="39" t="s">
        <v>51</v>
      </c>
      <c r="V4" s="39" t="s">
        <v>50</v>
      </c>
      <c r="W4" s="39" t="s">
        <v>51</v>
      </c>
      <c r="AB4" s="3"/>
      <c r="AC4" s="3"/>
    </row>
    <row r="5" spans="1:29">
      <c r="A5" s="20">
        <v>0</v>
      </c>
      <c r="B5" s="16">
        <f>-Datasheet!C14</f>
        <v>-22.4972636</v>
      </c>
      <c r="C5" s="16"/>
      <c r="D5" s="16"/>
      <c r="E5" s="16"/>
      <c r="F5" s="16"/>
      <c r="G5" s="16"/>
      <c r="H5" s="16"/>
      <c r="I5" s="16">
        <f>B5+C5+D5+E5+F5+G5</f>
        <v>-22.4972636</v>
      </c>
      <c r="J5" s="16"/>
      <c r="K5" s="16">
        <f>I5-I61</f>
        <v>-1.2496435999999989</v>
      </c>
      <c r="L5" s="16">
        <f>I61-I89</f>
        <v>-2.7459525000000014</v>
      </c>
      <c r="M5" s="16">
        <f>I89-I33</f>
        <v>-2.0016674999999999</v>
      </c>
      <c r="P5" s="16">
        <f>B5+C5+D5+E5+F5</f>
        <v>-22.4972636</v>
      </c>
      <c r="Q5" s="16">
        <f>G5+H5</f>
        <v>0</v>
      </c>
      <c r="R5" s="16">
        <f>B61+C61+D61+E61+F61</f>
        <v>-21.247620000000001</v>
      </c>
      <c r="S5" s="16">
        <f>G61+H61</f>
        <v>0</v>
      </c>
      <c r="T5" s="16">
        <f>B89+C89+D89+E89+F89</f>
        <v>-18.5016675</v>
      </c>
      <c r="U5" s="16">
        <f>G89+H89</f>
        <v>0</v>
      </c>
      <c r="V5" s="16">
        <f>B33+C33+D33+E33+F33</f>
        <v>-16.5</v>
      </c>
      <c r="W5" s="16">
        <f>G33+H33</f>
        <v>0</v>
      </c>
    </row>
    <row r="6" spans="1:29">
      <c r="A6" s="20">
        <v>1</v>
      </c>
      <c r="B6" s="16"/>
      <c r="C6" s="16">
        <f>-Datasheet!C15</f>
        <v>-1.051274</v>
      </c>
      <c r="D6" s="16"/>
      <c r="E6" s="16"/>
      <c r="F6" s="16">
        <f>-Datasheet!C21</f>
        <v>-0.1716</v>
      </c>
      <c r="G6" s="16">
        <f>Datasheet!C24</f>
        <v>4.5054600000000002</v>
      </c>
      <c r="H6" s="16"/>
      <c r="I6" s="16">
        <f>B6+C6+D6+E6+F6+G6</f>
        <v>3.2825860000000002</v>
      </c>
      <c r="J6" s="16"/>
      <c r="K6" s="16">
        <f t="shared" ref="K6:K25" si="0">I6-I62</f>
        <v>0.15193600000000007</v>
      </c>
      <c r="L6" s="16">
        <f t="shared" ref="L6:L25" si="1">I62-I90</f>
        <v>0.67790000000000017</v>
      </c>
      <c r="M6" s="16">
        <f t="shared" ref="M6:M25" si="2">I90-I34</f>
        <v>0.13284999999999947</v>
      </c>
      <c r="P6" s="16">
        <f t="shared" ref="P6:P25" si="3">B6+C6+D6+E6+F6</f>
        <v>-1.222874</v>
      </c>
      <c r="Q6" s="16">
        <f t="shared" ref="Q6:Q25" si="4">G6+H6</f>
        <v>4.5054600000000002</v>
      </c>
      <c r="R6" s="16">
        <f t="shared" ref="R6:R25" si="5">B62+C62+D62+E62+F62</f>
        <v>-1.39815</v>
      </c>
      <c r="S6" s="16">
        <f t="shared" ref="S6:S25" si="6">G62+H62</f>
        <v>4.5288000000000004</v>
      </c>
      <c r="T6" s="16">
        <f t="shared" ref="T6:T25" si="7">B90+C90+D90+E90+F90</f>
        <v>-0.69646999999999992</v>
      </c>
      <c r="U6" s="16">
        <f t="shared" ref="U6:U25" si="8">G90+H90</f>
        <v>3.1492200000000001</v>
      </c>
      <c r="V6" s="16">
        <f t="shared" ref="V6:V25" si="9">B34+C34+D34+E34+F34</f>
        <v>-1.2441</v>
      </c>
      <c r="W6" s="16">
        <f t="shared" ref="W6:W25" si="10">G34+H34</f>
        <v>3.5640000000000005</v>
      </c>
    </row>
    <row r="7" spans="1:29">
      <c r="A7" s="20">
        <v>2</v>
      </c>
      <c r="B7" s="16"/>
      <c r="C7" s="16">
        <f>$C$6</f>
        <v>-1.051274</v>
      </c>
      <c r="D7" s="16"/>
      <c r="E7" s="16"/>
      <c r="F7" s="16">
        <f>-Datasheet!C21</f>
        <v>-0.1716</v>
      </c>
      <c r="G7" s="16">
        <f>$G$6</f>
        <v>4.5054600000000002</v>
      </c>
      <c r="H7" s="16"/>
      <c r="I7" s="16">
        <f t="shared" ref="I7:I25" si="11">B7+C7+D7+E7+F7+G7</f>
        <v>3.2825860000000002</v>
      </c>
      <c r="J7" s="16"/>
      <c r="K7" s="16">
        <f t="shared" si="0"/>
        <v>0.15193600000000007</v>
      </c>
      <c r="L7" s="16">
        <f t="shared" si="1"/>
        <v>0.67790000000000017</v>
      </c>
      <c r="M7" s="16">
        <f t="shared" si="2"/>
        <v>0.13284999999999947</v>
      </c>
      <c r="P7" s="16">
        <f t="shared" si="3"/>
        <v>-1.222874</v>
      </c>
      <c r="Q7" s="16">
        <f t="shared" si="4"/>
        <v>4.5054600000000002</v>
      </c>
      <c r="R7" s="16">
        <f t="shared" si="5"/>
        <v>-1.39815</v>
      </c>
      <c r="S7" s="16">
        <f t="shared" si="6"/>
        <v>4.5288000000000004</v>
      </c>
      <c r="T7" s="16">
        <f t="shared" si="7"/>
        <v>-0.69646999999999992</v>
      </c>
      <c r="U7" s="16">
        <f t="shared" si="8"/>
        <v>3.1492200000000001</v>
      </c>
      <c r="V7" s="16">
        <f t="shared" si="9"/>
        <v>-1.2441</v>
      </c>
      <c r="W7" s="16">
        <f t="shared" si="10"/>
        <v>3.5640000000000005</v>
      </c>
    </row>
    <row r="8" spans="1:29">
      <c r="A8" s="20">
        <v>3</v>
      </c>
      <c r="B8" s="16"/>
      <c r="C8" s="16">
        <f t="shared" ref="C8:C25" si="12">$C$6</f>
        <v>-1.051274</v>
      </c>
      <c r="D8" s="16"/>
      <c r="E8" s="16"/>
      <c r="F8" s="16">
        <f>-Datasheet!C21</f>
        <v>-0.1716</v>
      </c>
      <c r="G8" s="16">
        <f t="shared" ref="G8:G25" si="13">$G$6</f>
        <v>4.5054600000000002</v>
      </c>
      <c r="H8" s="16"/>
      <c r="I8" s="16">
        <f t="shared" si="11"/>
        <v>3.2825860000000002</v>
      </c>
      <c r="J8" s="16"/>
      <c r="K8" s="16">
        <f t="shared" si="0"/>
        <v>0.15193600000000007</v>
      </c>
      <c r="L8" s="16">
        <f t="shared" si="1"/>
        <v>0.67790000000000017</v>
      </c>
      <c r="M8" s="16">
        <f t="shared" si="2"/>
        <v>0.13284999999999947</v>
      </c>
      <c r="P8" s="16">
        <f t="shared" si="3"/>
        <v>-1.222874</v>
      </c>
      <c r="Q8" s="16">
        <f t="shared" si="4"/>
        <v>4.5054600000000002</v>
      </c>
      <c r="R8" s="16">
        <f t="shared" si="5"/>
        <v>-1.39815</v>
      </c>
      <c r="S8" s="16">
        <f t="shared" si="6"/>
        <v>4.5288000000000004</v>
      </c>
      <c r="T8" s="16">
        <f t="shared" si="7"/>
        <v>-0.69646999999999992</v>
      </c>
      <c r="U8" s="16">
        <f t="shared" si="8"/>
        <v>3.1492200000000001</v>
      </c>
      <c r="V8" s="16">
        <f t="shared" si="9"/>
        <v>-1.2441</v>
      </c>
      <c r="W8" s="16">
        <f t="shared" si="10"/>
        <v>3.5640000000000005</v>
      </c>
    </row>
    <row r="9" spans="1:29">
      <c r="A9" s="20">
        <v>4</v>
      </c>
      <c r="B9" s="16"/>
      <c r="C9" s="16">
        <f t="shared" si="12"/>
        <v>-1.051274</v>
      </c>
      <c r="D9" s="16"/>
      <c r="E9" s="16"/>
      <c r="F9" s="16">
        <f>-Datasheet!C21</f>
        <v>-0.1716</v>
      </c>
      <c r="G9" s="16">
        <f t="shared" si="13"/>
        <v>4.5054600000000002</v>
      </c>
      <c r="H9" s="16"/>
      <c r="I9" s="16">
        <f>B9+C9+D9+E9+F9+G9</f>
        <v>3.2825860000000002</v>
      </c>
      <c r="J9" s="16"/>
      <c r="K9" s="16">
        <f t="shared" si="0"/>
        <v>0.15193600000000007</v>
      </c>
      <c r="L9" s="16">
        <f t="shared" si="1"/>
        <v>0.67790000000000017</v>
      </c>
      <c r="M9" s="16">
        <f t="shared" si="2"/>
        <v>0.13284999999999947</v>
      </c>
      <c r="P9" s="16">
        <f t="shared" si="3"/>
        <v>-1.222874</v>
      </c>
      <c r="Q9" s="16">
        <f t="shared" si="4"/>
        <v>4.5054600000000002</v>
      </c>
      <c r="R9" s="16">
        <f t="shared" si="5"/>
        <v>-1.39815</v>
      </c>
      <c r="S9" s="16">
        <f t="shared" si="6"/>
        <v>4.5288000000000004</v>
      </c>
      <c r="T9" s="16">
        <f t="shared" si="7"/>
        <v>-0.69646999999999992</v>
      </c>
      <c r="U9" s="16">
        <f t="shared" si="8"/>
        <v>3.1492200000000001</v>
      </c>
      <c r="V9" s="16">
        <f t="shared" si="9"/>
        <v>-1.2441</v>
      </c>
      <c r="W9" s="16">
        <f t="shared" si="10"/>
        <v>3.5640000000000005</v>
      </c>
    </row>
    <row r="10" spans="1:29">
      <c r="A10" s="20">
        <v>5</v>
      </c>
      <c r="B10" s="16"/>
      <c r="C10" s="16">
        <f t="shared" si="12"/>
        <v>-1.051274</v>
      </c>
      <c r="D10" s="16"/>
      <c r="E10" s="16"/>
      <c r="F10" s="16">
        <f>-Datasheet!C21</f>
        <v>-0.1716</v>
      </c>
      <c r="G10" s="16">
        <f t="shared" si="13"/>
        <v>4.5054600000000002</v>
      </c>
      <c r="H10" s="16"/>
      <c r="I10" s="16">
        <f t="shared" si="11"/>
        <v>3.2825860000000002</v>
      </c>
      <c r="J10" s="16"/>
      <c r="K10" s="16">
        <f t="shared" si="0"/>
        <v>0.15193600000000007</v>
      </c>
      <c r="L10" s="16">
        <f t="shared" si="1"/>
        <v>0.67790000000000017</v>
      </c>
      <c r="M10" s="16">
        <f t="shared" si="2"/>
        <v>0.13284999999999947</v>
      </c>
      <c r="P10" s="16">
        <f t="shared" si="3"/>
        <v>-1.222874</v>
      </c>
      <c r="Q10" s="16">
        <f t="shared" si="4"/>
        <v>4.5054600000000002</v>
      </c>
      <c r="R10" s="16">
        <f t="shared" si="5"/>
        <v>-1.39815</v>
      </c>
      <c r="S10" s="16">
        <f t="shared" si="6"/>
        <v>4.5288000000000004</v>
      </c>
      <c r="T10" s="16">
        <f t="shared" si="7"/>
        <v>-0.69646999999999992</v>
      </c>
      <c r="U10" s="16">
        <f t="shared" si="8"/>
        <v>3.1492200000000001</v>
      </c>
      <c r="V10" s="16">
        <f t="shared" si="9"/>
        <v>-1.2441</v>
      </c>
      <c r="W10" s="16">
        <f t="shared" si="10"/>
        <v>3.5640000000000005</v>
      </c>
    </row>
    <row r="11" spans="1:29">
      <c r="A11" s="20">
        <v>6</v>
      </c>
      <c r="B11" s="16"/>
      <c r="C11" s="16">
        <f t="shared" si="12"/>
        <v>-1.051274</v>
      </c>
      <c r="D11" s="16">
        <f>-Datasheet!C16</f>
        <v>-0.901092</v>
      </c>
      <c r="E11" s="16"/>
      <c r="F11" s="16">
        <f>-Datasheet!C21</f>
        <v>-0.1716</v>
      </c>
      <c r="G11" s="16">
        <f t="shared" si="13"/>
        <v>4.5054600000000002</v>
      </c>
      <c r="H11" s="16"/>
      <c r="I11" s="16">
        <f t="shared" si="11"/>
        <v>2.381494</v>
      </c>
      <c r="J11" s="16"/>
      <c r="K11" s="16">
        <f t="shared" si="0"/>
        <v>-0.74915600000000016</v>
      </c>
      <c r="L11" s="16">
        <f t="shared" si="1"/>
        <v>0.67790000000000017</v>
      </c>
      <c r="M11" s="16">
        <f t="shared" si="2"/>
        <v>1.1723499999999998</v>
      </c>
      <c r="P11" s="16">
        <f t="shared" si="3"/>
        <v>-2.1239660000000002</v>
      </c>
      <c r="Q11" s="16">
        <f t="shared" si="4"/>
        <v>4.5054600000000002</v>
      </c>
      <c r="R11" s="16">
        <f t="shared" si="5"/>
        <v>-1.39815</v>
      </c>
      <c r="S11" s="16">
        <f t="shared" si="6"/>
        <v>4.5288000000000004</v>
      </c>
      <c r="T11" s="16">
        <f t="shared" si="7"/>
        <v>-0.69646999999999992</v>
      </c>
      <c r="U11" s="16">
        <f t="shared" si="8"/>
        <v>3.1492200000000001</v>
      </c>
      <c r="V11" s="16">
        <f t="shared" si="9"/>
        <v>-2.2836000000000003</v>
      </c>
      <c r="W11" s="16">
        <f t="shared" si="10"/>
        <v>3.5640000000000005</v>
      </c>
    </row>
    <row r="12" spans="1:29">
      <c r="A12" s="20">
        <v>7</v>
      </c>
      <c r="B12" s="16"/>
      <c r="C12" s="16">
        <f t="shared" si="12"/>
        <v>-1.051274</v>
      </c>
      <c r="D12" s="16"/>
      <c r="E12" s="16">
        <f>-Datasheet!C19</f>
        <v>-9.4809539255074906</v>
      </c>
      <c r="F12" s="16">
        <f>-Datasheet!C21</f>
        <v>-0.1716</v>
      </c>
      <c r="G12" s="16">
        <f t="shared" si="13"/>
        <v>4.5054600000000002</v>
      </c>
      <c r="H12" s="16"/>
      <c r="I12" s="16">
        <f t="shared" si="11"/>
        <v>-6.1983679255074895</v>
      </c>
      <c r="J12" s="16"/>
      <c r="K12" s="16">
        <f t="shared" si="0"/>
        <v>-1.428222987584582</v>
      </c>
      <c r="L12" s="16">
        <f t="shared" si="1"/>
        <v>-2.7984497726860789</v>
      </c>
      <c r="M12" s="16">
        <f t="shared" si="2"/>
        <v>-2.3954043801353309</v>
      </c>
      <c r="P12" s="16">
        <f t="shared" si="3"/>
        <v>-10.70382792550749</v>
      </c>
      <c r="Q12" s="16">
        <f t="shared" si="4"/>
        <v>4.5054600000000002</v>
      </c>
      <c r="R12" s="16">
        <f t="shared" si="5"/>
        <v>-9.2989449379229079</v>
      </c>
      <c r="S12" s="16">
        <f t="shared" si="6"/>
        <v>4.5288000000000004</v>
      </c>
      <c r="T12" s="16">
        <f t="shared" si="7"/>
        <v>-5.1209151652368288</v>
      </c>
      <c r="U12" s="16">
        <f t="shared" si="8"/>
        <v>3.1492200000000001</v>
      </c>
      <c r="V12" s="16">
        <f t="shared" si="9"/>
        <v>-3.1402907851014983</v>
      </c>
      <c r="W12" s="16">
        <f t="shared" si="10"/>
        <v>3.5640000000000005</v>
      </c>
    </row>
    <row r="13" spans="1:29">
      <c r="A13" s="20">
        <v>8</v>
      </c>
      <c r="B13" s="16"/>
      <c r="C13" s="16">
        <f t="shared" si="12"/>
        <v>-1.051274</v>
      </c>
      <c r="D13" s="16"/>
      <c r="E13" s="16"/>
      <c r="F13" s="16">
        <f>-Datasheet!C21</f>
        <v>-0.1716</v>
      </c>
      <c r="G13" s="16">
        <f t="shared" si="13"/>
        <v>4.5054600000000002</v>
      </c>
      <c r="H13" s="16"/>
      <c r="I13" s="16">
        <f t="shared" si="11"/>
        <v>3.2825860000000002</v>
      </c>
      <c r="J13" s="16"/>
      <c r="K13" s="16">
        <f t="shared" si="0"/>
        <v>1.3407459999999998</v>
      </c>
      <c r="L13" s="16">
        <f t="shared" si="1"/>
        <v>-0.19598799999999983</v>
      </c>
      <c r="M13" s="16">
        <f t="shared" si="2"/>
        <v>-0.18207200000000023</v>
      </c>
      <c r="P13" s="16">
        <f t="shared" si="3"/>
        <v>-1.222874</v>
      </c>
      <c r="Q13" s="16">
        <f t="shared" si="4"/>
        <v>4.5054600000000002</v>
      </c>
      <c r="R13" s="16">
        <f t="shared" si="5"/>
        <v>-2.5869599999999999</v>
      </c>
      <c r="S13" s="16">
        <f t="shared" si="6"/>
        <v>4.5288000000000004</v>
      </c>
      <c r="T13" s="16">
        <f t="shared" si="7"/>
        <v>-1.0113919999999998</v>
      </c>
      <c r="U13" s="16">
        <f t="shared" si="8"/>
        <v>3.1492200000000001</v>
      </c>
      <c r="V13" s="16">
        <f t="shared" si="9"/>
        <v>-1.2441</v>
      </c>
      <c r="W13" s="16">
        <f t="shared" si="10"/>
        <v>3.5640000000000005</v>
      </c>
    </row>
    <row r="14" spans="1:29">
      <c r="A14" s="20">
        <v>9</v>
      </c>
      <c r="B14" s="16"/>
      <c r="C14" s="16">
        <f t="shared" si="12"/>
        <v>-1.051274</v>
      </c>
      <c r="D14" s="16"/>
      <c r="E14" s="16"/>
      <c r="F14" s="16">
        <f>-Datasheet!C21</f>
        <v>-0.1716</v>
      </c>
      <c r="G14" s="16">
        <f t="shared" si="13"/>
        <v>4.5054600000000002</v>
      </c>
      <c r="H14" s="16"/>
      <c r="I14" s="16">
        <f t="shared" si="11"/>
        <v>3.2825860000000002</v>
      </c>
      <c r="J14" s="16"/>
      <c r="K14" s="16">
        <f t="shared" si="0"/>
        <v>0.15193600000000007</v>
      </c>
      <c r="L14" s="16">
        <f t="shared" si="1"/>
        <v>0.67790000000000017</v>
      </c>
      <c r="M14" s="16">
        <f t="shared" si="2"/>
        <v>0.13284999999999947</v>
      </c>
      <c r="P14" s="16">
        <f t="shared" si="3"/>
        <v>-1.222874</v>
      </c>
      <c r="Q14" s="16">
        <f t="shared" si="4"/>
        <v>4.5054600000000002</v>
      </c>
      <c r="R14" s="16">
        <f t="shared" si="5"/>
        <v>-1.39815</v>
      </c>
      <c r="S14" s="16">
        <f t="shared" si="6"/>
        <v>4.5288000000000004</v>
      </c>
      <c r="T14" s="16">
        <f t="shared" si="7"/>
        <v>-0.69646999999999992</v>
      </c>
      <c r="U14" s="16">
        <f t="shared" si="8"/>
        <v>3.1492200000000001</v>
      </c>
      <c r="V14" s="16">
        <f t="shared" si="9"/>
        <v>-1.2441</v>
      </c>
      <c r="W14" s="16">
        <f t="shared" si="10"/>
        <v>3.5640000000000005</v>
      </c>
    </row>
    <row r="15" spans="1:29">
      <c r="A15" s="20">
        <v>10</v>
      </c>
      <c r="B15" s="16"/>
      <c r="C15" s="16">
        <f t="shared" si="12"/>
        <v>-1.051274</v>
      </c>
      <c r="D15" s="16"/>
      <c r="E15" s="16"/>
      <c r="F15" s="16">
        <f>-Datasheet!C21</f>
        <v>-0.1716</v>
      </c>
      <c r="G15" s="16">
        <f t="shared" si="13"/>
        <v>4.5054600000000002</v>
      </c>
      <c r="H15" s="16"/>
      <c r="I15" s="16">
        <f t="shared" si="11"/>
        <v>3.2825860000000002</v>
      </c>
      <c r="J15" s="16"/>
      <c r="K15" s="16">
        <f t="shared" si="0"/>
        <v>0.15193600000000007</v>
      </c>
      <c r="L15" s="16">
        <f t="shared" si="1"/>
        <v>0.67790000000000017</v>
      </c>
      <c r="M15" s="16">
        <f t="shared" si="2"/>
        <v>0.13284999999999947</v>
      </c>
      <c r="P15" s="16">
        <f t="shared" si="3"/>
        <v>-1.222874</v>
      </c>
      <c r="Q15" s="16">
        <f t="shared" si="4"/>
        <v>4.5054600000000002</v>
      </c>
      <c r="R15" s="16">
        <f t="shared" si="5"/>
        <v>-1.39815</v>
      </c>
      <c r="S15" s="16">
        <f t="shared" si="6"/>
        <v>4.5288000000000004</v>
      </c>
      <c r="T15" s="16">
        <f t="shared" si="7"/>
        <v>-0.69646999999999992</v>
      </c>
      <c r="U15" s="16">
        <f t="shared" si="8"/>
        <v>3.1492200000000001</v>
      </c>
      <c r="V15" s="16">
        <f t="shared" si="9"/>
        <v>-1.2441</v>
      </c>
      <c r="W15" s="16">
        <f t="shared" si="10"/>
        <v>3.5640000000000005</v>
      </c>
    </row>
    <row r="16" spans="1:29">
      <c r="A16" s="20">
        <v>11</v>
      </c>
      <c r="B16" s="16"/>
      <c r="C16" s="16">
        <f t="shared" si="12"/>
        <v>-1.051274</v>
      </c>
      <c r="D16" s="16"/>
      <c r="E16" s="16"/>
      <c r="F16" s="16">
        <f>-Datasheet!C21</f>
        <v>-0.1716</v>
      </c>
      <c r="G16" s="16">
        <f t="shared" si="13"/>
        <v>4.5054600000000002</v>
      </c>
      <c r="H16" s="16"/>
      <c r="I16" s="16">
        <f t="shared" si="11"/>
        <v>3.2825860000000002</v>
      </c>
      <c r="J16" s="16"/>
      <c r="K16" s="16">
        <f t="shared" si="0"/>
        <v>0.15193600000000007</v>
      </c>
      <c r="L16" s="16">
        <f t="shared" si="1"/>
        <v>0.67790000000000017</v>
      </c>
      <c r="M16" s="16">
        <f t="shared" si="2"/>
        <v>0.13284999999999947</v>
      </c>
      <c r="P16" s="16">
        <f t="shared" si="3"/>
        <v>-1.222874</v>
      </c>
      <c r="Q16" s="16">
        <f t="shared" si="4"/>
        <v>4.5054600000000002</v>
      </c>
      <c r="R16" s="16">
        <f t="shared" si="5"/>
        <v>-1.39815</v>
      </c>
      <c r="S16" s="16">
        <f t="shared" si="6"/>
        <v>4.5288000000000004</v>
      </c>
      <c r="T16" s="16">
        <f t="shared" si="7"/>
        <v>-0.69646999999999992</v>
      </c>
      <c r="U16" s="16">
        <f t="shared" si="8"/>
        <v>3.1492200000000001</v>
      </c>
      <c r="V16" s="16">
        <f t="shared" si="9"/>
        <v>-1.2441</v>
      </c>
      <c r="W16" s="16">
        <f t="shared" si="10"/>
        <v>3.5640000000000005</v>
      </c>
    </row>
    <row r="17" spans="1:23">
      <c r="A17" s="20">
        <v>12</v>
      </c>
      <c r="B17" s="16"/>
      <c r="C17" s="16">
        <f t="shared" si="12"/>
        <v>-1.051274</v>
      </c>
      <c r="D17" s="16">
        <f>-Datasheet!C16</f>
        <v>-0.901092</v>
      </c>
      <c r="E17" s="16"/>
      <c r="F17" s="16">
        <f>-Datasheet!C21</f>
        <v>-0.1716</v>
      </c>
      <c r="G17" s="16">
        <f t="shared" si="13"/>
        <v>4.5054600000000002</v>
      </c>
      <c r="H17" s="16"/>
      <c r="I17" s="16">
        <f t="shared" si="11"/>
        <v>2.381494</v>
      </c>
      <c r="J17" s="16"/>
      <c r="K17" s="16">
        <f t="shared" si="0"/>
        <v>-0.74915600000000016</v>
      </c>
      <c r="L17" s="16">
        <f t="shared" si="1"/>
        <v>0.67790000000000017</v>
      </c>
      <c r="M17" s="16">
        <f t="shared" si="2"/>
        <v>1.1723499999999998</v>
      </c>
      <c r="P17" s="16">
        <f t="shared" si="3"/>
        <v>-2.1239660000000002</v>
      </c>
      <c r="Q17" s="16">
        <f t="shared" si="4"/>
        <v>4.5054600000000002</v>
      </c>
      <c r="R17" s="16">
        <f t="shared" si="5"/>
        <v>-1.39815</v>
      </c>
      <c r="S17" s="16">
        <f t="shared" si="6"/>
        <v>4.5288000000000004</v>
      </c>
      <c r="T17" s="16">
        <f t="shared" si="7"/>
        <v>-0.69646999999999992</v>
      </c>
      <c r="U17" s="16">
        <f t="shared" si="8"/>
        <v>3.1492200000000001</v>
      </c>
      <c r="V17" s="16">
        <f t="shared" si="9"/>
        <v>-2.2836000000000003</v>
      </c>
      <c r="W17" s="16">
        <f t="shared" si="10"/>
        <v>3.5640000000000005</v>
      </c>
    </row>
    <row r="18" spans="1:23">
      <c r="A18" s="20">
        <v>13</v>
      </c>
      <c r="B18" s="16"/>
      <c r="C18" s="16">
        <f t="shared" si="12"/>
        <v>-1.051274</v>
      </c>
      <c r="D18" s="16"/>
      <c r="E18" s="16"/>
      <c r="F18" s="16">
        <f>-Datasheet!C21</f>
        <v>-0.1716</v>
      </c>
      <c r="G18" s="16">
        <f t="shared" si="13"/>
        <v>4.5054600000000002</v>
      </c>
      <c r="H18" s="16"/>
      <c r="I18" s="16">
        <f t="shared" si="11"/>
        <v>3.2825860000000002</v>
      </c>
      <c r="J18" s="16"/>
      <c r="K18" s="16">
        <f t="shared" si="0"/>
        <v>0.15193600000000007</v>
      </c>
      <c r="L18" s="16">
        <f t="shared" si="1"/>
        <v>0.67790000000000017</v>
      </c>
      <c r="M18" s="16">
        <f t="shared" si="2"/>
        <v>0.13284999999999947</v>
      </c>
      <c r="P18" s="16">
        <f t="shared" si="3"/>
        <v>-1.222874</v>
      </c>
      <c r="Q18" s="16">
        <f t="shared" si="4"/>
        <v>4.5054600000000002</v>
      </c>
      <c r="R18" s="16">
        <f t="shared" si="5"/>
        <v>-1.39815</v>
      </c>
      <c r="S18" s="16">
        <f t="shared" si="6"/>
        <v>4.5288000000000004</v>
      </c>
      <c r="T18" s="16">
        <f t="shared" si="7"/>
        <v>-0.69646999999999992</v>
      </c>
      <c r="U18" s="16">
        <f t="shared" si="8"/>
        <v>3.1492200000000001</v>
      </c>
      <c r="V18" s="16">
        <f t="shared" si="9"/>
        <v>-1.2441</v>
      </c>
      <c r="W18" s="16">
        <f t="shared" si="10"/>
        <v>3.5640000000000005</v>
      </c>
    </row>
    <row r="19" spans="1:23">
      <c r="A19" s="20">
        <v>14</v>
      </c>
      <c r="B19" s="16"/>
      <c r="C19" s="16">
        <f t="shared" si="12"/>
        <v>-1.051274</v>
      </c>
      <c r="D19" s="16"/>
      <c r="E19" s="16"/>
      <c r="F19" s="16">
        <f>-Datasheet!C21</f>
        <v>-0.1716</v>
      </c>
      <c r="G19" s="16">
        <f t="shared" si="13"/>
        <v>4.5054600000000002</v>
      </c>
      <c r="H19" s="16"/>
      <c r="I19" s="16">
        <f t="shared" si="11"/>
        <v>3.2825860000000002</v>
      </c>
      <c r="J19" s="16"/>
      <c r="K19" s="16">
        <f t="shared" si="0"/>
        <v>0.15193600000000007</v>
      </c>
      <c r="L19" s="16">
        <f t="shared" si="1"/>
        <v>0.67790000000000017</v>
      </c>
      <c r="M19" s="16">
        <f t="shared" si="2"/>
        <v>0.13284999999999947</v>
      </c>
      <c r="P19" s="16">
        <f t="shared" si="3"/>
        <v>-1.222874</v>
      </c>
      <c r="Q19" s="16">
        <f t="shared" si="4"/>
        <v>4.5054600000000002</v>
      </c>
      <c r="R19" s="16">
        <f t="shared" si="5"/>
        <v>-1.39815</v>
      </c>
      <c r="S19" s="16">
        <f t="shared" si="6"/>
        <v>4.5288000000000004</v>
      </c>
      <c r="T19" s="16">
        <f t="shared" si="7"/>
        <v>-0.69646999999999992</v>
      </c>
      <c r="U19" s="16">
        <f t="shared" si="8"/>
        <v>3.1492200000000001</v>
      </c>
      <c r="V19" s="16">
        <f t="shared" si="9"/>
        <v>-1.2441</v>
      </c>
      <c r="W19" s="16">
        <f t="shared" si="10"/>
        <v>3.5640000000000005</v>
      </c>
    </row>
    <row r="20" spans="1:23">
      <c r="A20" s="20">
        <v>15</v>
      </c>
      <c r="B20" s="16"/>
      <c r="C20" s="16">
        <f t="shared" si="12"/>
        <v>-1.051274</v>
      </c>
      <c r="D20" s="16"/>
      <c r="E20" s="16"/>
      <c r="F20" s="16">
        <f>-Datasheet!C21</f>
        <v>-0.1716</v>
      </c>
      <c r="G20" s="16">
        <f t="shared" si="13"/>
        <v>4.5054600000000002</v>
      </c>
      <c r="H20" s="16"/>
      <c r="I20" s="16">
        <f t="shared" si="11"/>
        <v>3.2825860000000002</v>
      </c>
      <c r="J20" s="16"/>
      <c r="K20" s="16">
        <f t="shared" si="0"/>
        <v>0.15193600000000007</v>
      </c>
      <c r="L20" s="16">
        <f t="shared" si="1"/>
        <v>0.67790000000000017</v>
      </c>
      <c r="M20" s="16">
        <f t="shared" si="2"/>
        <v>0.13284999999999947</v>
      </c>
      <c r="P20" s="16">
        <f t="shared" si="3"/>
        <v>-1.222874</v>
      </c>
      <c r="Q20" s="16">
        <f t="shared" si="4"/>
        <v>4.5054600000000002</v>
      </c>
      <c r="R20" s="16">
        <f t="shared" si="5"/>
        <v>-1.39815</v>
      </c>
      <c r="S20" s="16">
        <f t="shared" si="6"/>
        <v>4.5288000000000004</v>
      </c>
      <c r="T20" s="16">
        <f t="shared" si="7"/>
        <v>-0.69646999999999992</v>
      </c>
      <c r="U20" s="16">
        <f t="shared" si="8"/>
        <v>3.1492200000000001</v>
      </c>
      <c r="V20" s="16">
        <f t="shared" si="9"/>
        <v>-1.2441</v>
      </c>
      <c r="W20" s="16">
        <f t="shared" si="10"/>
        <v>3.5640000000000005</v>
      </c>
    </row>
    <row r="21" spans="1:23">
      <c r="A21" s="20">
        <v>16</v>
      </c>
      <c r="B21" s="16"/>
      <c r="C21" s="16">
        <f t="shared" si="12"/>
        <v>-1.051274</v>
      </c>
      <c r="D21" s="16"/>
      <c r="E21" s="16"/>
      <c r="F21" s="16">
        <f>-Datasheet!C21</f>
        <v>-0.1716</v>
      </c>
      <c r="G21" s="16">
        <f t="shared" si="13"/>
        <v>4.5054600000000002</v>
      </c>
      <c r="H21" s="16"/>
      <c r="I21" s="16">
        <f t="shared" si="11"/>
        <v>3.2825860000000002</v>
      </c>
      <c r="J21" s="16"/>
      <c r="K21" s="16">
        <f t="shared" si="0"/>
        <v>1.3407459999999998</v>
      </c>
      <c r="L21" s="16">
        <f t="shared" si="1"/>
        <v>-0.19598799999999983</v>
      </c>
      <c r="M21" s="16">
        <f t="shared" si="2"/>
        <v>-0.18207200000000023</v>
      </c>
      <c r="P21" s="16">
        <f t="shared" si="3"/>
        <v>-1.222874</v>
      </c>
      <c r="Q21" s="16">
        <f t="shared" si="4"/>
        <v>4.5054600000000002</v>
      </c>
      <c r="R21" s="16">
        <f t="shared" si="5"/>
        <v>-2.5869599999999999</v>
      </c>
      <c r="S21" s="16">
        <f t="shared" si="6"/>
        <v>4.5288000000000004</v>
      </c>
      <c r="T21" s="16">
        <f t="shared" si="7"/>
        <v>-1.0113919999999998</v>
      </c>
      <c r="U21" s="16">
        <f t="shared" si="8"/>
        <v>3.1492200000000001</v>
      </c>
      <c r="V21" s="16">
        <f t="shared" si="9"/>
        <v>-1.2441</v>
      </c>
      <c r="W21" s="16">
        <f t="shared" si="10"/>
        <v>3.5640000000000005</v>
      </c>
    </row>
    <row r="22" spans="1:23">
      <c r="A22" s="20">
        <v>17</v>
      </c>
      <c r="B22" s="16"/>
      <c r="C22" s="16">
        <f t="shared" si="12"/>
        <v>-1.051274</v>
      </c>
      <c r="D22" s="16"/>
      <c r="E22" s="16"/>
      <c r="F22" s="16">
        <f>-Datasheet!C21</f>
        <v>-0.1716</v>
      </c>
      <c r="G22" s="16">
        <f t="shared" si="13"/>
        <v>4.5054600000000002</v>
      </c>
      <c r="H22" s="16"/>
      <c r="I22" s="16">
        <f t="shared" si="11"/>
        <v>3.2825860000000002</v>
      </c>
      <c r="J22" s="16"/>
      <c r="K22" s="16">
        <f t="shared" si="0"/>
        <v>0.15193600000000007</v>
      </c>
      <c r="L22" s="16">
        <f t="shared" si="1"/>
        <v>0.67790000000000017</v>
      </c>
      <c r="M22" s="16">
        <f t="shared" si="2"/>
        <v>0.13284999999999947</v>
      </c>
      <c r="P22" s="16">
        <f t="shared" si="3"/>
        <v>-1.222874</v>
      </c>
      <c r="Q22" s="16">
        <f t="shared" si="4"/>
        <v>4.5054600000000002</v>
      </c>
      <c r="R22" s="16">
        <f t="shared" si="5"/>
        <v>-1.39815</v>
      </c>
      <c r="S22" s="16">
        <f t="shared" si="6"/>
        <v>4.5288000000000004</v>
      </c>
      <c r="T22" s="16">
        <f t="shared" si="7"/>
        <v>-0.69646999999999992</v>
      </c>
      <c r="U22" s="16">
        <f t="shared" si="8"/>
        <v>3.1492200000000001</v>
      </c>
      <c r="V22" s="16">
        <f t="shared" si="9"/>
        <v>-1.2441</v>
      </c>
      <c r="W22" s="16">
        <f t="shared" si="10"/>
        <v>3.5640000000000005</v>
      </c>
    </row>
    <row r="23" spans="1:23">
      <c r="A23" s="20">
        <v>18</v>
      </c>
      <c r="B23" s="16"/>
      <c r="C23" s="16">
        <f t="shared" si="12"/>
        <v>-1.051274</v>
      </c>
      <c r="D23" s="16">
        <f>-Datasheet!C16</f>
        <v>-0.901092</v>
      </c>
      <c r="E23" s="16"/>
      <c r="F23" s="16">
        <f>-Datasheet!C21</f>
        <v>-0.1716</v>
      </c>
      <c r="G23" s="16">
        <f t="shared" si="13"/>
        <v>4.5054600000000002</v>
      </c>
      <c r="H23" s="16"/>
      <c r="I23" s="16">
        <f t="shared" si="11"/>
        <v>2.381494</v>
      </c>
      <c r="J23" s="16"/>
      <c r="K23" s="16">
        <f t="shared" si="0"/>
        <v>-0.74915600000000016</v>
      </c>
      <c r="L23" s="16">
        <f t="shared" si="1"/>
        <v>0.67790000000000017</v>
      </c>
      <c r="M23" s="16">
        <f t="shared" si="2"/>
        <v>1.1723499999999998</v>
      </c>
      <c r="P23" s="16">
        <f t="shared" si="3"/>
        <v>-2.1239660000000002</v>
      </c>
      <c r="Q23" s="16">
        <f t="shared" si="4"/>
        <v>4.5054600000000002</v>
      </c>
      <c r="R23" s="16">
        <f t="shared" si="5"/>
        <v>-1.39815</v>
      </c>
      <c r="S23" s="16">
        <f t="shared" si="6"/>
        <v>4.5288000000000004</v>
      </c>
      <c r="T23" s="16">
        <f t="shared" si="7"/>
        <v>-0.69646999999999992</v>
      </c>
      <c r="U23" s="16">
        <f t="shared" si="8"/>
        <v>3.1492200000000001</v>
      </c>
      <c r="V23" s="16">
        <f t="shared" si="9"/>
        <v>-2.2836000000000003</v>
      </c>
      <c r="W23" s="16">
        <f t="shared" si="10"/>
        <v>3.5640000000000005</v>
      </c>
    </row>
    <row r="24" spans="1:23">
      <c r="A24" s="20">
        <v>19</v>
      </c>
      <c r="B24" s="16"/>
      <c r="C24" s="16">
        <f t="shared" si="12"/>
        <v>-1.051274</v>
      </c>
      <c r="D24" s="16"/>
      <c r="E24" s="16"/>
      <c r="F24" s="16">
        <f>-Datasheet!C21</f>
        <v>-0.1716</v>
      </c>
      <c r="G24" s="16">
        <f t="shared" si="13"/>
        <v>4.5054600000000002</v>
      </c>
      <c r="H24" s="16"/>
      <c r="I24" s="16">
        <f t="shared" si="11"/>
        <v>3.2825860000000002</v>
      </c>
      <c r="J24" s="16"/>
      <c r="K24" s="16">
        <f t="shared" si="0"/>
        <v>0.15193600000000007</v>
      </c>
      <c r="L24" s="16">
        <f t="shared" si="1"/>
        <v>0.67790000000000017</v>
      </c>
      <c r="M24" s="16">
        <f t="shared" si="2"/>
        <v>0.13284999999999947</v>
      </c>
      <c r="P24" s="16">
        <f t="shared" si="3"/>
        <v>-1.222874</v>
      </c>
      <c r="Q24" s="16">
        <f t="shared" si="4"/>
        <v>4.5054600000000002</v>
      </c>
      <c r="R24" s="16">
        <f t="shared" si="5"/>
        <v>-1.39815</v>
      </c>
      <c r="S24" s="16">
        <f t="shared" si="6"/>
        <v>4.5288000000000004</v>
      </c>
      <c r="T24" s="16">
        <f t="shared" si="7"/>
        <v>-0.69646999999999992</v>
      </c>
      <c r="U24" s="16">
        <f t="shared" si="8"/>
        <v>3.1492200000000001</v>
      </c>
      <c r="V24" s="16">
        <f t="shared" si="9"/>
        <v>-1.2441</v>
      </c>
      <c r="W24" s="16">
        <f t="shared" si="10"/>
        <v>3.5640000000000005</v>
      </c>
    </row>
    <row r="25" spans="1:23">
      <c r="A25" s="20">
        <v>20</v>
      </c>
      <c r="B25" s="16"/>
      <c r="C25" s="16">
        <f t="shared" si="12"/>
        <v>-1.051274</v>
      </c>
      <c r="D25" s="16"/>
      <c r="E25" s="16"/>
      <c r="F25" s="16">
        <f>-Datasheet!C22</f>
        <v>-3.1716000000000002</v>
      </c>
      <c r="G25" s="16">
        <f t="shared" si="13"/>
        <v>4.5054600000000002</v>
      </c>
      <c r="H25" s="16">
        <f>Datasheet!C25</f>
        <v>0.35889366628708519</v>
      </c>
      <c r="I25" s="16">
        <f t="shared" si="11"/>
        <v>0.28258600000000023</v>
      </c>
      <c r="J25" s="16"/>
      <c r="K25" s="16">
        <f t="shared" si="0"/>
        <v>0.15193600000000007</v>
      </c>
      <c r="L25" s="16">
        <f t="shared" si="1"/>
        <v>0.67790000000000017</v>
      </c>
      <c r="M25" s="16">
        <f t="shared" si="2"/>
        <v>-0.1576164418965158</v>
      </c>
      <c r="P25" s="16">
        <f t="shared" si="3"/>
        <v>-4.222874</v>
      </c>
      <c r="Q25" s="16">
        <f t="shared" si="4"/>
        <v>4.8643536662870854</v>
      </c>
      <c r="R25" s="16">
        <f t="shared" si="5"/>
        <v>-4.3981500000000002</v>
      </c>
      <c r="S25" s="16">
        <f t="shared" si="6"/>
        <v>4.8635262617726402</v>
      </c>
      <c r="T25" s="16">
        <f t="shared" si="7"/>
        <v>-3.6964700000000001</v>
      </c>
      <c r="U25" s="16">
        <f t="shared" si="8"/>
        <v>3.4520553835380126</v>
      </c>
      <c r="V25" s="16">
        <f t="shared" si="9"/>
        <v>-3.9536335581034847</v>
      </c>
      <c r="W25" s="16">
        <f t="shared" si="10"/>
        <v>3.8544664418965162</v>
      </c>
    </row>
    <row r="26" spans="1:23">
      <c r="B26" s="16"/>
      <c r="C26" s="16"/>
      <c r="D26" s="16"/>
      <c r="E26" s="16"/>
      <c r="F26" s="16"/>
      <c r="G26" s="33" t="s">
        <v>52</v>
      </c>
      <c r="H26" s="33"/>
      <c r="I26" s="21">
        <f>I5+NPV(0.07,I6:I25)</f>
        <v>4.3318487481553163</v>
      </c>
      <c r="J26" s="21"/>
      <c r="K26" s="16"/>
      <c r="M26" s="16"/>
      <c r="P26" s="21">
        <f t="shared" ref="P26:W26" si="14">P5+NPV(0.07,P6:P25)</f>
        <v>-43.3990586744479</v>
      </c>
      <c r="Q26" s="21">
        <f t="shared" si="14"/>
        <v>47.823652365961351</v>
      </c>
      <c r="R26" s="21">
        <f t="shared" si="14"/>
        <v>-42.849705354889124</v>
      </c>
      <c r="S26" s="21">
        <f t="shared" si="14"/>
        <v>48.064671341876462</v>
      </c>
      <c r="T26" s="21">
        <f t="shared" si="14"/>
        <v>-29.700622142885134</v>
      </c>
      <c r="U26" s="21">
        <f t="shared" si="14"/>
        <v>33.441139960095043</v>
      </c>
      <c r="V26" s="21">
        <f t="shared" si="14"/>
        <v>-33.022824119312673</v>
      </c>
      <c r="W26" s="21">
        <f t="shared" si="14"/>
        <v>37.832128819285373</v>
      </c>
    </row>
    <row r="27" spans="1:23">
      <c r="B27" s="16"/>
      <c r="C27" s="16"/>
      <c r="D27" s="16"/>
      <c r="E27" s="16"/>
      <c r="F27" s="16"/>
      <c r="G27" s="33" t="s">
        <v>53</v>
      </c>
      <c r="H27" s="33"/>
      <c r="I27" s="24">
        <f>IRR(I5:I25)</f>
        <v>9.4453523825722252E-2</v>
      </c>
      <c r="J27" s="29" t="s">
        <v>54</v>
      </c>
      <c r="K27" s="27">
        <f>IRR(K5:K25)</f>
        <v>-6.5003928750571038E-3</v>
      </c>
      <c r="L27" s="28">
        <f>IRR(L5:L25)</f>
        <v>0.13578622867395906</v>
      </c>
      <c r="M27" s="25">
        <f>IRR(M5:M25)</f>
        <v>1.0379441893811014E-2</v>
      </c>
    </row>
    <row r="28" spans="1:23">
      <c r="B28" s="16"/>
      <c r="C28" s="16"/>
      <c r="D28" s="16"/>
      <c r="E28" s="16"/>
      <c r="F28" s="16"/>
      <c r="G28" s="33" t="s">
        <v>55</v>
      </c>
      <c r="H28" s="33"/>
      <c r="I28" s="37">
        <f>-Q26/P26</f>
        <v>1.1019513746762097</v>
      </c>
      <c r="J28" s="16"/>
      <c r="K28" s="35" t="s">
        <v>56</v>
      </c>
      <c r="L28" s="35" t="s">
        <v>56</v>
      </c>
      <c r="M28" s="36" t="s">
        <v>83</v>
      </c>
      <c r="O28" s="32" t="s">
        <v>57</v>
      </c>
      <c r="Q28" s="16"/>
      <c r="S28" s="16">
        <f>SUM(S5:S25)</f>
        <v>90.91072626177268</v>
      </c>
      <c r="T28" s="16"/>
      <c r="U28" s="16">
        <f>SUM(U5:U25)</f>
        <v>63.287235383538011</v>
      </c>
      <c r="V28" s="16"/>
      <c r="W28" s="16">
        <f>SUM(W5:W25)</f>
        <v>71.570466441896542</v>
      </c>
    </row>
    <row r="29" spans="1:23">
      <c r="B29" s="16"/>
      <c r="C29" s="16"/>
      <c r="D29" s="16"/>
      <c r="E29" s="16"/>
      <c r="F29" s="16"/>
      <c r="G29" s="16"/>
      <c r="H29" s="16"/>
      <c r="I29" s="16"/>
      <c r="J29" s="29" t="s">
        <v>58</v>
      </c>
      <c r="K29" s="31">
        <f>-(S26-Q26)/(R26-P26)</f>
        <v>-0.43873217351028321</v>
      </c>
      <c r="L29" s="31">
        <f>-(U26-S26)/(T26-R26)</f>
        <v>1.1121331537723773</v>
      </c>
      <c r="M29" s="48">
        <f>-(W26-U26)/(V26-T26)</f>
        <v>1.3217103867694666</v>
      </c>
      <c r="O29" s="32" t="s">
        <v>59</v>
      </c>
      <c r="P29" s="16"/>
      <c r="R29" s="16">
        <f>SUM(R5:R25)</f>
        <v>-62.489034937922924</v>
      </c>
      <c r="S29" s="16"/>
      <c r="T29" s="16">
        <f>SUM(T5:T25)</f>
        <v>-40.485356665236829</v>
      </c>
      <c r="V29" s="16">
        <f>SUM(V5:V25)</f>
        <v>-49.106224343205</v>
      </c>
    </row>
    <row r="30" spans="1:23">
      <c r="B30" s="16"/>
      <c r="C30" s="16"/>
      <c r="D30" s="16"/>
      <c r="E30" s="16"/>
      <c r="F30" s="16"/>
      <c r="G30" s="16"/>
      <c r="H30" s="16"/>
      <c r="I30" s="16"/>
      <c r="J30" s="16"/>
      <c r="K30" s="49" t="s">
        <v>56</v>
      </c>
      <c r="L30" s="35" t="s">
        <v>56</v>
      </c>
      <c r="M30" s="36" t="s">
        <v>83</v>
      </c>
      <c r="N30" s="16"/>
      <c r="O30" s="16"/>
      <c r="P30" s="16"/>
      <c r="Q30" s="16"/>
      <c r="R30" s="16"/>
      <c r="S30" s="16"/>
      <c r="T30" s="16"/>
      <c r="U30" s="16"/>
    </row>
    <row r="31" spans="1:23">
      <c r="A31" s="58" t="s">
        <v>60</v>
      </c>
      <c r="B31" s="58"/>
      <c r="C31" s="58"/>
      <c r="D31" s="58"/>
      <c r="E31" s="58"/>
      <c r="F31" s="58"/>
      <c r="G31" s="58"/>
      <c r="H31" s="58"/>
      <c r="I31" s="58"/>
      <c r="J31" s="38"/>
      <c r="K31" s="35"/>
      <c r="M31" s="16"/>
      <c r="N31" s="16"/>
      <c r="O31" s="16"/>
      <c r="P31" s="16"/>
      <c r="Q31" s="16"/>
      <c r="R31" s="16"/>
      <c r="S31" s="16"/>
      <c r="T31" s="16"/>
      <c r="U31" s="16"/>
    </row>
    <row r="32" spans="1:23">
      <c r="A32" s="19" t="s">
        <v>41</v>
      </c>
      <c r="B32" s="18" t="s">
        <v>42</v>
      </c>
      <c r="C32" s="16" t="s">
        <v>43</v>
      </c>
      <c r="D32" s="18" t="s">
        <v>44</v>
      </c>
      <c r="E32" s="18" t="s">
        <v>61</v>
      </c>
      <c r="F32" s="18" t="s">
        <v>46</v>
      </c>
      <c r="G32" s="18" t="s">
        <v>47</v>
      </c>
      <c r="H32" s="18" t="s">
        <v>48</v>
      </c>
      <c r="I32" s="18" t="s">
        <v>49</v>
      </c>
      <c r="J32" s="18"/>
      <c r="K32" s="16"/>
      <c r="T32" s="16"/>
      <c r="U32" s="16"/>
    </row>
    <row r="33" spans="1:21">
      <c r="A33" s="20">
        <v>0</v>
      </c>
      <c r="B33" s="16">
        <f>-Datasheet!E14</f>
        <v>-16.5</v>
      </c>
      <c r="D33" s="16"/>
      <c r="E33" s="16"/>
      <c r="F33" s="16"/>
      <c r="I33" s="16">
        <f>B33+C33+D33+E33+F33+G33</f>
        <v>-16.5</v>
      </c>
      <c r="J33" s="16"/>
      <c r="K33" s="16"/>
      <c r="T33" s="16"/>
      <c r="U33" s="16"/>
    </row>
    <row r="34" spans="1:21">
      <c r="A34" s="20">
        <v>1</v>
      </c>
      <c r="B34" s="16"/>
      <c r="C34" s="17">
        <f>-Datasheet!E15</f>
        <v>-1.0725</v>
      </c>
      <c r="D34" s="16"/>
      <c r="E34" s="16"/>
      <c r="F34" s="16">
        <f>-Datasheet!E21</f>
        <v>-0.1716</v>
      </c>
      <c r="G34" s="16">
        <f>Datasheet!E24</f>
        <v>3.5640000000000005</v>
      </c>
      <c r="H34" s="16"/>
      <c r="I34" s="16">
        <f t="shared" ref="I34:I53" si="15">B34+C34+D34+E34+F34+G34</f>
        <v>2.3199000000000005</v>
      </c>
      <c r="J34" s="16"/>
      <c r="K34" s="16"/>
      <c r="N34" t="s">
        <v>53</v>
      </c>
      <c r="O34" t="s">
        <v>52</v>
      </c>
      <c r="T34" s="16"/>
      <c r="U34" s="16"/>
    </row>
    <row r="35" spans="1:21">
      <c r="A35" s="20">
        <v>2</v>
      </c>
      <c r="B35" s="16"/>
      <c r="C35" s="17">
        <f t="shared" ref="C35:C53" si="16">$C$34</f>
        <v>-1.0725</v>
      </c>
      <c r="D35" s="16"/>
      <c r="E35" s="16"/>
      <c r="F35" s="16">
        <f>-Datasheet!E21</f>
        <v>-0.1716</v>
      </c>
      <c r="G35" s="16">
        <f t="shared" ref="G35:G53" si="17">$G$34</f>
        <v>3.5640000000000005</v>
      </c>
      <c r="H35" s="16"/>
      <c r="I35" s="16">
        <f t="shared" si="15"/>
        <v>2.3199000000000005</v>
      </c>
      <c r="J35" s="16"/>
      <c r="K35" s="16"/>
      <c r="O35" t="s">
        <v>38</v>
      </c>
      <c r="P35" t="s">
        <v>37</v>
      </c>
      <c r="Q35" t="s">
        <v>36</v>
      </c>
      <c r="R35" t="s">
        <v>39</v>
      </c>
      <c r="T35" s="16"/>
      <c r="U35" s="16"/>
    </row>
    <row r="36" spans="1:21">
      <c r="A36" s="20">
        <v>3</v>
      </c>
      <c r="B36" s="16"/>
      <c r="C36" s="17">
        <f t="shared" si="16"/>
        <v>-1.0725</v>
      </c>
      <c r="D36" s="16"/>
      <c r="E36" s="16"/>
      <c r="F36" s="16">
        <f>-Datasheet!E21</f>
        <v>-0.1716</v>
      </c>
      <c r="G36" s="16">
        <f t="shared" si="17"/>
        <v>3.5640000000000005</v>
      </c>
      <c r="H36" s="16"/>
      <c r="I36" s="16">
        <f t="shared" si="15"/>
        <v>2.3199000000000005</v>
      </c>
      <c r="J36" s="16"/>
      <c r="K36" s="16"/>
      <c r="N36" s="26">
        <v>0</v>
      </c>
      <c r="O36" s="16">
        <f>I5+NPV(0,I6:I25)</f>
        <v>27.970226474492531</v>
      </c>
      <c r="P36" s="16">
        <f>I33+NPV(0,I34:I53)</f>
        <v>22.17377565679503</v>
      </c>
      <c r="Q36" s="16">
        <f>I61+NPV(0,I62:I81)</f>
        <v>28.086965062077102</v>
      </c>
      <c r="R36" s="16">
        <f>I89+NPV(0,I90:I109)</f>
        <v>22.49904333476319</v>
      </c>
      <c r="T36" s="16"/>
      <c r="U36" s="16"/>
    </row>
    <row r="37" spans="1:21">
      <c r="A37" s="20">
        <v>4</v>
      </c>
      <c r="B37" s="16"/>
      <c r="C37" s="17">
        <f t="shared" si="16"/>
        <v>-1.0725</v>
      </c>
      <c r="D37" s="16"/>
      <c r="E37" s="16"/>
      <c r="F37" s="16">
        <f>-Datasheet!E21</f>
        <v>-0.1716</v>
      </c>
      <c r="G37" s="16">
        <f t="shared" si="17"/>
        <v>3.5640000000000005</v>
      </c>
      <c r="H37" s="16"/>
      <c r="I37" s="16">
        <f t="shared" si="15"/>
        <v>2.3199000000000005</v>
      </c>
      <c r="J37" s="16"/>
      <c r="K37" s="16"/>
      <c r="N37" s="26">
        <v>0.01</v>
      </c>
      <c r="O37" s="16">
        <f>I5+NPV(0.01,I6:I25)</f>
        <v>23.035254280061242</v>
      </c>
      <c r="P37" s="16">
        <f>I33+NPV(0.01,I34:I53)</f>
        <v>18.603884211468795</v>
      </c>
      <c r="Q37" s="16">
        <f>I61+NPV(0.01,I62:I81)</f>
        <v>23.307154363260548</v>
      </c>
      <c r="R37" s="16">
        <f>I89+NPV(0.01,I90:I109)</f>
        <v>18.614771878402745</v>
      </c>
      <c r="T37" s="16"/>
      <c r="U37" s="16"/>
    </row>
    <row r="38" spans="1:21">
      <c r="A38" s="20">
        <v>5</v>
      </c>
      <c r="B38" s="16"/>
      <c r="C38" s="17">
        <f t="shared" si="16"/>
        <v>-1.0725</v>
      </c>
      <c r="D38" s="16"/>
      <c r="E38" s="16"/>
      <c r="F38" s="16">
        <f>-Datasheet!E21</f>
        <v>-0.1716</v>
      </c>
      <c r="G38" s="16">
        <f t="shared" si="17"/>
        <v>3.5640000000000005</v>
      </c>
      <c r="H38" s="16"/>
      <c r="I38" s="16">
        <f t="shared" si="15"/>
        <v>2.3199000000000005</v>
      </c>
      <c r="J38" s="16"/>
      <c r="K38" s="16"/>
      <c r="N38" s="26">
        <v>0.02</v>
      </c>
      <c r="O38" s="16">
        <f>I5+NPV(0.02,I6:I25)</f>
        <v>18.763510821968726</v>
      </c>
      <c r="P38" s="16">
        <f>I33+NPV(0.02,I34:I53)</f>
        <v>15.489003038792468</v>
      </c>
      <c r="Q38" s="16">
        <f>I61+NPV(0.02,I62:I81)</f>
        <v>19.165341792612576</v>
      </c>
      <c r="R38" s="16">
        <f>I89+NPV(0.02,I90:I109)</f>
        <v>15.235464356097911</v>
      </c>
      <c r="T38" s="16"/>
      <c r="U38" s="16"/>
    </row>
    <row r="39" spans="1:21">
      <c r="A39" s="20">
        <v>6</v>
      </c>
      <c r="B39" s="16"/>
      <c r="C39" s="17">
        <f t="shared" si="16"/>
        <v>-1.0725</v>
      </c>
      <c r="D39" s="16">
        <f>-Datasheet!E16</f>
        <v>-1.0395000000000001</v>
      </c>
      <c r="E39" s="16"/>
      <c r="F39" s="16">
        <f>-Datasheet!E21</f>
        <v>-0.1716</v>
      </c>
      <c r="G39" s="16">
        <f t="shared" si="17"/>
        <v>3.5640000000000005</v>
      </c>
      <c r="H39" s="16"/>
      <c r="I39" s="16">
        <f t="shared" si="15"/>
        <v>1.2804000000000002</v>
      </c>
      <c r="J39" s="16"/>
      <c r="K39" s="16"/>
      <c r="N39" s="26">
        <v>0.03</v>
      </c>
      <c r="O39" s="16">
        <f>I5+NPV(0.03,I6:I25)</f>
        <v>15.053461928863992</v>
      </c>
      <c r="P39" s="16">
        <f>I33+NPV(0.03,I34:I53)</f>
        <v>12.762028296340706</v>
      </c>
      <c r="Q39" s="16">
        <f>I61+NPV(0.03,I62:I81)</f>
        <v>15.56416543157734</v>
      </c>
      <c r="R39" s="16">
        <f>I89+NPV(0.03,I90:I109)</f>
        <v>12.285701581443337</v>
      </c>
      <c r="T39" s="16"/>
      <c r="U39" s="16"/>
    </row>
    <row r="40" spans="1:21">
      <c r="A40" s="20">
        <v>7</v>
      </c>
      <c r="B40" s="16"/>
      <c r="C40" s="17">
        <f t="shared" si="16"/>
        <v>-1.0725</v>
      </c>
      <c r="D40" s="16"/>
      <c r="E40" s="16">
        <f>-Datasheet!E19</f>
        <v>-1.8961907851014981</v>
      </c>
      <c r="F40" s="16">
        <f>-Datasheet!E21</f>
        <v>-0.1716</v>
      </c>
      <c r="G40" s="16">
        <f t="shared" si="17"/>
        <v>3.5640000000000005</v>
      </c>
      <c r="H40" s="16"/>
      <c r="I40" s="16">
        <f t="shared" si="15"/>
        <v>0.42370921489850222</v>
      </c>
      <c r="J40" s="16"/>
      <c r="K40" s="16"/>
      <c r="N40" s="26">
        <v>0.04</v>
      </c>
      <c r="O40" s="16">
        <f>I5+NPV(0.04,I6:I25)</f>
        <v>11.820474930639282</v>
      </c>
      <c r="P40" s="16">
        <f>I33+NPV(0.04,I34:I53)</f>
        <v>10.366726172323304</v>
      </c>
      <c r="Q40" s="16">
        <f>I61+NPV(0.04,I62:I81)</f>
        <v>12.42245232053941</v>
      </c>
      <c r="R40" s="16">
        <f>I89+NPV(0.04,I90:I109)</f>
        <v>9.7023800581734285</v>
      </c>
      <c r="T40" s="16"/>
      <c r="U40" s="16"/>
    </row>
    <row r="41" spans="1:21">
      <c r="A41" s="20">
        <v>8</v>
      </c>
      <c r="B41" s="16"/>
      <c r="C41" s="17">
        <f t="shared" si="16"/>
        <v>-1.0725</v>
      </c>
      <c r="D41" s="16"/>
      <c r="E41" s="16"/>
      <c r="F41" s="16">
        <f>-Datasheet!E21</f>
        <v>-0.1716</v>
      </c>
      <c r="G41" s="16">
        <f t="shared" si="17"/>
        <v>3.5640000000000005</v>
      </c>
      <c r="H41" s="16"/>
      <c r="I41" s="16">
        <f t="shared" si="15"/>
        <v>2.3199000000000005</v>
      </c>
      <c r="J41" s="16"/>
      <c r="K41" s="16"/>
      <c r="N41" s="26">
        <v>0.05</v>
      </c>
      <c r="O41" s="16">
        <f>I5+NPV(0.05,I6:I25)</f>
        <v>8.9938153992334939</v>
      </c>
      <c r="P41" s="16">
        <f>I33+NPV(0.05,I34:I53)</f>
        <v>8.2558425610473414</v>
      </c>
      <c r="Q41" s="16">
        <f>I61+NPV(0.05,I62:I81)</f>
        <v>9.6723419442534926</v>
      </c>
      <c r="R41" s="16">
        <f>I89+NPV(0.05,I90:I109)</f>
        <v>7.4325588916302685</v>
      </c>
      <c r="T41" s="16"/>
      <c r="U41" s="16"/>
    </row>
    <row r="42" spans="1:21">
      <c r="A42" s="20">
        <v>9</v>
      </c>
      <c r="B42" s="16"/>
      <c r="C42" s="17">
        <f t="shared" si="16"/>
        <v>-1.0725</v>
      </c>
      <c r="D42" s="16"/>
      <c r="E42" s="16"/>
      <c r="F42" s="16">
        <f>-Datasheet!E21</f>
        <v>-0.1716</v>
      </c>
      <c r="G42" s="16">
        <f t="shared" si="17"/>
        <v>3.5640000000000005</v>
      </c>
      <c r="H42" s="16"/>
      <c r="I42" s="16">
        <f t="shared" si="15"/>
        <v>2.3199000000000005</v>
      </c>
      <c r="J42" s="16"/>
      <c r="K42" s="16"/>
      <c r="N42" s="26">
        <v>0.06</v>
      </c>
      <c r="O42" s="16">
        <f>I5+NPV(0.06,I6:I25)</f>
        <v>6.5142077719162188</v>
      </c>
      <c r="P42" s="16">
        <f>I33+NPV(0.06,I34:I53)</f>
        <v>6.3895611873553726</v>
      </c>
      <c r="Q42" s="16">
        <f>I61+NPV(0.06,I62:I81)</f>
        <v>7.2569500657906261</v>
      </c>
      <c r="R42" s="16">
        <f>I89+NPV(0.06,I90:I109)</f>
        <v>5.4317050234378641</v>
      </c>
      <c r="T42" s="16"/>
      <c r="U42" s="16"/>
    </row>
    <row r="43" spans="1:21">
      <c r="A43" s="20">
        <v>10</v>
      </c>
      <c r="B43" s="16"/>
      <c r="C43" s="17">
        <f t="shared" si="16"/>
        <v>-1.0725</v>
      </c>
      <c r="D43" s="16"/>
      <c r="E43" s="16"/>
      <c r="F43" s="16">
        <f>-Datasheet!E21</f>
        <v>-0.1716</v>
      </c>
      <c r="G43" s="16">
        <f t="shared" si="17"/>
        <v>3.5640000000000005</v>
      </c>
      <c r="H43" s="16"/>
      <c r="I43" s="16">
        <f t="shared" si="15"/>
        <v>2.3199000000000005</v>
      </c>
      <c r="J43" s="16"/>
      <c r="K43" s="16"/>
      <c r="N43" s="26">
        <v>7.0000000000000007E-2</v>
      </c>
      <c r="O43" s="16">
        <f>I5+NPV(0.07,I6:I25)</f>
        <v>4.3318487481553163</v>
      </c>
      <c r="P43" s="16">
        <f>I33+NPV(0.07,I34:I53)</f>
        <v>4.7342426517069107</v>
      </c>
      <c r="Q43" s="16">
        <f>I61+NPV(0.07,I62:I81)</f>
        <v>5.1284663602044418</v>
      </c>
      <c r="R43" s="16">
        <f>I89+NPV(0.07,I90:I109)</f>
        <v>3.6622593993792556</v>
      </c>
      <c r="T43" s="16"/>
      <c r="U43" s="16"/>
    </row>
    <row r="44" spans="1:21">
      <c r="A44" s="20">
        <v>11</v>
      </c>
      <c r="B44" s="16"/>
      <c r="C44" s="17">
        <f t="shared" si="16"/>
        <v>-1.0725</v>
      </c>
      <c r="D44" s="16"/>
      <c r="E44" s="16"/>
      <c r="F44" s="16">
        <f>-Datasheet!E21</f>
        <v>-0.1716</v>
      </c>
      <c r="G44" s="16">
        <f t="shared" si="17"/>
        <v>3.5640000000000005</v>
      </c>
      <c r="H44" s="16"/>
      <c r="I44" s="16">
        <f t="shared" si="15"/>
        <v>2.3199000000000005</v>
      </c>
      <c r="J44" s="16"/>
      <c r="K44" s="16"/>
      <c r="N44" s="26">
        <v>0.08</v>
      </c>
      <c r="O44" s="16">
        <f>I5+NPV(0.08,I6:I25)</f>
        <v>2.4047852113832526</v>
      </c>
      <c r="P44" s="16">
        <f>I33+NPV(0.08,I34:I53)</f>
        <v>3.2613905470344022</v>
      </c>
      <c r="Q44" s="16">
        <f>I61+NPV(0.08,I62:I81)</f>
        <v>3.2466012383792382</v>
      </c>
      <c r="R44" s="16">
        <f>I89+NPV(0.08,I90:I109)</f>
        <v>2.0924623856590152</v>
      </c>
      <c r="T44" s="16"/>
      <c r="U44" s="16"/>
    </row>
    <row r="45" spans="1:21">
      <c r="A45" s="20">
        <v>12</v>
      </c>
      <c r="B45" s="16"/>
      <c r="C45" s="17">
        <f t="shared" si="16"/>
        <v>-1.0725</v>
      </c>
      <c r="D45" s="16">
        <f>-Datasheet!E16</f>
        <v>-1.0395000000000001</v>
      </c>
      <c r="E45" s="16"/>
      <c r="F45" s="16">
        <f>-Datasheet!E21</f>
        <v>-0.1716</v>
      </c>
      <c r="G45" s="16">
        <f t="shared" si="17"/>
        <v>3.5640000000000005</v>
      </c>
      <c r="H45" s="16"/>
      <c r="I45" s="16">
        <f t="shared" si="15"/>
        <v>1.2804000000000002</v>
      </c>
      <c r="J45" s="16"/>
      <c r="K45" s="16"/>
      <c r="N45" s="26">
        <v>0.09</v>
      </c>
      <c r="O45" s="16">
        <f>I5+NPV(0.09,I6:I25)</f>
        <v>0.69758639539607969</v>
      </c>
      <c r="P45" s="16">
        <f>I33+NPV(0.09,I34:I53)</f>
        <v>1.9468015939157723</v>
      </c>
      <c r="Q45" s="16">
        <f>I61+NPV(0.09,I62:I81)</f>
        <v>1.577314492547881</v>
      </c>
      <c r="R45" s="16">
        <f>I89+NPV(0.09,I90:I109)</f>
        <v>0.69538913876019848</v>
      </c>
      <c r="T45" s="16"/>
      <c r="U45" s="16"/>
    </row>
    <row r="46" spans="1:21">
      <c r="A46" s="20">
        <v>13</v>
      </c>
      <c r="B46" s="16"/>
      <c r="C46" s="17">
        <f t="shared" si="16"/>
        <v>-1.0725</v>
      </c>
      <c r="D46" s="16"/>
      <c r="E46" s="16"/>
      <c r="F46" s="16">
        <f>-Datasheet!E21</f>
        <v>-0.1716</v>
      </c>
      <c r="G46" s="16">
        <f t="shared" si="17"/>
        <v>3.5640000000000005</v>
      </c>
      <c r="H46" s="16"/>
      <c r="I46" s="16">
        <f t="shared" si="15"/>
        <v>2.3199000000000005</v>
      </c>
      <c r="J46" s="16"/>
      <c r="K46" s="16"/>
      <c r="N46" s="26">
        <v>0.1</v>
      </c>
      <c r="O46" s="16">
        <f>I5+NPV(0.1,I6:I25)</f>
        <v>-0.81974582301966947</v>
      </c>
      <c r="P46" s="16">
        <f>I33+NPV(0.1,I34:I53)</f>
        <v>0.76986528263767795</v>
      </c>
      <c r="Q46" s="16">
        <f>I61+NPV(0.1,I62:I81)</f>
        <v>9.1771980732662684E-2</v>
      </c>
      <c r="R46" s="16">
        <f>I89+NPV(0.1,I90:I109)</f>
        <v>-0.55184456553422123</v>
      </c>
      <c r="T46" s="16"/>
      <c r="U46" s="16"/>
    </row>
    <row r="47" spans="1:21">
      <c r="A47" s="20">
        <v>14</v>
      </c>
      <c r="B47" s="16"/>
      <c r="C47" s="17">
        <f t="shared" si="16"/>
        <v>-1.0725</v>
      </c>
      <c r="D47" s="16"/>
      <c r="E47" s="16"/>
      <c r="F47" s="16">
        <f>-Datasheet!E21</f>
        <v>-0.1716</v>
      </c>
      <c r="G47" s="16">
        <f t="shared" si="17"/>
        <v>3.5640000000000005</v>
      </c>
      <c r="H47" s="16"/>
      <c r="I47" s="16">
        <f t="shared" si="15"/>
        <v>2.3199000000000005</v>
      </c>
      <c r="J47" s="16"/>
      <c r="K47" s="16"/>
      <c r="N47" s="26">
        <v>0.11</v>
      </c>
      <c r="O47" s="16">
        <f>I5+NPV(0.11,I6:I25)</f>
        <v>-2.1726734320374135</v>
      </c>
      <c r="P47" s="16">
        <f>I33+NPV(0.11,I34:I53)</f>
        <v>-0.28701471259488542</v>
      </c>
      <c r="Q47" s="16">
        <f>I61+NPV(0.11,I62:I81)</f>
        <v>-1.2345126985349069</v>
      </c>
      <c r="R47" s="16">
        <f>I89+NPV(0.11,I90:I109)</f>
        <v>-1.6687377663537184</v>
      </c>
      <c r="T47" s="16"/>
      <c r="U47" s="16"/>
    </row>
    <row r="48" spans="1:21">
      <c r="A48" s="20">
        <v>15</v>
      </c>
      <c r="B48" s="16"/>
      <c r="C48" s="17">
        <f t="shared" si="16"/>
        <v>-1.0725</v>
      </c>
      <c r="D48" s="16"/>
      <c r="E48" s="16"/>
      <c r="F48" s="16">
        <f>-Datasheet!E21</f>
        <v>-0.1716</v>
      </c>
      <c r="G48" s="16">
        <f t="shared" si="17"/>
        <v>3.5640000000000005</v>
      </c>
      <c r="H48" s="16"/>
      <c r="I48" s="16">
        <f t="shared" si="15"/>
        <v>2.3199000000000005</v>
      </c>
      <c r="J48" s="16"/>
      <c r="K48" s="16"/>
      <c r="N48" s="26">
        <v>0.12</v>
      </c>
      <c r="O48" s="16">
        <f>I5+NPV(0.12,I6:I25)</f>
        <v>-3.3828616525177679</v>
      </c>
      <c r="P48" s="16">
        <f>I33+NPV(0.12,I34:I53)</f>
        <v>-1.238899692045683</v>
      </c>
      <c r="Q48" s="16">
        <f>I61+NPV(0.12,I62:I81)</f>
        <v>-2.4223860865177897</v>
      </c>
      <c r="R48" s="16">
        <f>I89+NPV(0.12,I90:I109)</f>
        <v>-2.6719465583812028</v>
      </c>
      <c r="T48" s="16"/>
      <c r="U48" s="16"/>
    </row>
    <row r="49" spans="1:21">
      <c r="A49" s="20">
        <v>16</v>
      </c>
      <c r="B49" s="16"/>
      <c r="C49" s="17">
        <f t="shared" si="16"/>
        <v>-1.0725</v>
      </c>
      <c r="D49" s="16"/>
      <c r="E49" s="16"/>
      <c r="F49" s="16">
        <f>-Datasheet!E21</f>
        <v>-0.1716</v>
      </c>
      <c r="G49" s="16">
        <f t="shared" si="17"/>
        <v>3.5640000000000005</v>
      </c>
      <c r="H49" s="16"/>
      <c r="I49" s="16">
        <f t="shared" si="15"/>
        <v>2.3199000000000005</v>
      </c>
      <c r="J49" s="16"/>
      <c r="K49" s="16"/>
      <c r="N49" s="26">
        <v>0.13</v>
      </c>
      <c r="O49" s="16">
        <f>I5+NPV(0.13,I6:I25)</f>
        <v>-4.4687901803066978</v>
      </c>
      <c r="P49" s="16">
        <f>I33+NPV(0.13,I34:I53)</f>
        <v>-2.0987137082419167</v>
      </c>
      <c r="Q49" s="16">
        <f>I61+NPV(0.13,I62:I81)</f>
        <v>-3.489640091264647</v>
      </c>
      <c r="R49" s="16">
        <f>I89+NPV(0.13,I90:I109)</f>
        <v>-3.5757337569748948</v>
      </c>
      <c r="T49" s="16"/>
      <c r="U49" s="16"/>
    </row>
    <row r="50" spans="1:21">
      <c r="A50" s="20">
        <v>17</v>
      </c>
      <c r="B50" s="16"/>
      <c r="C50" s="17">
        <f t="shared" si="16"/>
        <v>-1.0725</v>
      </c>
      <c r="D50" s="16"/>
      <c r="E50" s="16"/>
      <c r="F50" s="16">
        <f>-Datasheet!E21</f>
        <v>-0.1716</v>
      </c>
      <c r="G50" s="16">
        <f t="shared" si="17"/>
        <v>3.5640000000000005</v>
      </c>
      <c r="H50" s="16"/>
      <c r="I50" s="16">
        <f t="shared" si="15"/>
        <v>2.3199000000000005</v>
      </c>
      <c r="J50" s="16"/>
      <c r="K50" s="16"/>
      <c r="N50" s="26">
        <v>0.14000000000000001</v>
      </c>
      <c r="O50" s="16">
        <f>I5+NPV(0.14,I6:I25)</f>
        <v>-5.4462597075710022</v>
      </c>
      <c r="P50" s="16">
        <f>I33+NPV(0.14,I34:I53)</f>
        <v>-2.8775745743111472</v>
      </c>
      <c r="Q50" s="16">
        <f>I61+NPV(0.14,I62:I81)</f>
        <v>-4.4514969753024687</v>
      </c>
      <c r="R50" s="16">
        <f>I89+NPV(0.14,I90:I109)</f>
        <v>-4.3923426705291337</v>
      </c>
      <c r="T50" s="16"/>
      <c r="U50" s="16"/>
    </row>
    <row r="51" spans="1:21">
      <c r="A51" s="20">
        <v>18</v>
      </c>
      <c r="B51" s="16"/>
      <c r="C51" s="17">
        <f t="shared" si="16"/>
        <v>-1.0725</v>
      </c>
      <c r="D51" s="16">
        <f>-Datasheet!E16</f>
        <v>-1.0395000000000001</v>
      </c>
      <c r="E51" s="16"/>
      <c r="F51" s="16">
        <f>-Datasheet!E21</f>
        <v>-0.1716</v>
      </c>
      <c r="G51" s="16">
        <f t="shared" si="17"/>
        <v>3.5640000000000005</v>
      </c>
      <c r="H51" s="16"/>
      <c r="I51" s="16">
        <f t="shared" si="15"/>
        <v>1.2804000000000002</v>
      </c>
      <c r="J51" s="16"/>
      <c r="K51" s="16"/>
      <c r="N51" s="26">
        <v>0.15</v>
      </c>
      <c r="O51" s="16">
        <f>I5+NPV(0.15,I6:I25)</f>
        <v>-6.3288126482298281</v>
      </c>
      <c r="P51" s="16">
        <f>I33+NPV(0.15,I34:I53)</f>
        <v>-3.5850699608384886</v>
      </c>
      <c r="Q51" s="16">
        <f>I61+NPV(0.15,I62:I81)</f>
        <v>-5.3210122252771779</v>
      </c>
      <c r="R51" s="16">
        <f>I89+NPV(0.15,I90:I109)</f>
        <v>-5.1323085107928659</v>
      </c>
      <c r="T51" s="16"/>
      <c r="U51" s="16"/>
    </row>
    <row r="52" spans="1:21">
      <c r="A52" s="20">
        <v>19</v>
      </c>
      <c r="B52" s="16"/>
      <c r="C52" s="17">
        <f t="shared" si="16"/>
        <v>-1.0725</v>
      </c>
      <c r="D52" s="16"/>
      <c r="E52" s="16"/>
      <c r="F52" s="16">
        <f>-Datasheet!E21</f>
        <v>-0.1716</v>
      </c>
      <c r="G52" s="16">
        <f t="shared" si="17"/>
        <v>3.5640000000000005</v>
      </c>
      <c r="H52" s="16"/>
      <c r="I52" s="16">
        <f t="shared" si="15"/>
        <v>2.3199000000000005</v>
      </c>
      <c r="J52" s="16"/>
      <c r="K52" s="16"/>
      <c r="N52" s="26">
        <v>0.16</v>
      </c>
      <c r="O52" s="16">
        <f>I5+NPV(0.16,I6:I25)</f>
        <v>-7.1280834072545254</v>
      </c>
      <c r="P52" s="16">
        <f>I33+NPV(0.16,I34:I53)</f>
        <v>-4.2294882276595906</v>
      </c>
      <c r="Q52" s="16">
        <f>I61+NPV(0.16,I62:I81)</f>
        <v>-6.1094099895670606</v>
      </c>
      <c r="R52" s="16">
        <f>I89+NPV(0.16,I90:I109)</f>
        <v>-5.8047184411310724</v>
      </c>
      <c r="T52" s="16"/>
      <c r="U52" s="16"/>
    </row>
    <row r="53" spans="1:21">
      <c r="A53" s="20">
        <v>20</v>
      </c>
      <c r="B53" s="16">
        <f>Datasheet!E25</f>
        <v>0.2904664418965156</v>
      </c>
      <c r="C53" s="17">
        <f t="shared" si="16"/>
        <v>-1.0725</v>
      </c>
      <c r="D53" s="16"/>
      <c r="E53" s="16"/>
      <c r="F53" s="16">
        <f>-Datasheet!E22</f>
        <v>-3.1716000000000002</v>
      </c>
      <c r="G53" s="16">
        <f t="shared" si="17"/>
        <v>3.5640000000000005</v>
      </c>
      <c r="H53" s="16">
        <f>Datasheet!E25</f>
        <v>0.2904664418965156</v>
      </c>
      <c r="I53" s="16">
        <f t="shared" si="15"/>
        <v>-0.38963355810348421</v>
      </c>
      <c r="J53" s="16"/>
      <c r="K53" s="16"/>
      <c r="N53" s="26">
        <v>0.17</v>
      </c>
      <c r="O53" s="16">
        <f>I5+NPV(0.17,I6:I25)</f>
        <v>-7.8540906569873687</v>
      </c>
      <c r="P53" s="16">
        <f>I33+NPV(0.17,I34:I53)</f>
        <v>-4.8180118562541789</v>
      </c>
      <c r="Q53" s="16">
        <f>I61+NPV(0.17,I62:I81)</f>
        <v>-6.8263630142059064</v>
      </c>
      <c r="R53" s="16">
        <f>I89+NPV(0.17,I90:I109)</f>
        <v>-6.4174292260146792</v>
      </c>
      <c r="T53" s="16"/>
      <c r="U53" s="16"/>
    </row>
    <row r="54" spans="1:21">
      <c r="B54" s="16"/>
      <c r="C54" s="17"/>
      <c r="D54" s="16"/>
      <c r="E54" s="16"/>
      <c r="F54" s="16"/>
      <c r="G54" s="33" t="s">
        <v>52</v>
      </c>
      <c r="H54" s="33"/>
      <c r="I54" s="21">
        <f>I33+NPV(0.07,I34:I53)</f>
        <v>4.7342426517069107</v>
      </c>
      <c r="J54" s="21"/>
      <c r="K54" s="16"/>
      <c r="N54" s="26">
        <v>0.18</v>
      </c>
      <c r="O54" s="16">
        <f>I5+NPV(0.18,I6:I25)</f>
        <v>-8.5154817700795729</v>
      </c>
      <c r="P54" s="16">
        <f>I33+NPV(0.18,I34:I53)</f>
        <v>-5.3568799111780105</v>
      </c>
      <c r="Q54" s="16">
        <f>I61+NPV(0.18,I62:I81)</f>
        <v>-7.4802267915768645</v>
      </c>
      <c r="R54" s="16">
        <f>I89+NPV(0.18,I90:I109)</f>
        <v>-6.9772498021012197</v>
      </c>
      <c r="T54" s="16"/>
      <c r="U54" s="16"/>
    </row>
    <row r="55" spans="1:21">
      <c r="B55" s="16"/>
      <c r="C55" s="17"/>
      <c r="D55" s="16"/>
      <c r="E55" s="16"/>
      <c r="F55" s="16"/>
      <c r="G55" s="33" t="s">
        <v>53</v>
      </c>
      <c r="H55" s="33"/>
      <c r="I55" s="24">
        <f>IRR(I33:I53)</f>
        <v>0.10717793816375565</v>
      </c>
      <c r="J55" s="16"/>
      <c r="K55" s="16"/>
      <c r="N55" s="26">
        <v>0.19</v>
      </c>
      <c r="O55" s="16">
        <f>I5+NPV(0.19,I6:I25)</f>
        <v>-9.1197376935605678</v>
      </c>
      <c r="P55" s="16">
        <f>I33+NPV(0.19,I34:I53)</f>
        <v>-5.8515247963061103</v>
      </c>
      <c r="Q55" s="16">
        <f>I61+NPV(0.19,I62:I81)</f>
        <v>-8.0782358503103442</v>
      </c>
      <c r="R55" s="16">
        <f>I89+NPV(0.19,I90:I109)</f>
        <v>-7.4900947629414905</v>
      </c>
      <c r="T55" s="16"/>
      <c r="U55" s="16"/>
    </row>
    <row r="56" spans="1:21">
      <c r="B56" s="16"/>
      <c r="C56" s="17"/>
      <c r="D56" s="16"/>
      <c r="E56" s="16"/>
      <c r="F56" s="16"/>
      <c r="G56" s="33" t="s">
        <v>55</v>
      </c>
      <c r="H56" s="33"/>
      <c r="I56" s="37">
        <f>-W26/V26</f>
        <v>1.1456357785329476</v>
      </c>
      <c r="J56" s="16"/>
      <c r="K56" s="16"/>
      <c r="N56" s="26">
        <v>0.2</v>
      </c>
      <c r="O56" s="16">
        <f>I5+NPV(0.2,I6:I25)</f>
        <v>-9.6733450415062006</v>
      </c>
      <c r="P56" s="16">
        <f>I33+NPV(0.2,I34:I53)</f>
        <v>-6.3066876289605602</v>
      </c>
      <c r="Q56" s="16">
        <f>I61+NPV(0.2,I62:I81)</f>
        <v>-8.6266686719048167</v>
      </c>
      <c r="R56" s="16">
        <f>I89+NPV(0.2,I90:I109)</f>
        <v>-7.961113672947004</v>
      </c>
      <c r="T56" s="16"/>
      <c r="U56" s="16"/>
    </row>
    <row r="57" spans="1:21">
      <c r="B57" s="16"/>
      <c r="C57" s="17"/>
      <c r="D57" s="16"/>
      <c r="E57" s="16"/>
      <c r="F57" s="16"/>
      <c r="G57" s="16"/>
      <c r="H57" s="16"/>
      <c r="I57" s="16"/>
      <c r="J57" s="16"/>
      <c r="K57" s="16"/>
      <c r="T57" s="16"/>
      <c r="U57" s="16"/>
    </row>
    <row r="59" spans="1:21">
      <c r="A59" s="58" t="s">
        <v>62</v>
      </c>
      <c r="B59" s="58"/>
      <c r="C59" s="58"/>
      <c r="D59" s="58"/>
      <c r="E59" s="58"/>
      <c r="F59" s="58"/>
      <c r="G59" s="58"/>
      <c r="H59" s="58"/>
      <c r="I59" s="58"/>
      <c r="J59" s="38"/>
    </row>
    <row r="60" spans="1:21">
      <c r="A60" s="19" t="s">
        <v>41</v>
      </c>
      <c r="B60" s="18" t="s">
        <v>42</v>
      </c>
      <c r="C60" s="16" t="s">
        <v>43</v>
      </c>
      <c r="D60" s="18" t="s">
        <v>44</v>
      </c>
      <c r="E60" s="18" t="s">
        <v>63</v>
      </c>
      <c r="F60" s="18" t="s">
        <v>64</v>
      </c>
      <c r="G60" s="18" t="s">
        <v>47</v>
      </c>
      <c r="H60" s="18" t="s">
        <v>48</v>
      </c>
      <c r="I60" s="18" t="s">
        <v>49</v>
      </c>
      <c r="J60" s="18"/>
    </row>
    <row r="61" spans="1:21">
      <c r="A61" s="20">
        <v>0</v>
      </c>
      <c r="B61" s="16">
        <f>-Datasheet!G14</f>
        <v>-21.247620000000001</v>
      </c>
      <c r="D61" s="16"/>
      <c r="E61" s="16"/>
      <c r="F61" s="16"/>
      <c r="I61" s="16">
        <f>B61+C61+D61+E61+F61+G61</f>
        <v>-21.247620000000001</v>
      </c>
      <c r="J61" s="16"/>
    </row>
    <row r="62" spans="1:21">
      <c r="A62" s="20">
        <v>1</v>
      </c>
      <c r="B62" s="16"/>
      <c r="C62" s="16">
        <f>-Datasheet!G15</f>
        <v>-1.22655</v>
      </c>
      <c r="D62" s="16"/>
      <c r="E62" s="16"/>
      <c r="F62" s="16">
        <f>-Datasheet!G21</f>
        <v>-0.1716</v>
      </c>
      <c r="G62" s="16">
        <f>Datasheet!G24</f>
        <v>4.5288000000000004</v>
      </c>
      <c r="H62" s="16"/>
      <c r="I62" s="16">
        <f t="shared" ref="I62:I81" si="18">B62+C62+D62+E62+F62+G62</f>
        <v>3.1306500000000002</v>
      </c>
      <c r="J62" s="16"/>
    </row>
    <row r="63" spans="1:21">
      <c r="A63" s="20">
        <v>2</v>
      </c>
      <c r="B63" s="16"/>
      <c r="C63" s="16">
        <f t="shared" ref="C63:C81" si="19">$C$62</f>
        <v>-1.22655</v>
      </c>
      <c r="D63" s="16"/>
      <c r="E63" s="16"/>
      <c r="F63" s="16">
        <f>-Datasheet!G21</f>
        <v>-0.1716</v>
      </c>
      <c r="G63" s="16">
        <f t="shared" ref="G63:G81" si="20">$G$62</f>
        <v>4.5288000000000004</v>
      </c>
      <c r="H63" s="16"/>
      <c r="I63" s="16">
        <f t="shared" si="18"/>
        <v>3.1306500000000002</v>
      </c>
      <c r="J63" s="16"/>
    </row>
    <row r="64" spans="1:21">
      <c r="A64" s="20">
        <v>3</v>
      </c>
      <c r="B64" s="16"/>
      <c r="C64" s="16">
        <f t="shared" si="19"/>
        <v>-1.22655</v>
      </c>
      <c r="D64" s="16"/>
      <c r="E64" s="16"/>
      <c r="F64" s="16">
        <f>-Datasheet!G21</f>
        <v>-0.1716</v>
      </c>
      <c r="G64" s="16">
        <f t="shared" si="20"/>
        <v>4.5288000000000004</v>
      </c>
      <c r="H64" s="16"/>
      <c r="I64" s="16">
        <f t="shared" si="18"/>
        <v>3.1306500000000002</v>
      </c>
      <c r="J64" s="16"/>
    </row>
    <row r="65" spans="1:10">
      <c r="A65" s="20">
        <v>4</v>
      </c>
      <c r="B65" s="16"/>
      <c r="C65" s="16">
        <f t="shared" si="19"/>
        <v>-1.22655</v>
      </c>
      <c r="D65" s="16"/>
      <c r="E65" s="16"/>
      <c r="F65" s="16">
        <f>-Datasheet!G21</f>
        <v>-0.1716</v>
      </c>
      <c r="G65" s="16">
        <f t="shared" si="20"/>
        <v>4.5288000000000004</v>
      </c>
      <c r="H65" s="16"/>
      <c r="I65" s="16">
        <f t="shared" si="18"/>
        <v>3.1306500000000002</v>
      </c>
      <c r="J65" s="16"/>
    </row>
    <row r="66" spans="1:10">
      <c r="A66" s="20">
        <v>5</v>
      </c>
      <c r="B66" s="16"/>
      <c r="C66" s="16">
        <f t="shared" si="19"/>
        <v>-1.22655</v>
      </c>
      <c r="D66" s="16"/>
      <c r="E66" s="16"/>
      <c r="F66" s="16">
        <f>-Datasheet!G21</f>
        <v>-0.1716</v>
      </c>
      <c r="G66" s="16">
        <f t="shared" si="20"/>
        <v>4.5288000000000004</v>
      </c>
      <c r="H66" s="16"/>
      <c r="I66" s="16">
        <f t="shared" si="18"/>
        <v>3.1306500000000002</v>
      </c>
      <c r="J66" s="16"/>
    </row>
    <row r="67" spans="1:10">
      <c r="A67" s="20">
        <v>6</v>
      </c>
      <c r="B67" s="16"/>
      <c r="C67" s="16">
        <f t="shared" si="19"/>
        <v>-1.22655</v>
      </c>
      <c r="D67" s="16"/>
      <c r="E67" s="16"/>
      <c r="F67" s="16">
        <f>-Datasheet!G21</f>
        <v>-0.1716</v>
      </c>
      <c r="G67" s="16">
        <f t="shared" si="20"/>
        <v>4.5288000000000004</v>
      </c>
      <c r="H67" s="16"/>
      <c r="I67" s="16">
        <f t="shared" si="18"/>
        <v>3.1306500000000002</v>
      </c>
      <c r="J67" s="16"/>
    </row>
    <row r="68" spans="1:10">
      <c r="A68" s="20">
        <v>7</v>
      </c>
      <c r="B68" s="16"/>
      <c r="C68" s="16">
        <f t="shared" si="19"/>
        <v>-1.22655</v>
      </c>
      <c r="D68" s="16"/>
      <c r="E68" s="16">
        <f>-Datasheet!G19</f>
        <v>-7.9007949379229085</v>
      </c>
      <c r="F68" s="16">
        <f>-Datasheet!G21</f>
        <v>-0.1716</v>
      </c>
      <c r="G68" s="16">
        <f t="shared" si="20"/>
        <v>4.5288000000000004</v>
      </c>
      <c r="H68" s="16"/>
      <c r="I68" s="16">
        <f t="shared" si="18"/>
        <v>-4.7701449379229075</v>
      </c>
      <c r="J68" s="16"/>
    </row>
    <row r="69" spans="1:10">
      <c r="A69" s="20">
        <v>8</v>
      </c>
      <c r="B69" s="16"/>
      <c r="C69" s="16">
        <f t="shared" si="19"/>
        <v>-1.22655</v>
      </c>
      <c r="D69" s="16">
        <f>-Datasheet!G16</f>
        <v>-1.1888099999999999</v>
      </c>
      <c r="E69" s="16"/>
      <c r="F69" s="16">
        <f>-Datasheet!G21</f>
        <v>-0.1716</v>
      </c>
      <c r="G69" s="16">
        <f t="shared" si="20"/>
        <v>4.5288000000000004</v>
      </c>
      <c r="H69" s="16"/>
      <c r="I69" s="16">
        <f t="shared" si="18"/>
        <v>1.9418400000000005</v>
      </c>
      <c r="J69" s="16"/>
    </row>
    <row r="70" spans="1:10">
      <c r="A70" s="20">
        <v>9</v>
      </c>
      <c r="B70" s="16"/>
      <c r="C70" s="16">
        <f t="shared" si="19"/>
        <v>-1.22655</v>
      </c>
      <c r="D70" s="16"/>
      <c r="E70" s="16"/>
      <c r="F70" s="16">
        <f>-Datasheet!G21</f>
        <v>-0.1716</v>
      </c>
      <c r="G70" s="16">
        <f t="shared" si="20"/>
        <v>4.5288000000000004</v>
      </c>
      <c r="H70" s="16"/>
      <c r="I70" s="16">
        <f t="shared" si="18"/>
        <v>3.1306500000000002</v>
      </c>
      <c r="J70" s="16"/>
    </row>
    <row r="71" spans="1:10">
      <c r="A71" s="20">
        <v>10</v>
      </c>
      <c r="B71" s="16"/>
      <c r="C71" s="16">
        <f t="shared" si="19"/>
        <v>-1.22655</v>
      </c>
      <c r="D71" s="16"/>
      <c r="E71" s="16"/>
      <c r="F71" s="16">
        <f>-Datasheet!G21</f>
        <v>-0.1716</v>
      </c>
      <c r="G71" s="16">
        <f t="shared" si="20"/>
        <v>4.5288000000000004</v>
      </c>
      <c r="H71" s="16"/>
      <c r="I71" s="16">
        <f t="shared" si="18"/>
        <v>3.1306500000000002</v>
      </c>
      <c r="J71" s="16"/>
    </row>
    <row r="72" spans="1:10">
      <c r="A72" s="20">
        <v>11</v>
      </c>
      <c r="B72" s="16"/>
      <c r="C72" s="16">
        <f t="shared" si="19"/>
        <v>-1.22655</v>
      </c>
      <c r="D72" s="16"/>
      <c r="E72" s="16"/>
      <c r="F72" s="16">
        <f>-Datasheet!G21</f>
        <v>-0.1716</v>
      </c>
      <c r="G72" s="16">
        <f t="shared" si="20"/>
        <v>4.5288000000000004</v>
      </c>
      <c r="H72" s="16"/>
      <c r="I72" s="16">
        <f t="shared" si="18"/>
        <v>3.1306500000000002</v>
      </c>
      <c r="J72" s="16"/>
    </row>
    <row r="73" spans="1:10">
      <c r="A73" s="20">
        <v>12</v>
      </c>
      <c r="B73" s="16"/>
      <c r="C73" s="16">
        <f t="shared" si="19"/>
        <v>-1.22655</v>
      </c>
      <c r="D73" s="16"/>
      <c r="E73" s="16"/>
      <c r="F73" s="16">
        <f>-Datasheet!G21</f>
        <v>-0.1716</v>
      </c>
      <c r="G73" s="16">
        <f t="shared" si="20"/>
        <v>4.5288000000000004</v>
      </c>
      <c r="H73" s="16"/>
      <c r="I73" s="16">
        <f t="shared" si="18"/>
        <v>3.1306500000000002</v>
      </c>
      <c r="J73" s="16"/>
    </row>
    <row r="74" spans="1:10">
      <c r="A74" s="20">
        <v>13</v>
      </c>
      <c r="B74" s="16"/>
      <c r="C74" s="16">
        <f t="shared" si="19"/>
        <v>-1.22655</v>
      </c>
      <c r="D74" s="16"/>
      <c r="E74" s="16"/>
      <c r="F74" s="16">
        <f>-Datasheet!G21</f>
        <v>-0.1716</v>
      </c>
      <c r="G74" s="16">
        <f t="shared" si="20"/>
        <v>4.5288000000000004</v>
      </c>
      <c r="H74" s="16"/>
      <c r="I74" s="16">
        <f t="shared" si="18"/>
        <v>3.1306500000000002</v>
      </c>
      <c r="J74" s="16"/>
    </row>
    <row r="75" spans="1:10">
      <c r="A75" s="20">
        <v>14</v>
      </c>
      <c r="B75" s="16"/>
      <c r="C75" s="16">
        <f t="shared" si="19"/>
        <v>-1.22655</v>
      </c>
      <c r="D75" s="16"/>
      <c r="E75" s="16"/>
      <c r="F75" s="16">
        <f>-Datasheet!G21</f>
        <v>-0.1716</v>
      </c>
      <c r="G75" s="16">
        <f t="shared" si="20"/>
        <v>4.5288000000000004</v>
      </c>
      <c r="H75" s="16"/>
      <c r="I75" s="16">
        <f t="shared" si="18"/>
        <v>3.1306500000000002</v>
      </c>
      <c r="J75" s="16"/>
    </row>
    <row r="76" spans="1:10">
      <c r="A76" s="20">
        <v>15</v>
      </c>
      <c r="B76" s="16"/>
      <c r="C76" s="16">
        <f t="shared" si="19"/>
        <v>-1.22655</v>
      </c>
      <c r="D76" s="16"/>
      <c r="E76" s="16"/>
      <c r="F76" s="16">
        <f>-Datasheet!G21</f>
        <v>-0.1716</v>
      </c>
      <c r="G76" s="16">
        <f t="shared" si="20"/>
        <v>4.5288000000000004</v>
      </c>
      <c r="H76" s="16"/>
      <c r="I76" s="16">
        <f t="shared" si="18"/>
        <v>3.1306500000000002</v>
      </c>
      <c r="J76" s="16"/>
    </row>
    <row r="77" spans="1:10">
      <c r="A77" s="20">
        <v>16</v>
      </c>
      <c r="B77" s="16"/>
      <c r="C77" s="16">
        <f t="shared" si="19"/>
        <v>-1.22655</v>
      </c>
      <c r="D77" s="16">
        <f>-Datasheet!G16</f>
        <v>-1.1888099999999999</v>
      </c>
      <c r="E77" s="16"/>
      <c r="F77" s="16">
        <f>-Datasheet!G21</f>
        <v>-0.1716</v>
      </c>
      <c r="G77" s="16">
        <f t="shared" si="20"/>
        <v>4.5288000000000004</v>
      </c>
      <c r="H77" s="16"/>
      <c r="I77" s="16">
        <f t="shared" si="18"/>
        <v>1.9418400000000005</v>
      </c>
      <c r="J77" s="16"/>
    </row>
    <row r="78" spans="1:10">
      <c r="A78" s="20">
        <v>17</v>
      </c>
      <c r="B78" s="16"/>
      <c r="C78" s="16">
        <f t="shared" si="19"/>
        <v>-1.22655</v>
      </c>
      <c r="D78" s="16"/>
      <c r="E78" s="16"/>
      <c r="F78" s="16">
        <f>-Datasheet!G21</f>
        <v>-0.1716</v>
      </c>
      <c r="G78" s="16">
        <f t="shared" si="20"/>
        <v>4.5288000000000004</v>
      </c>
      <c r="H78" s="16"/>
      <c r="I78" s="16">
        <f t="shared" si="18"/>
        <v>3.1306500000000002</v>
      </c>
      <c r="J78" s="16"/>
    </row>
    <row r="79" spans="1:10">
      <c r="A79" s="20">
        <v>18</v>
      </c>
      <c r="B79" s="16"/>
      <c r="C79" s="16">
        <f t="shared" si="19"/>
        <v>-1.22655</v>
      </c>
      <c r="D79" s="16"/>
      <c r="E79" s="16"/>
      <c r="F79" s="16">
        <f>-Datasheet!G21</f>
        <v>-0.1716</v>
      </c>
      <c r="G79" s="16">
        <f t="shared" si="20"/>
        <v>4.5288000000000004</v>
      </c>
      <c r="H79" s="16"/>
      <c r="I79" s="16">
        <f t="shared" si="18"/>
        <v>3.1306500000000002</v>
      </c>
      <c r="J79" s="16"/>
    </row>
    <row r="80" spans="1:10">
      <c r="A80" s="20">
        <v>19</v>
      </c>
      <c r="B80" s="16"/>
      <c r="C80" s="16">
        <f t="shared" si="19"/>
        <v>-1.22655</v>
      </c>
      <c r="D80" s="16"/>
      <c r="E80" s="16"/>
      <c r="F80" s="16">
        <f>-Datasheet!G21</f>
        <v>-0.1716</v>
      </c>
      <c r="G80" s="16">
        <f t="shared" si="20"/>
        <v>4.5288000000000004</v>
      </c>
      <c r="H80" s="16"/>
      <c r="I80" s="16">
        <f t="shared" si="18"/>
        <v>3.1306500000000002</v>
      </c>
      <c r="J80" s="16"/>
    </row>
    <row r="81" spans="1:10">
      <c r="A81" s="20">
        <v>20</v>
      </c>
      <c r="B81" s="16"/>
      <c r="C81" s="16">
        <f t="shared" si="19"/>
        <v>-1.22655</v>
      </c>
      <c r="D81" s="16"/>
      <c r="E81" s="16"/>
      <c r="F81" s="16">
        <f>-Datasheet!G22</f>
        <v>-3.1716000000000002</v>
      </c>
      <c r="G81" s="16">
        <f t="shared" si="20"/>
        <v>4.5288000000000004</v>
      </c>
      <c r="H81" s="16">
        <f>Datasheet!G25</f>
        <v>0.33472626177263981</v>
      </c>
      <c r="I81" s="16">
        <f t="shared" si="18"/>
        <v>0.13065000000000015</v>
      </c>
      <c r="J81" s="16"/>
    </row>
    <row r="82" spans="1:10">
      <c r="B82" s="16"/>
      <c r="C82" s="16"/>
      <c r="D82" s="16"/>
      <c r="E82" s="16"/>
      <c r="F82" s="16"/>
      <c r="G82" s="33" t="s">
        <v>52</v>
      </c>
      <c r="H82" s="33"/>
      <c r="I82" s="21">
        <f>I61+NPV(0.07,I62:I81)</f>
        <v>5.1284663602044418</v>
      </c>
      <c r="J82" s="21"/>
    </row>
    <row r="83" spans="1:10">
      <c r="B83" s="16"/>
      <c r="C83" s="16"/>
      <c r="D83" s="16"/>
      <c r="E83" s="16"/>
      <c r="F83" s="16"/>
      <c r="G83" s="33" t="s">
        <v>53</v>
      </c>
      <c r="H83" s="33"/>
      <c r="I83" s="24">
        <f>IRR(I61:I81)</f>
        <v>0.1006569443554608</v>
      </c>
      <c r="J83" s="16"/>
    </row>
    <row r="84" spans="1:10">
      <c r="B84" s="16"/>
      <c r="C84" s="16"/>
      <c r="D84" s="16"/>
      <c r="E84" s="16"/>
      <c r="F84" s="16"/>
      <c r="G84" s="33" t="s">
        <v>55</v>
      </c>
      <c r="H84" s="33"/>
      <c r="I84" s="37">
        <f>-S26/R26</f>
        <v>1.1217036603588293</v>
      </c>
      <c r="J84" s="16"/>
    </row>
    <row r="85" spans="1:10">
      <c r="B85" s="16"/>
      <c r="C85" s="16"/>
      <c r="D85" s="16"/>
      <c r="E85" s="16"/>
      <c r="F85" s="16"/>
      <c r="G85" s="16"/>
      <c r="H85" s="16"/>
      <c r="I85" s="16"/>
      <c r="J85" s="16"/>
    </row>
    <row r="87" spans="1:10">
      <c r="A87" s="58" t="s">
        <v>65</v>
      </c>
      <c r="B87" s="58"/>
      <c r="C87" s="58"/>
      <c r="D87" s="58"/>
      <c r="E87" s="58"/>
      <c r="F87" s="58"/>
      <c r="G87" s="58"/>
      <c r="H87" s="58"/>
      <c r="I87" s="58"/>
      <c r="J87" s="38"/>
    </row>
    <row r="88" spans="1:10">
      <c r="A88" s="19" t="s">
        <v>41</v>
      </c>
      <c r="B88" s="18" t="s">
        <v>42</v>
      </c>
      <c r="C88" s="16" t="s">
        <v>43</v>
      </c>
      <c r="D88" s="18" t="s">
        <v>44</v>
      </c>
      <c r="E88" s="18" t="s">
        <v>63</v>
      </c>
      <c r="F88" s="18" t="s">
        <v>64</v>
      </c>
      <c r="G88" s="18" t="s">
        <v>47</v>
      </c>
      <c r="H88" s="18" t="s">
        <v>48</v>
      </c>
      <c r="I88" s="18" t="s">
        <v>49</v>
      </c>
      <c r="J88" s="18"/>
    </row>
    <row r="89" spans="1:10">
      <c r="A89" s="20">
        <v>0</v>
      </c>
      <c r="B89" s="16">
        <f>-Datasheet!I14</f>
        <v>-18.5016675</v>
      </c>
      <c r="D89" s="16"/>
      <c r="E89" s="16"/>
      <c r="F89" s="16"/>
      <c r="I89" s="16">
        <f>B89+C89+D89+E89+F89+G89</f>
        <v>-18.5016675</v>
      </c>
      <c r="J89" s="16"/>
    </row>
    <row r="90" spans="1:10">
      <c r="A90" s="20">
        <v>1</v>
      </c>
      <c r="B90" s="16"/>
      <c r="C90" s="16">
        <f>-Datasheet!I15</f>
        <v>-0.52486999999999995</v>
      </c>
      <c r="D90" s="16"/>
      <c r="E90" s="16"/>
      <c r="F90" s="16">
        <f>-Datasheet!I21</f>
        <v>-0.1716</v>
      </c>
      <c r="G90" s="16">
        <f>Datasheet!I24</f>
        <v>3.1492200000000001</v>
      </c>
      <c r="H90" s="16"/>
      <c r="I90" s="16">
        <f t="shared" ref="I90:I109" si="21">B90+C90+D90+E90+F90+G90</f>
        <v>2.45275</v>
      </c>
      <c r="J90" s="16"/>
    </row>
    <row r="91" spans="1:10">
      <c r="A91" s="20">
        <v>2</v>
      </c>
      <c r="B91" s="16"/>
      <c r="C91" s="16">
        <f t="shared" ref="C91:C109" si="22">$C$90</f>
        <v>-0.52486999999999995</v>
      </c>
      <c r="D91" s="16"/>
      <c r="E91" s="16"/>
      <c r="F91" s="16">
        <f>-Datasheet!I21</f>
        <v>-0.1716</v>
      </c>
      <c r="G91" s="16">
        <f t="shared" ref="G91:G109" si="23">$G$90</f>
        <v>3.1492200000000001</v>
      </c>
      <c r="H91" s="16"/>
      <c r="I91" s="16">
        <f t="shared" si="21"/>
        <v>2.45275</v>
      </c>
      <c r="J91" s="16"/>
    </row>
    <row r="92" spans="1:10">
      <c r="A92" s="20">
        <v>3</v>
      </c>
      <c r="B92" s="16"/>
      <c r="C92" s="16">
        <f t="shared" si="22"/>
        <v>-0.52486999999999995</v>
      </c>
      <c r="D92" s="16"/>
      <c r="E92" s="16"/>
      <c r="F92" s="16">
        <f>-Datasheet!I21</f>
        <v>-0.1716</v>
      </c>
      <c r="G92" s="16">
        <f t="shared" si="23"/>
        <v>3.1492200000000001</v>
      </c>
      <c r="H92" s="16"/>
      <c r="I92" s="16">
        <f t="shared" si="21"/>
        <v>2.45275</v>
      </c>
      <c r="J92" s="16"/>
    </row>
    <row r="93" spans="1:10">
      <c r="A93" s="20">
        <v>4</v>
      </c>
      <c r="B93" s="16"/>
      <c r="C93" s="16">
        <f t="shared" si="22"/>
        <v>-0.52486999999999995</v>
      </c>
      <c r="D93" s="16"/>
      <c r="E93" s="16"/>
      <c r="F93" s="16">
        <f>-Datasheet!I21</f>
        <v>-0.1716</v>
      </c>
      <c r="G93" s="16">
        <f t="shared" si="23"/>
        <v>3.1492200000000001</v>
      </c>
      <c r="H93" s="16"/>
      <c r="I93" s="16">
        <f t="shared" si="21"/>
        <v>2.45275</v>
      </c>
      <c r="J93" s="16"/>
    </row>
    <row r="94" spans="1:10">
      <c r="A94" s="20">
        <v>5</v>
      </c>
      <c r="B94" s="16"/>
      <c r="C94" s="16">
        <f t="shared" si="22"/>
        <v>-0.52486999999999995</v>
      </c>
      <c r="D94" s="16"/>
      <c r="E94" s="16"/>
      <c r="F94" s="16">
        <f>-Datasheet!I21</f>
        <v>-0.1716</v>
      </c>
      <c r="G94" s="16">
        <f t="shared" si="23"/>
        <v>3.1492200000000001</v>
      </c>
      <c r="H94" s="16"/>
      <c r="I94" s="16">
        <f t="shared" si="21"/>
        <v>2.45275</v>
      </c>
      <c r="J94" s="16"/>
    </row>
    <row r="95" spans="1:10">
      <c r="A95" s="20">
        <v>6</v>
      </c>
      <c r="B95" s="16"/>
      <c r="C95" s="16">
        <f t="shared" si="22"/>
        <v>-0.52486999999999995</v>
      </c>
      <c r="D95" s="16"/>
      <c r="E95" s="16"/>
      <c r="F95" s="16">
        <f>-Datasheet!I21</f>
        <v>-0.1716</v>
      </c>
      <c r="G95" s="16">
        <f t="shared" si="23"/>
        <v>3.1492200000000001</v>
      </c>
      <c r="H95" s="16"/>
      <c r="I95" s="16">
        <f t="shared" si="21"/>
        <v>2.45275</v>
      </c>
      <c r="J95" s="16"/>
    </row>
    <row r="96" spans="1:10">
      <c r="A96" s="20">
        <v>7</v>
      </c>
      <c r="B96" s="16"/>
      <c r="C96" s="16">
        <f t="shared" si="22"/>
        <v>-0.52486999999999995</v>
      </c>
      <c r="D96" s="16"/>
      <c r="E96" s="16">
        <f>-Datasheet!I19</f>
        <v>-4.4244451652368291</v>
      </c>
      <c r="F96" s="16">
        <f>-Datasheet!I21</f>
        <v>-0.1716</v>
      </c>
      <c r="G96" s="16">
        <f t="shared" si="23"/>
        <v>3.1492200000000001</v>
      </c>
      <c r="H96" s="16"/>
      <c r="I96" s="16">
        <f t="shared" si="21"/>
        <v>-1.9716951652368286</v>
      </c>
      <c r="J96" s="16"/>
    </row>
    <row r="97" spans="1:10">
      <c r="A97" s="20">
        <v>8</v>
      </c>
      <c r="B97" s="16"/>
      <c r="C97" s="16">
        <f t="shared" si="22"/>
        <v>-0.52486999999999995</v>
      </c>
      <c r="D97" s="16">
        <f>-Datasheet!I16</f>
        <v>-0.31492199999999998</v>
      </c>
      <c r="E97" s="16"/>
      <c r="F97" s="16">
        <f>-Datasheet!I21</f>
        <v>-0.1716</v>
      </c>
      <c r="G97" s="16">
        <f t="shared" si="23"/>
        <v>3.1492200000000001</v>
      </c>
      <c r="H97" s="16"/>
      <c r="I97" s="16">
        <f>B97+C97+D97+E97+F97+G97</f>
        <v>2.1378280000000003</v>
      </c>
      <c r="J97" s="16"/>
    </row>
    <row r="98" spans="1:10">
      <c r="A98" s="20">
        <v>9</v>
      </c>
      <c r="B98" s="16"/>
      <c r="C98" s="16">
        <f t="shared" si="22"/>
        <v>-0.52486999999999995</v>
      </c>
      <c r="D98" s="16"/>
      <c r="E98" s="16"/>
      <c r="F98" s="16">
        <f>-Datasheet!I21</f>
        <v>-0.1716</v>
      </c>
      <c r="G98" s="16">
        <f t="shared" si="23"/>
        <v>3.1492200000000001</v>
      </c>
      <c r="H98" s="16"/>
      <c r="I98" s="16">
        <f t="shared" si="21"/>
        <v>2.45275</v>
      </c>
      <c r="J98" s="16"/>
    </row>
    <row r="99" spans="1:10">
      <c r="A99" s="20">
        <v>10</v>
      </c>
      <c r="B99" s="16"/>
      <c r="C99" s="16">
        <f t="shared" si="22"/>
        <v>-0.52486999999999995</v>
      </c>
      <c r="D99" s="16"/>
      <c r="E99" s="16"/>
      <c r="F99" s="16">
        <f>-Datasheet!I21</f>
        <v>-0.1716</v>
      </c>
      <c r="G99" s="16">
        <f t="shared" si="23"/>
        <v>3.1492200000000001</v>
      </c>
      <c r="H99" s="16"/>
      <c r="I99" s="16">
        <f t="shared" si="21"/>
        <v>2.45275</v>
      </c>
      <c r="J99" s="16"/>
    </row>
    <row r="100" spans="1:10">
      <c r="A100" s="20">
        <v>11</v>
      </c>
      <c r="B100" s="16"/>
      <c r="C100" s="16">
        <f t="shared" si="22"/>
        <v>-0.52486999999999995</v>
      </c>
      <c r="D100" s="16"/>
      <c r="E100" s="16"/>
      <c r="F100" s="16">
        <f>-Datasheet!I21</f>
        <v>-0.1716</v>
      </c>
      <c r="G100" s="16">
        <f t="shared" si="23"/>
        <v>3.1492200000000001</v>
      </c>
      <c r="H100" s="16"/>
      <c r="I100" s="16">
        <f t="shared" si="21"/>
        <v>2.45275</v>
      </c>
      <c r="J100" s="16"/>
    </row>
    <row r="101" spans="1:10">
      <c r="A101" s="20">
        <v>12</v>
      </c>
      <c r="B101" s="16"/>
      <c r="C101" s="16">
        <f t="shared" si="22"/>
        <v>-0.52486999999999995</v>
      </c>
      <c r="D101" s="16"/>
      <c r="E101" s="16"/>
      <c r="F101" s="16">
        <f>-Datasheet!I21</f>
        <v>-0.1716</v>
      </c>
      <c r="G101" s="16">
        <f t="shared" si="23"/>
        <v>3.1492200000000001</v>
      </c>
      <c r="H101" s="16"/>
      <c r="I101" s="16">
        <f t="shared" si="21"/>
        <v>2.45275</v>
      </c>
      <c r="J101" s="16"/>
    </row>
    <row r="102" spans="1:10">
      <c r="A102" s="20">
        <v>13</v>
      </c>
      <c r="B102" s="16"/>
      <c r="C102" s="16">
        <f t="shared" si="22"/>
        <v>-0.52486999999999995</v>
      </c>
      <c r="D102" s="16"/>
      <c r="E102" s="16"/>
      <c r="F102" s="16">
        <f>-Datasheet!I21</f>
        <v>-0.1716</v>
      </c>
      <c r="G102" s="16">
        <f t="shared" si="23"/>
        <v>3.1492200000000001</v>
      </c>
      <c r="H102" s="16"/>
      <c r="I102" s="16">
        <f t="shared" si="21"/>
        <v>2.45275</v>
      </c>
      <c r="J102" s="16"/>
    </row>
    <row r="103" spans="1:10">
      <c r="A103" s="20">
        <v>14</v>
      </c>
      <c r="B103" s="16"/>
      <c r="C103" s="16">
        <f t="shared" si="22"/>
        <v>-0.52486999999999995</v>
      </c>
      <c r="D103" s="16"/>
      <c r="E103" s="16"/>
      <c r="F103" s="16">
        <f>-Datasheet!I21</f>
        <v>-0.1716</v>
      </c>
      <c r="G103" s="16">
        <f t="shared" si="23"/>
        <v>3.1492200000000001</v>
      </c>
      <c r="H103" s="16"/>
      <c r="I103" s="16">
        <f t="shared" si="21"/>
        <v>2.45275</v>
      </c>
      <c r="J103" s="16"/>
    </row>
    <row r="104" spans="1:10">
      <c r="A104" s="20">
        <v>15</v>
      </c>
      <c r="B104" s="16"/>
      <c r="C104" s="16">
        <f t="shared" si="22"/>
        <v>-0.52486999999999995</v>
      </c>
      <c r="D104" s="16"/>
      <c r="E104" s="16"/>
      <c r="F104" s="16">
        <f>-Datasheet!I21</f>
        <v>-0.1716</v>
      </c>
      <c r="G104" s="16">
        <f t="shared" si="23"/>
        <v>3.1492200000000001</v>
      </c>
      <c r="H104" s="16"/>
      <c r="I104" s="16">
        <f>B104+C104+D104+E104+F104+G104</f>
        <v>2.45275</v>
      </c>
      <c r="J104" s="16"/>
    </row>
    <row r="105" spans="1:10">
      <c r="A105" s="20">
        <v>16</v>
      </c>
      <c r="B105" s="16"/>
      <c r="C105" s="16">
        <f t="shared" si="22"/>
        <v>-0.52486999999999995</v>
      </c>
      <c r="D105" s="16">
        <f>-Datasheet!I16</f>
        <v>-0.31492199999999998</v>
      </c>
      <c r="E105" s="16"/>
      <c r="F105" s="16">
        <f>-Datasheet!I21</f>
        <v>-0.1716</v>
      </c>
      <c r="G105" s="16">
        <f t="shared" si="23"/>
        <v>3.1492200000000001</v>
      </c>
      <c r="H105" s="16"/>
      <c r="I105" s="16">
        <f t="shared" si="21"/>
        <v>2.1378280000000003</v>
      </c>
      <c r="J105" s="16"/>
    </row>
    <row r="106" spans="1:10">
      <c r="A106" s="20">
        <v>17</v>
      </c>
      <c r="B106" s="16"/>
      <c r="C106" s="16">
        <f t="shared" si="22"/>
        <v>-0.52486999999999995</v>
      </c>
      <c r="D106" s="16"/>
      <c r="E106" s="16"/>
      <c r="F106" s="16">
        <f>-Datasheet!I21</f>
        <v>-0.1716</v>
      </c>
      <c r="G106" s="16">
        <f t="shared" si="23"/>
        <v>3.1492200000000001</v>
      </c>
      <c r="H106" s="16"/>
      <c r="I106" s="16">
        <f t="shared" si="21"/>
        <v>2.45275</v>
      </c>
      <c r="J106" s="16"/>
    </row>
    <row r="107" spans="1:10">
      <c r="A107" s="20">
        <v>18</v>
      </c>
      <c r="B107" s="16"/>
      <c r="C107" s="16">
        <f t="shared" si="22"/>
        <v>-0.52486999999999995</v>
      </c>
      <c r="D107" s="16"/>
      <c r="E107" s="16"/>
      <c r="F107" s="16">
        <f>-Datasheet!I21</f>
        <v>-0.1716</v>
      </c>
      <c r="G107" s="16">
        <f t="shared" si="23"/>
        <v>3.1492200000000001</v>
      </c>
      <c r="H107" s="16"/>
      <c r="I107" s="16">
        <f t="shared" si="21"/>
        <v>2.45275</v>
      </c>
      <c r="J107" s="16"/>
    </row>
    <row r="108" spans="1:10">
      <c r="A108" s="20">
        <v>19</v>
      </c>
      <c r="B108" s="16"/>
      <c r="C108" s="16">
        <f t="shared" si="22"/>
        <v>-0.52486999999999995</v>
      </c>
      <c r="D108" s="16"/>
      <c r="E108" s="16"/>
      <c r="F108" s="16">
        <f>-Datasheet!I21</f>
        <v>-0.1716</v>
      </c>
      <c r="G108" s="16">
        <f t="shared" si="23"/>
        <v>3.1492200000000001</v>
      </c>
      <c r="H108" s="16"/>
      <c r="I108" s="16">
        <f t="shared" si="21"/>
        <v>2.45275</v>
      </c>
      <c r="J108" s="16"/>
    </row>
    <row r="109" spans="1:10">
      <c r="A109" s="20">
        <v>20</v>
      </c>
      <c r="B109" s="16"/>
      <c r="C109" s="16">
        <f t="shared" si="22"/>
        <v>-0.52486999999999995</v>
      </c>
      <c r="D109" s="16"/>
      <c r="E109" s="16"/>
      <c r="F109" s="16">
        <f>-Datasheet!I22</f>
        <v>-3.1716000000000002</v>
      </c>
      <c r="G109" s="16">
        <f t="shared" si="23"/>
        <v>3.1492200000000001</v>
      </c>
      <c r="H109" s="16">
        <f>Datasheet!I25</f>
        <v>0.30283538353801265</v>
      </c>
      <c r="I109" s="16">
        <f t="shared" si="21"/>
        <v>-0.54725000000000001</v>
      </c>
      <c r="J109" s="16"/>
    </row>
    <row r="110" spans="1:10">
      <c r="G110" s="34" t="s">
        <v>52</v>
      </c>
      <c r="H110" s="34"/>
      <c r="I110" s="21">
        <f>I89+NPV(0.07,I90:I109)</f>
        <v>3.6622593993792556</v>
      </c>
      <c r="J110" s="21"/>
    </row>
    <row r="111" spans="1:10">
      <c r="G111" s="34" t="s">
        <v>53</v>
      </c>
      <c r="H111" s="34"/>
      <c r="I111" s="24">
        <f>IRR(I89:I109)</f>
        <v>9.5436981315446534E-2</v>
      </c>
    </row>
    <row r="112" spans="1:10">
      <c r="G112" s="34" t="s">
        <v>55</v>
      </c>
      <c r="H112" s="34"/>
      <c r="I112" s="37">
        <f>-U26/T26</f>
        <v>1.1259407226964759</v>
      </c>
    </row>
  </sheetData>
  <mergeCells count="9">
    <mergeCell ref="V2:W2"/>
    <mergeCell ref="A3:I3"/>
    <mergeCell ref="A31:I31"/>
    <mergeCell ref="A59:I59"/>
    <mergeCell ref="A87:I87"/>
    <mergeCell ref="K1:N1"/>
    <mergeCell ref="P2:Q2"/>
    <mergeCell ref="R2:S2"/>
    <mergeCell ref="T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1"/>
  <sheetViews>
    <sheetView workbookViewId="0"/>
  </sheetViews>
  <sheetFormatPr defaultRowHeight="15"/>
  <cols>
    <col min="1" max="1" width="9.140625" style="1"/>
    <col min="2" max="2" width="15.7109375" customWidth="1"/>
    <col min="3" max="3" width="13" customWidth="1"/>
    <col min="4" max="4" width="17.28515625" customWidth="1"/>
    <col min="5" max="5" width="15.42578125" customWidth="1"/>
    <col min="6" max="7" width="14.7109375" customWidth="1"/>
    <col min="8" max="8" width="12.42578125" customWidth="1"/>
    <col min="9" max="9" width="14" customWidth="1"/>
    <col min="10" max="10" width="9.140625" customWidth="1"/>
    <col min="11" max="11" width="14" customWidth="1"/>
    <col min="12" max="12" width="19.7109375" customWidth="1"/>
    <col min="13" max="13" width="15.7109375" customWidth="1"/>
  </cols>
  <sheetData>
    <row r="1" spans="1:14">
      <c r="A1" s="40"/>
      <c r="B1" s="59" t="s">
        <v>66</v>
      </c>
      <c r="C1" s="59"/>
      <c r="D1" s="42"/>
      <c r="E1">
        <v>0.38</v>
      </c>
      <c r="F1">
        <f>0.07*(1-E1)</f>
        <v>4.3400000000000001E-2</v>
      </c>
      <c r="H1" s="62" t="s">
        <v>67</v>
      </c>
      <c r="I1" s="62"/>
      <c r="J1" s="62"/>
      <c r="K1" s="62"/>
    </row>
    <row r="3" spans="1:14">
      <c r="A3" s="40"/>
      <c r="B3" s="59" t="s">
        <v>38</v>
      </c>
      <c r="C3" s="59"/>
      <c r="D3" s="42"/>
      <c r="E3" s="59" t="s">
        <v>37</v>
      </c>
      <c r="F3" s="59"/>
      <c r="G3" s="42"/>
      <c r="H3" s="59" t="s">
        <v>36</v>
      </c>
      <c r="I3" s="59"/>
      <c r="J3" s="42"/>
      <c r="K3" s="59" t="s">
        <v>39</v>
      </c>
      <c r="L3" s="59"/>
    </row>
    <row r="4" spans="1:14">
      <c r="A4" s="39" t="s">
        <v>41</v>
      </c>
      <c r="B4" s="39" t="s">
        <v>68</v>
      </c>
      <c r="C4" s="39" t="s">
        <v>69</v>
      </c>
      <c r="D4" s="42"/>
      <c r="E4" s="39" t="s">
        <v>68</v>
      </c>
      <c r="F4" s="39" t="s">
        <v>69</v>
      </c>
      <c r="G4" s="42"/>
      <c r="H4" s="39" t="s">
        <v>68</v>
      </c>
      <c r="I4" s="39" t="s">
        <v>69</v>
      </c>
      <c r="J4" s="42"/>
      <c r="K4" s="39" t="s">
        <v>68</v>
      </c>
      <c r="L4" s="39" t="s">
        <v>69</v>
      </c>
      <c r="N4" s="16"/>
    </row>
    <row r="5" spans="1:14">
      <c r="A5" s="40">
        <v>0</v>
      </c>
      <c r="B5" s="16"/>
      <c r="C5" s="16">
        <f>Datasheet!C14</f>
        <v>22.4972636</v>
      </c>
      <c r="D5" s="16"/>
      <c r="E5" s="16"/>
      <c r="F5" s="16">
        <f>Datasheet!E14</f>
        <v>16.5</v>
      </c>
      <c r="G5" s="16"/>
      <c r="H5" s="16"/>
      <c r="I5" s="16">
        <f>Datasheet!G14</f>
        <v>21.247620000000001</v>
      </c>
      <c r="J5" s="16"/>
      <c r="K5" s="16"/>
      <c r="L5" s="16">
        <f>Datasheet!I14</f>
        <v>18.5016675</v>
      </c>
      <c r="N5" s="16"/>
    </row>
    <row r="6" spans="1:14">
      <c r="A6" s="40">
        <v>1</v>
      </c>
      <c r="B6" s="16">
        <f>50%*5%*C5</f>
        <v>0.56243158999999998</v>
      </c>
      <c r="C6" s="16">
        <f>C5-B6</f>
        <v>21.934832010000001</v>
      </c>
      <c r="D6" s="16"/>
      <c r="E6" s="16">
        <f>50%*6%*F5</f>
        <v>0.495</v>
      </c>
      <c r="F6" s="16">
        <f>F5-E6</f>
        <v>16.004999999999999</v>
      </c>
      <c r="G6" s="16"/>
      <c r="H6" s="16">
        <f>50%*6%*I5</f>
        <v>0.63742860000000001</v>
      </c>
      <c r="I6" s="16">
        <f>I5-H6</f>
        <v>20.610191400000001</v>
      </c>
      <c r="J6" s="16"/>
      <c r="K6" s="16">
        <f>50%*6%*L5</f>
        <v>0.555050025</v>
      </c>
      <c r="L6" s="16">
        <f>L5-K6</f>
        <v>17.946617475</v>
      </c>
      <c r="N6" s="16"/>
    </row>
    <row r="7" spans="1:14">
      <c r="A7" s="40">
        <v>2</v>
      </c>
      <c r="B7" s="16">
        <f>5%*C6</f>
        <v>1.0967416005000001</v>
      </c>
      <c r="C7" s="16">
        <f t="shared" ref="C7:C25" si="0">C6-B7</f>
        <v>20.838090409500001</v>
      </c>
      <c r="D7" s="16"/>
      <c r="E7" s="16">
        <f>6%*F6</f>
        <v>0.96029999999999993</v>
      </c>
      <c r="F7" s="16">
        <f t="shared" ref="F7:F25" si="1">F6-E7</f>
        <v>15.044699999999999</v>
      </c>
      <c r="G7" s="16"/>
      <c r="H7" s="16">
        <f>6%*I6</f>
        <v>1.236611484</v>
      </c>
      <c r="I7" s="16">
        <f t="shared" ref="I7:I25" si="2">I6-H7</f>
        <v>19.373579916000001</v>
      </c>
      <c r="J7" s="16"/>
      <c r="K7" s="16">
        <f>6%*L6</f>
        <v>1.0767970485</v>
      </c>
      <c r="L7" s="16">
        <f t="shared" ref="L7:L25" si="3">L6-K7</f>
        <v>16.869820426499999</v>
      </c>
      <c r="N7" s="16"/>
    </row>
    <row r="8" spans="1:14">
      <c r="A8" s="40">
        <v>3</v>
      </c>
      <c r="B8" s="16">
        <f t="shared" ref="B8:B25" si="4">5%*C7</f>
        <v>1.0419045204750002</v>
      </c>
      <c r="C8" s="16">
        <f t="shared" si="0"/>
        <v>19.796185889025001</v>
      </c>
      <c r="D8" s="16"/>
      <c r="E8" s="16">
        <f t="shared" ref="E8:E25" si="5">6%*F7</f>
        <v>0.90268199999999987</v>
      </c>
      <c r="F8" s="16">
        <f t="shared" si="1"/>
        <v>14.142017999999998</v>
      </c>
      <c r="G8" s="16"/>
      <c r="H8" s="16">
        <f t="shared" ref="H8:H25" si="6">6%*I7</f>
        <v>1.1624147949599999</v>
      </c>
      <c r="I8" s="16">
        <f t="shared" si="2"/>
        <v>18.211165121040001</v>
      </c>
      <c r="J8" s="16"/>
      <c r="K8" s="16">
        <f t="shared" ref="K8:K25" si="7">6%*L7</f>
        <v>1.0121892255899998</v>
      </c>
      <c r="L8" s="16">
        <f t="shared" si="3"/>
        <v>15.857631200909999</v>
      </c>
      <c r="N8" s="16"/>
    </row>
    <row r="9" spans="1:14">
      <c r="A9" s="40">
        <v>4</v>
      </c>
      <c r="B9" s="16">
        <f t="shared" si="4"/>
        <v>0.9898092944512501</v>
      </c>
      <c r="C9" s="16">
        <f t="shared" si="0"/>
        <v>18.806376594573752</v>
      </c>
      <c r="D9" s="16"/>
      <c r="E9" s="16">
        <f t="shared" si="5"/>
        <v>0.84852107999999993</v>
      </c>
      <c r="F9" s="16">
        <f t="shared" si="1"/>
        <v>13.293496919999999</v>
      </c>
      <c r="G9" s="16"/>
      <c r="H9" s="16">
        <f t="shared" si="6"/>
        <v>1.0926699072624</v>
      </c>
      <c r="I9" s="16">
        <f t="shared" si="2"/>
        <v>17.118495213777599</v>
      </c>
      <c r="J9" s="16"/>
      <c r="K9" s="16">
        <f t="shared" si="7"/>
        <v>0.95145787205459997</v>
      </c>
      <c r="L9" s="16">
        <f t="shared" si="3"/>
        <v>14.906173328855399</v>
      </c>
      <c r="N9" s="16"/>
    </row>
    <row r="10" spans="1:14">
      <c r="A10" s="40">
        <v>5</v>
      </c>
      <c r="B10" s="16">
        <f t="shared" si="4"/>
        <v>0.94031882972868763</v>
      </c>
      <c r="C10" s="16">
        <f t="shared" si="0"/>
        <v>17.866057764845063</v>
      </c>
      <c r="D10" s="16"/>
      <c r="E10" s="16">
        <f t="shared" si="5"/>
        <v>0.79760981519999996</v>
      </c>
      <c r="F10" s="16">
        <f t="shared" si="1"/>
        <v>12.4958871048</v>
      </c>
      <c r="G10" s="16"/>
      <c r="H10" s="16">
        <f t="shared" si="6"/>
        <v>1.027109712826656</v>
      </c>
      <c r="I10" s="16">
        <f t="shared" si="2"/>
        <v>16.091385500950942</v>
      </c>
      <c r="J10" s="16"/>
      <c r="K10" s="16">
        <f t="shared" si="7"/>
        <v>0.89437039973132393</v>
      </c>
      <c r="L10" s="16">
        <f t="shared" si="3"/>
        <v>14.011802929124075</v>
      </c>
      <c r="N10" s="16"/>
    </row>
    <row r="11" spans="1:14">
      <c r="A11" s="40">
        <v>6</v>
      </c>
      <c r="B11" s="16">
        <f t="shared" si="4"/>
        <v>0.89330288824225323</v>
      </c>
      <c r="C11" s="16">
        <f t="shared" si="0"/>
        <v>16.97275487660281</v>
      </c>
      <c r="D11" s="16"/>
      <c r="E11" s="16">
        <f t="shared" si="5"/>
        <v>0.7497532262879999</v>
      </c>
      <c r="F11" s="16">
        <f t="shared" si="1"/>
        <v>11.746133878512</v>
      </c>
      <c r="G11" s="16"/>
      <c r="H11" s="16">
        <f t="shared" si="6"/>
        <v>0.96548313005705644</v>
      </c>
      <c r="I11" s="16">
        <f t="shared" si="2"/>
        <v>15.125902370893886</v>
      </c>
      <c r="J11" s="16"/>
      <c r="K11" s="16">
        <f t="shared" si="7"/>
        <v>0.8407081757474445</v>
      </c>
      <c r="L11" s="16">
        <f t="shared" si="3"/>
        <v>13.17109475337663</v>
      </c>
      <c r="N11" s="16"/>
    </row>
    <row r="12" spans="1:14">
      <c r="A12" s="40">
        <v>7</v>
      </c>
      <c r="B12" s="16">
        <f t="shared" si="4"/>
        <v>0.84863774383014057</v>
      </c>
      <c r="C12" s="16">
        <f t="shared" si="0"/>
        <v>16.124117132772671</v>
      </c>
      <c r="D12" s="16"/>
      <c r="E12" s="16">
        <f t="shared" si="5"/>
        <v>0.70476803271071997</v>
      </c>
      <c r="F12" s="16">
        <f t="shared" si="1"/>
        <v>11.04136584580128</v>
      </c>
      <c r="G12" s="16"/>
      <c r="H12" s="16">
        <f t="shared" si="6"/>
        <v>0.90755414225363318</v>
      </c>
      <c r="I12" s="16">
        <f t="shared" si="2"/>
        <v>14.218348228640252</v>
      </c>
      <c r="J12" s="16"/>
      <c r="K12" s="16">
        <f t="shared" si="7"/>
        <v>0.79026568520259777</v>
      </c>
      <c r="L12" s="16">
        <f t="shared" si="3"/>
        <v>12.380829068174032</v>
      </c>
      <c r="N12" s="16"/>
    </row>
    <row r="13" spans="1:14">
      <c r="A13" s="40">
        <v>8</v>
      </c>
      <c r="B13" s="16">
        <f t="shared" si="4"/>
        <v>0.80620585663863364</v>
      </c>
      <c r="C13" s="16">
        <f t="shared" si="0"/>
        <v>15.317911276134037</v>
      </c>
      <c r="D13" s="16"/>
      <c r="E13" s="16">
        <f t="shared" si="5"/>
        <v>0.66248195074807681</v>
      </c>
      <c r="F13" s="16">
        <f t="shared" si="1"/>
        <v>10.378883895053203</v>
      </c>
      <c r="G13" s="16"/>
      <c r="H13" s="16">
        <f t="shared" si="6"/>
        <v>0.85310089371841513</v>
      </c>
      <c r="I13" s="16">
        <f t="shared" si="2"/>
        <v>13.365247334921838</v>
      </c>
      <c r="J13" s="16"/>
      <c r="K13" s="16">
        <f t="shared" si="7"/>
        <v>0.74284974409044191</v>
      </c>
      <c r="L13" s="16">
        <f t="shared" si="3"/>
        <v>11.63797932408359</v>
      </c>
      <c r="N13" s="16"/>
    </row>
    <row r="14" spans="1:14">
      <c r="A14" s="40">
        <v>9</v>
      </c>
      <c r="B14" s="16">
        <f t="shared" si="4"/>
        <v>0.76589556380670187</v>
      </c>
      <c r="C14" s="16">
        <f t="shared" si="0"/>
        <v>14.552015712327336</v>
      </c>
      <c r="D14" s="16"/>
      <c r="E14" s="16">
        <f t="shared" si="5"/>
        <v>0.62273303370319222</v>
      </c>
      <c r="F14" s="16">
        <f t="shared" si="1"/>
        <v>9.7561508613500116</v>
      </c>
      <c r="G14" s="16"/>
      <c r="H14" s="16">
        <f t="shared" si="6"/>
        <v>0.80191484009531022</v>
      </c>
      <c r="I14" s="16">
        <f t="shared" si="2"/>
        <v>12.563332494826527</v>
      </c>
      <c r="J14" s="16"/>
      <c r="K14" s="16">
        <f t="shared" si="7"/>
        <v>0.69827875944501538</v>
      </c>
      <c r="L14" s="16">
        <f t="shared" si="3"/>
        <v>10.939700564638574</v>
      </c>
      <c r="N14" s="16"/>
    </row>
    <row r="15" spans="1:14">
      <c r="A15" s="40">
        <v>10</v>
      </c>
      <c r="B15" s="16">
        <f t="shared" si="4"/>
        <v>0.72760078561636687</v>
      </c>
      <c r="C15" s="16">
        <f t="shared" si="0"/>
        <v>13.824414926710968</v>
      </c>
      <c r="D15" s="16"/>
      <c r="E15" s="16">
        <f t="shared" si="5"/>
        <v>0.58536905168100073</v>
      </c>
      <c r="F15" s="16">
        <f t="shared" si="1"/>
        <v>9.1707818096690108</v>
      </c>
      <c r="G15" s="16"/>
      <c r="H15" s="16">
        <f t="shared" si="6"/>
        <v>0.75379994968959163</v>
      </c>
      <c r="I15" s="16">
        <f t="shared" si="2"/>
        <v>11.809532545136936</v>
      </c>
      <c r="J15" s="16"/>
      <c r="K15" s="16">
        <f t="shared" si="7"/>
        <v>0.6563820338783144</v>
      </c>
      <c r="L15" s="16">
        <f t="shared" si="3"/>
        <v>10.28331853076026</v>
      </c>
      <c r="N15" s="16"/>
    </row>
    <row r="16" spans="1:14">
      <c r="A16" s="40">
        <v>11</v>
      </c>
      <c r="B16" s="16">
        <f t="shared" si="4"/>
        <v>0.69122074633554842</v>
      </c>
      <c r="C16" s="16">
        <f t="shared" si="0"/>
        <v>13.133194180375419</v>
      </c>
      <c r="D16" s="16"/>
      <c r="E16" s="16">
        <f t="shared" si="5"/>
        <v>0.55024690858014058</v>
      </c>
      <c r="F16" s="16">
        <f t="shared" si="1"/>
        <v>8.6205349010888703</v>
      </c>
      <c r="G16" s="16"/>
      <c r="H16" s="16">
        <f t="shared" si="6"/>
        <v>0.70857195270821616</v>
      </c>
      <c r="I16" s="16">
        <f t="shared" si="2"/>
        <v>11.10096059242872</v>
      </c>
      <c r="J16" s="16"/>
      <c r="K16" s="16">
        <f t="shared" si="7"/>
        <v>0.61699911184561562</v>
      </c>
      <c r="L16" s="16">
        <f t="shared" si="3"/>
        <v>9.6663194189146449</v>
      </c>
      <c r="N16" s="16"/>
    </row>
    <row r="17" spans="1:20">
      <c r="A17" s="40">
        <v>12</v>
      </c>
      <c r="B17" s="16">
        <f t="shared" si="4"/>
        <v>0.65665970901877102</v>
      </c>
      <c r="C17" s="16">
        <f t="shared" si="0"/>
        <v>12.476534471356649</v>
      </c>
      <c r="D17" s="16"/>
      <c r="E17" s="16">
        <f t="shared" si="5"/>
        <v>0.51723209406533222</v>
      </c>
      <c r="F17" s="16">
        <f t="shared" si="1"/>
        <v>8.1033028070235389</v>
      </c>
      <c r="G17" s="16"/>
      <c r="H17" s="16">
        <f t="shared" si="6"/>
        <v>0.66605763554572317</v>
      </c>
      <c r="I17" s="16">
        <f t="shared" si="2"/>
        <v>10.434902956882997</v>
      </c>
      <c r="J17" s="16"/>
      <c r="K17" s="16">
        <f t="shared" si="7"/>
        <v>0.57997916513487868</v>
      </c>
      <c r="L17" s="16">
        <f t="shared" si="3"/>
        <v>9.0863402537797668</v>
      </c>
      <c r="N17" s="16"/>
    </row>
    <row r="18" spans="1:20">
      <c r="A18" s="40">
        <v>13</v>
      </c>
      <c r="B18" s="16">
        <f t="shared" si="4"/>
        <v>0.62382672356783253</v>
      </c>
      <c r="C18" s="16">
        <f t="shared" si="0"/>
        <v>11.852707747788816</v>
      </c>
      <c r="D18" s="16"/>
      <c r="E18" s="16">
        <f t="shared" si="5"/>
        <v>0.48619816842141234</v>
      </c>
      <c r="F18" s="16">
        <f t="shared" si="1"/>
        <v>7.6171046386021262</v>
      </c>
      <c r="G18" s="16"/>
      <c r="H18" s="16">
        <f t="shared" si="6"/>
        <v>0.62609417741297979</v>
      </c>
      <c r="I18" s="16">
        <f t="shared" si="2"/>
        <v>9.8088087794700165</v>
      </c>
      <c r="J18" s="16"/>
      <c r="K18" s="16">
        <f t="shared" si="7"/>
        <v>0.54518041522678595</v>
      </c>
      <c r="L18" s="16">
        <f t="shared" si="3"/>
        <v>8.5411598385529803</v>
      </c>
      <c r="N18" s="16"/>
    </row>
    <row r="19" spans="1:20">
      <c r="A19" s="40">
        <v>14</v>
      </c>
      <c r="B19" s="16">
        <f t="shared" si="4"/>
        <v>0.59263538738944088</v>
      </c>
      <c r="C19" s="16">
        <f t="shared" si="0"/>
        <v>11.260072360399375</v>
      </c>
      <c r="D19" s="16"/>
      <c r="E19" s="16">
        <f t="shared" si="5"/>
        <v>0.45702627831612758</v>
      </c>
      <c r="F19" s="16">
        <f t="shared" si="1"/>
        <v>7.1600783602859988</v>
      </c>
      <c r="G19" s="16"/>
      <c r="H19" s="16">
        <f t="shared" si="6"/>
        <v>0.588528526768201</v>
      </c>
      <c r="I19" s="16">
        <f t="shared" si="2"/>
        <v>9.2202802527018157</v>
      </c>
      <c r="J19" s="16"/>
      <c r="K19" s="16">
        <f t="shared" si="7"/>
        <v>0.51246959031317885</v>
      </c>
      <c r="L19" s="16">
        <f t="shared" si="3"/>
        <v>8.0286902482398013</v>
      </c>
      <c r="N19" s="16"/>
    </row>
    <row r="20" spans="1:20">
      <c r="A20" s="40">
        <v>15</v>
      </c>
      <c r="B20" s="16">
        <f t="shared" si="4"/>
        <v>0.56300361801996879</v>
      </c>
      <c r="C20" s="16">
        <f t="shared" si="0"/>
        <v>10.697068742379406</v>
      </c>
      <c r="D20" s="16"/>
      <c r="E20" s="16">
        <f t="shared" si="5"/>
        <v>0.42960470161715991</v>
      </c>
      <c r="F20" s="16">
        <f t="shared" si="1"/>
        <v>6.7304736586688385</v>
      </c>
      <c r="G20" s="16"/>
      <c r="H20" s="16">
        <f t="shared" si="6"/>
        <v>0.55321681516210897</v>
      </c>
      <c r="I20" s="16">
        <f t="shared" si="2"/>
        <v>8.6670634375397064</v>
      </c>
      <c r="J20" s="16"/>
      <c r="K20" s="16">
        <f t="shared" si="7"/>
        <v>0.48172141489438808</v>
      </c>
      <c r="L20" s="16">
        <f t="shared" si="3"/>
        <v>7.5469688333454128</v>
      </c>
      <c r="N20" s="16"/>
    </row>
    <row r="21" spans="1:20">
      <c r="A21" s="40">
        <v>16</v>
      </c>
      <c r="B21" s="16">
        <f t="shared" si="4"/>
        <v>0.53485343711897027</v>
      </c>
      <c r="C21" s="16">
        <f t="shared" si="0"/>
        <v>10.162215305260435</v>
      </c>
      <c r="D21" s="16"/>
      <c r="E21" s="16">
        <f t="shared" si="5"/>
        <v>0.40382841952013032</v>
      </c>
      <c r="F21" s="16">
        <f t="shared" si="1"/>
        <v>6.326645239148708</v>
      </c>
      <c r="G21" s="16"/>
      <c r="H21" s="16">
        <f t="shared" si="6"/>
        <v>0.52002380625238231</v>
      </c>
      <c r="I21" s="16">
        <f t="shared" si="2"/>
        <v>8.1470396312873241</v>
      </c>
      <c r="J21" s="16"/>
      <c r="K21" s="16">
        <f t="shared" si="7"/>
        <v>0.45281813000072474</v>
      </c>
      <c r="L21" s="16">
        <f t="shared" si="3"/>
        <v>7.0941507033446882</v>
      </c>
      <c r="N21" s="16"/>
    </row>
    <row r="22" spans="1:20">
      <c r="A22" s="40">
        <v>17</v>
      </c>
      <c r="B22" s="16">
        <f t="shared" si="4"/>
        <v>0.50811076526302179</v>
      </c>
      <c r="C22" s="16">
        <f t="shared" si="0"/>
        <v>9.6541045399974141</v>
      </c>
      <c r="D22" s="16"/>
      <c r="E22" s="16">
        <f t="shared" si="5"/>
        <v>0.37959871434892245</v>
      </c>
      <c r="F22" s="16">
        <f t="shared" si="1"/>
        <v>5.9470465247997852</v>
      </c>
      <c r="G22" s="16"/>
      <c r="H22" s="16">
        <f t="shared" si="6"/>
        <v>0.48882237787723942</v>
      </c>
      <c r="I22" s="16">
        <f t="shared" si="2"/>
        <v>7.6582172534100845</v>
      </c>
      <c r="J22" s="16"/>
      <c r="K22" s="16">
        <f t="shared" si="7"/>
        <v>0.42564904220068128</v>
      </c>
      <c r="L22" s="16">
        <f t="shared" si="3"/>
        <v>6.6685016611440071</v>
      </c>
      <c r="N22" s="16"/>
    </row>
    <row r="23" spans="1:20">
      <c r="A23" s="40">
        <v>18</v>
      </c>
      <c r="B23" s="16">
        <f t="shared" si="4"/>
        <v>0.48270522699987073</v>
      </c>
      <c r="C23" s="16">
        <f t="shared" si="0"/>
        <v>9.1713993129975435</v>
      </c>
      <c r="D23" s="16"/>
      <c r="E23" s="16">
        <f t="shared" si="5"/>
        <v>0.35682279148798712</v>
      </c>
      <c r="F23" s="16">
        <f t="shared" si="1"/>
        <v>5.5902237333117979</v>
      </c>
      <c r="G23" s="16"/>
      <c r="H23" s="16">
        <f t="shared" si="6"/>
        <v>0.45949303520460505</v>
      </c>
      <c r="I23" s="16">
        <f t="shared" si="2"/>
        <v>7.1987242182054798</v>
      </c>
      <c r="J23" s="16"/>
      <c r="K23" s="16">
        <f t="shared" si="7"/>
        <v>0.40011009966864042</v>
      </c>
      <c r="L23" s="16">
        <f t="shared" si="3"/>
        <v>6.2683915614753669</v>
      </c>
      <c r="N23" s="16"/>
    </row>
    <row r="24" spans="1:20">
      <c r="A24" s="40">
        <v>19</v>
      </c>
      <c r="B24" s="16">
        <f t="shared" si="4"/>
        <v>0.45856996564987718</v>
      </c>
      <c r="C24" s="16">
        <f t="shared" si="0"/>
        <v>8.7128293473476663</v>
      </c>
      <c r="D24" s="16"/>
      <c r="E24" s="16">
        <f t="shared" si="5"/>
        <v>0.33541342399870788</v>
      </c>
      <c r="F24" s="16">
        <f t="shared" si="1"/>
        <v>5.2548103093130898</v>
      </c>
      <c r="G24" s="16"/>
      <c r="H24" s="16">
        <f t="shared" si="6"/>
        <v>0.43192345309232877</v>
      </c>
      <c r="I24" s="16">
        <f t="shared" si="2"/>
        <v>6.7668007651131514</v>
      </c>
      <c r="J24" s="16"/>
      <c r="K24" s="16">
        <f t="shared" si="7"/>
        <v>0.37610349368852203</v>
      </c>
      <c r="L24" s="16">
        <f t="shared" si="3"/>
        <v>5.8922880677868452</v>
      </c>
      <c r="N24" s="16"/>
    </row>
    <row r="25" spans="1:20">
      <c r="A25" s="40">
        <v>20</v>
      </c>
      <c r="B25" s="16">
        <f t="shared" si="4"/>
        <v>0.43564146736738335</v>
      </c>
      <c r="C25" s="16">
        <f t="shared" si="0"/>
        <v>8.2771878799802838</v>
      </c>
      <c r="D25" s="16"/>
      <c r="E25" s="16">
        <f t="shared" si="5"/>
        <v>0.31528861855878537</v>
      </c>
      <c r="F25" s="16">
        <f t="shared" si="1"/>
        <v>4.9395216907543045</v>
      </c>
      <c r="G25" s="16"/>
      <c r="H25" s="16">
        <f t="shared" si="6"/>
        <v>0.40600804590678907</v>
      </c>
      <c r="I25" s="16">
        <f t="shared" si="2"/>
        <v>6.360792719206362</v>
      </c>
      <c r="J25" s="16"/>
      <c r="K25" s="16">
        <f t="shared" si="7"/>
        <v>0.35353728406721069</v>
      </c>
      <c r="L25" s="16">
        <f t="shared" si="3"/>
        <v>5.5387507837196344</v>
      </c>
      <c r="N25" s="16"/>
    </row>
    <row r="26" spans="1:20">
      <c r="B26" s="16"/>
    </row>
    <row r="30" spans="1:20">
      <c r="A30" s="60" t="s">
        <v>90</v>
      </c>
      <c r="B30" s="60"/>
      <c r="C30" s="60"/>
      <c r="D30" s="60"/>
      <c r="E30" s="60"/>
      <c r="F30" s="60"/>
      <c r="H30" s="60" t="s">
        <v>91</v>
      </c>
      <c r="I30" s="60"/>
      <c r="J30" s="60"/>
      <c r="K30" s="60"/>
      <c r="L30" s="60"/>
      <c r="M30" s="60"/>
    </row>
    <row r="31" spans="1:20">
      <c r="A31" s="50" t="s">
        <v>41</v>
      </c>
      <c r="B31" s="51" t="s">
        <v>86</v>
      </c>
      <c r="C31" s="51" t="s">
        <v>68</v>
      </c>
      <c r="D31" s="51" t="s">
        <v>87</v>
      </c>
      <c r="E31" s="51" t="s">
        <v>88</v>
      </c>
      <c r="F31" s="51" t="s">
        <v>89</v>
      </c>
      <c r="G31" s="16"/>
      <c r="H31" s="50" t="s">
        <v>41</v>
      </c>
      <c r="I31" s="51" t="s">
        <v>86</v>
      </c>
      <c r="J31" s="51" t="s">
        <v>68</v>
      </c>
      <c r="K31" s="51" t="s">
        <v>87</v>
      </c>
      <c r="L31" s="51" t="s">
        <v>88</v>
      </c>
      <c r="M31" s="51" t="s">
        <v>89</v>
      </c>
      <c r="N31" s="16"/>
      <c r="O31" s="16"/>
      <c r="P31" s="16"/>
      <c r="Q31" s="16"/>
      <c r="R31" s="16"/>
      <c r="S31" s="16"/>
      <c r="T31" s="16"/>
    </row>
    <row r="32" spans="1:20">
      <c r="A32" s="41">
        <v>0</v>
      </c>
      <c r="B32" s="16">
        <f>'ECONOMIC ANALYSIS'!I5</f>
        <v>-22.4972636</v>
      </c>
      <c r="C32" s="16">
        <f>B5</f>
        <v>0</v>
      </c>
      <c r="D32" s="16"/>
      <c r="E32" s="16"/>
      <c r="F32" s="16">
        <f>B32-E32</f>
        <v>-22.4972636</v>
      </c>
      <c r="G32" s="16"/>
      <c r="H32" s="41">
        <v>0</v>
      </c>
      <c r="I32" s="16">
        <f>'ECONOMIC ANALYSIS'!I33</f>
        <v>-16.5</v>
      </c>
      <c r="J32" s="16">
        <f>E5</f>
        <v>0</v>
      </c>
      <c r="K32" s="16"/>
      <c r="L32" s="16"/>
      <c r="M32" s="16">
        <f>I32-L32</f>
        <v>-16.5</v>
      </c>
      <c r="N32" s="16"/>
      <c r="O32" s="16"/>
      <c r="P32" s="16"/>
      <c r="Q32" s="16"/>
      <c r="R32" s="16"/>
      <c r="S32" s="16"/>
      <c r="T32" s="16"/>
    </row>
    <row r="33" spans="1:20">
      <c r="A33" s="41">
        <v>1</v>
      </c>
      <c r="B33" s="16">
        <f>'ECONOMIC ANALYSIS'!I6</f>
        <v>3.2825860000000002</v>
      </c>
      <c r="C33" s="16">
        <f t="shared" ref="C33:C51" si="8">B6</f>
        <v>0.56243158999999998</v>
      </c>
      <c r="D33" s="16">
        <f>B33-C33</f>
        <v>2.7201544100000001</v>
      </c>
      <c r="E33" s="16">
        <f>38%*D33</f>
        <v>1.0336586758000001</v>
      </c>
      <c r="F33" s="16">
        <f t="shared" ref="F33:F52" si="9">B33-E33</f>
        <v>2.2489273242000003</v>
      </c>
      <c r="G33" s="16"/>
      <c r="H33" s="41">
        <v>1</v>
      </c>
      <c r="I33" s="16">
        <f>'ECONOMIC ANALYSIS'!I34</f>
        <v>2.3199000000000005</v>
      </c>
      <c r="J33" s="16">
        <f t="shared" ref="J33:J52" si="10">E6</f>
        <v>0.495</v>
      </c>
      <c r="K33" s="16">
        <f>I33-J33</f>
        <v>1.8249000000000004</v>
      </c>
      <c r="L33" s="16">
        <f>38%*K33</f>
        <v>0.69346200000000013</v>
      </c>
      <c r="M33" s="16">
        <f t="shared" ref="M33:M52" si="11">I33-L33</f>
        <v>1.6264380000000003</v>
      </c>
      <c r="N33" s="16"/>
      <c r="O33" s="16"/>
      <c r="P33" s="16"/>
      <c r="Q33" s="16"/>
      <c r="R33" s="16"/>
      <c r="S33" s="16"/>
      <c r="T33" s="16"/>
    </row>
    <row r="34" spans="1:20">
      <c r="A34" s="41">
        <v>2</v>
      </c>
      <c r="B34" s="16">
        <f>'ECONOMIC ANALYSIS'!I7</f>
        <v>3.2825860000000002</v>
      </c>
      <c r="C34" s="16">
        <f t="shared" si="8"/>
        <v>1.0967416005000001</v>
      </c>
      <c r="D34" s="16">
        <f t="shared" ref="D34:D52" si="12">B34-C34</f>
        <v>2.1858443995000001</v>
      </c>
      <c r="E34" s="16">
        <f t="shared" ref="E34:E52" si="13">38%*D34</f>
        <v>0.83062087180999999</v>
      </c>
      <c r="F34" s="16">
        <f t="shared" si="9"/>
        <v>2.4519651281900003</v>
      </c>
      <c r="G34" s="16"/>
      <c r="H34" s="41">
        <v>2</v>
      </c>
      <c r="I34" s="16">
        <f>'ECONOMIC ANALYSIS'!I35</f>
        <v>2.3199000000000005</v>
      </c>
      <c r="J34" s="16">
        <f t="shared" si="10"/>
        <v>0.96029999999999993</v>
      </c>
      <c r="K34" s="16">
        <f t="shared" ref="K34:K52" si="14">I34-J34</f>
        <v>1.3596000000000006</v>
      </c>
      <c r="L34" s="16">
        <f t="shared" ref="L34:L52" si="15">38%*K34</f>
        <v>0.51664800000000022</v>
      </c>
      <c r="M34" s="16">
        <f t="shared" si="11"/>
        <v>1.8032520000000003</v>
      </c>
      <c r="N34" s="16"/>
      <c r="O34" s="16"/>
      <c r="P34" s="16"/>
      <c r="Q34" s="16"/>
      <c r="R34" s="16"/>
      <c r="S34" s="16"/>
      <c r="T34" s="16"/>
    </row>
    <row r="35" spans="1:20">
      <c r="A35" s="41">
        <v>3</v>
      </c>
      <c r="B35" s="16">
        <f>'ECONOMIC ANALYSIS'!I8</f>
        <v>3.2825860000000002</v>
      </c>
      <c r="C35" s="16">
        <f t="shared" si="8"/>
        <v>1.0419045204750002</v>
      </c>
      <c r="D35" s="16">
        <f t="shared" si="12"/>
        <v>2.2406814795250001</v>
      </c>
      <c r="E35" s="16">
        <f t="shared" si="13"/>
        <v>0.85145896221950002</v>
      </c>
      <c r="F35" s="16">
        <f t="shared" si="9"/>
        <v>2.4311270377805001</v>
      </c>
      <c r="G35" s="16"/>
      <c r="H35" s="41">
        <v>3</v>
      </c>
      <c r="I35" s="16">
        <f>'ECONOMIC ANALYSIS'!I36</f>
        <v>2.3199000000000005</v>
      </c>
      <c r="J35" s="16">
        <f t="shared" si="10"/>
        <v>0.90268199999999987</v>
      </c>
      <c r="K35" s="16">
        <f t="shared" si="14"/>
        <v>1.4172180000000005</v>
      </c>
      <c r="L35" s="16">
        <f t="shared" si="15"/>
        <v>0.53854284000000019</v>
      </c>
      <c r="M35" s="16">
        <f t="shared" si="11"/>
        <v>1.7813571600000002</v>
      </c>
      <c r="N35" s="16"/>
      <c r="O35" s="16"/>
      <c r="P35" s="16"/>
      <c r="Q35" s="16"/>
      <c r="R35" s="16"/>
      <c r="S35" s="16"/>
      <c r="T35" s="16"/>
    </row>
    <row r="36" spans="1:20">
      <c r="A36" s="41">
        <v>4</v>
      </c>
      <c r="B36" s="16">
        <f>'ECONOMIC ANALYSIS'!I9</f>
        <v>3.2825860000000002</v>
      </c>
      <c r="C36" s="16">
        <f t="shared" si="8"/>
        <v>0.9898092944512501</v>
      </c>
      <c r="D36" s="16">
        <f t="shared" si="12"/>
        <v>2.29277670554875</v>
      </c>
      <c r="E36" s="16">
        <f t="shared" si="13"/>
        <v>0.871255148108525</v>
      </c>
      <c r="F36" s="16">
        <f t="shared" si="9"/>
        <v>2.4113308518914751</v>
      </c>
      <c r="G36" s="16"/>
      <c r="H36" s="41">
        <v>4</v>
      </c>
      <c r="I36" s="16">
        <f>'ECONOMIC ANALYSIS'!I37</f>
        <v>2.3199000000000005</v>
      </c>
      <c r="J36" s="16">
        <f t="shared" si="10"/>
        <v>0.84852107999999993</v>
      </c>
      <c r="K36" s="16">
        <f t="shared" si="14"/>
        <v>1.4713789200000007</v>
      </c>
      <c r="L36" s="16">
        <f t="shared" si="15"/>
        <v>0.55912398960000032</v>
      </c>
      <c r="M36" s="16">
        <f t="shared" si="11"/>
        <v>1.7607760104000003</v>
      </c>
      <c r="N36" s="16"/>
      <c r="O36" s="16"/>
      <c r="P36" s="16"/>
      <c r="Q36" s="16"/>
      <c r="R36" s="16"/>
      <c r="S36" s="16"/>
      <c r="T36" s="16"/>
    </row>
    <row r="37" spans="1:20">
      <c r="A37" s="41">
        <v>5</v>
      </c>
      <c r="B37" s="16">
        <f>'ECONOMIC ANALYSIS'!I10</f>
        <v>3.2825860000000002</v>
      </c>
      <c r="C37" s="16">
        <f t="shared" si="8"/>
        <v>0.94031882972868763</v>
      </c>
      <c r="D37" s="16">
        <f t="shared" si="12"/>
        <v>2.3422671702713127</v>
      </c>
      <c r="E37" s="16">
        <f t="shared" si="13"/>
        <v>0.89006152470309885</v>
      </c>
      <c r="F37" s="16">
        <f t="shared" si="9"/>
        <v>2.3925244752969013</v>
      </c>
      <c r="G37" s="16"/>
      <c r="H37" s="41">
        <v>5</v>
      </c>
      <c r="I37" s="16">
        <f>'ECONOMIC ANALYSIS'!I38</f>
        <v>2.3199000000000005</v>
      </c>
      <c r="J37" s="16">
        <f t="shared" si="10"/>
        <v>0.79760981519999996</v>
      </c>
      <c r="K37" s="16">
        <f t="shared" si="14"/>
        <v>1.5222901848000006</v>
      </c>
      <c r="L37" s="16">
        <f t="shared" si="15"/>
        <v>0.57847027022400022</v>
      </c>
      <c r="M37" s="16">
        <f t="shared" si="11"/>
        <v>1.7414297297760002</v>
      </c>
      <c r="N37" s="16"/>
      <c r="O37" s="16"/>
      <c r="P37" s="16"/>
      <c r="Q37" s="16"/>
      <c r="R37" s="16"/>
      <c r="S37" s="16"/>
      <c r="T37" s="16"/>
    </row>
    <row r="38" spans="1:20">
      <c r="A38" s="41">
        <v>6</v>
      </c>
      <c r="B38" s="16">
        <f>'ECONOMIC ANALYSIS'!I11</f>
        <v>2.381494</v>
      </c>
      <c r="C38" s="16">
        <f t="shared" si="8"/>
        <v>0.89330288824225323</v>
      </c>
      <c r="D38" s="16">
        <f t="shared" si="12"/>
        <v>1.4881911117577467</v>
      </c>
      <c r="E38" s="16">
        <f t="shared" si="13"/>
        <v>0.56551262246794376</v>
      </c>
      <c r="F38" s="16">
        <f t="shared" si="9"/>
        <v>1.8159813775320561</v>
      </c>
      <c r="G38" s="16"/>
      <c r="H38" s="41">
        <v>6</v>
      </c>
      <c r="I38" s="16">
        <f>'ECONOMIC ANALYSIS'!I39</f>
        <v>1.2804000000000002</v>
      </c>
      <c r="J38" s="16">
        <f t="shared" si="10"/>
        <v>0.7497532262879999</v>
      </c>
      <c r="K38" s="16">
        <f t="shared" si="14"/>
        <v>0.53064677371200031</v>
      </c>
      <c r="L38" s="16">
        <f t="shared" si="15"/>
        <v>0.20164577401056011</v>
      </c>
      <c r="M38" s="16">
        <f t="shared" si="11"/>
        <v>1.07875422598944</v>
      </c>
      <c r="N38" s="16"/>
      <c r="O38" s="16"/>
      <c r="P38" s="16"/>
      <c r="Q38" s="16"/>
      <c r="R38" s="16"/>
      <c r="S38" s="16"/>
      <c r="T38" s="16"/>
    </row>
    <row r="39" spans="1:20">
      <c r="A39" s="41">
        <v>7</v>
      </c>
      <c r="B39" s="16">
        <f>'ECONOMIC ANALYSIS'!I12</f>
        <v>-6.1983679255074895</v>
      </c>
      <c r="C39" s="16">
        <f t="shared" si="8"/>
        <v>0.84863774383014057</v>
      </c>
      <c r="D39" s="16">
        <f t="shared" si="12"/>
        <v>-7.0470056693376302</v>
      </c>
      <c r="E39" s="16">
        <f t="shared" si="13"/>
        <v>-2.6778621543482997</v>
      </c>
      <c r="F39" s="16">
        <f t="shared" si="9"/>
        <v>-3.5205057711591898</v>
      </c>
      <c r="G39" s="16"/>
      <c r="H39" s="41">
        <v>7</v>
      </c>
      <c r="I39" s="16">
        <f>'ECONOMIC ANALYSIS'!I40</f>
        <v>0.42370921489850222</v>
      </c>
      <c r="J39" s="16">
        <f t="shared" si="10"/>
        <v>0.70476803271071997</v>
      </c>
      <c r="K39" s="16">
        <f t="shared" si="14"/>
        <v>-0.28105881781221775</v>
      </c>
      <c r="L39" s="16">
        <f t="shared" si="15"/>
        <v>-0.10680235076864275</v>
      </c>
      <c r="M39" s="16">
        <f t="shared" si="11"/>
        <v>0.53051156566714497</v>
      </c>
      <c r="N39" s="16"/>
      <c r="O39" s="16"/>
      <c r="P39" s="16"/>
      <c r="Q39" s="16"/>
      <c r="R39" s="16"/>
      <c r="S39" s="16"/>
      <c r="T39" s="16"/>
    </row>
    <row r="40" spans="1:20">
      <c r="A40" s="41">
        <v>8</v>
      </c>
      <c r="B40" s="16">
        <f>'ECONOMIC ANALYSIS'!I13</f>
        <v>3.2825860000000002</v>
      </c>
      <c r="C40" s="16">
        <f t="shared" si="8"/>
        <v>0.80620585663863364</v>
      </c>
      <c r="D40" s="16">
        <f t="shared" si="12"/>
        <v>2.4763801433613666</v>
      </c>
      <c r="E40" s="16">
        <f t="shared" si="13"/>
        <v>0.94102445447731931</v>
      </c>
      <c r="F40" s="16">
        <f t="shared" si="9"/>
        <v>2.3415615455226808</v>
      </c>
      <c r="G40" s="16"/>
      <c r="H40" s="41">
        <v>8</v>
      </c>
      <c r="I40" s="16">
        <f>'ECONOMIC ANALYSIS'!I41</f>
        <v>2.3199000000000005</v>
      </c>
      <c r="J40" s="16">
        <f t="shared" si="10"/>
        <v>0.66248195074807681</v>
      </c>
      <c r="K40" s="16">
        <f t="shared" si="14"/>
        <v>1.6574180492519237</v>
      </c>
      <c r="L40" s="16">
        <f t="shared" si="15"/>
        <v>0.62981885871573107</v>
      </c>
      <c r="M40" s="16">
        <f t="shared" si="11"/>
        <v>1.6900811412842693</v>
      </c>
      <c r="N40" s="16"/>
      <c r="O40" s="16"/>
      <c r="P40" s="16"/>
      <c r="Q40" s="16"/>
      <c r="R40" s="16"/>
      <c r="S40" s="16"/>
      <c r="T40" s="16"/>
    </row>
    <row r="41" spans="1:20">
      <c r="A41" s="41">
        <v>9</v>
      </c>
      <c r="B41" s="16">
        <f>'ECONOMIC ANALYSIS'!I14</f>
        <v>3.2825860000000002</v>
      </c>
      <c r="C41" s="16">
        <f t="shared" si="8"/>
        <v>0.76589556380670187</v>
      </c>
      <c r="D41" s="16">
        <f t="shared" si="12"/>
        <v>2.5166904361932985</v>
      </c>
      <c r="E41" s="16">
        <f t="shared" si="13"/>
        <v>0.95634236575345344</v>
      </c>
      <c r="F41" s="16">
        <f t="shared" si="9"/>
        <v>2.3262436342465467</v>
      </c>
      <c r="G41" s="16"/>
      <c r="H41" s="41">
        <v>9</v>
      </c>
      <c r="I41" s="16">
        <f>'ECONOMIC ANALYSIS'!I42</f>
        <v>2.3199000000000005</v>
      </c>
      <c r="J41" s="16">
        <f t="shared" si="10"/>
        <v>0.62273303370319222</v>
      </c>
      <c r="K41" s="16">
        <f t="shared" si="14"/>
        <v>1.6971669662968083</v>
      </c>
      <c r="L41" s="16">
        <f t="shared" si="15"/>
        <v>0.64492344719278716</v>
      </c>
      <c r="M41" s="16">
        <f t="shared" si="11"/>
        <v>1.6749765528072134</v>
      </c>
      <c r="N41" s="16"/>
      <c r="O41" s="16"/>
      <c r="P41" s="16"/>
      <c r="Q41" s="16"/>
      <c r="R41" s="16"/>
      <c r="S41" s="16"/>
      <c r="T41" s="16"/>
    </row>
    <row r="42" spans="1:20">
      <c r="A42" s="41">
        <v>10</v>
      </c>
      <c r="B42" s="16">
        <f>'ECONOMIC ANALYSIS'!I15</f>
        <v>3.2825860000000002</v>
      </c>
      <c r="C42" s="16">
        <f t="shared" si="8"/>
        <v>0.72760078561636687</v>
      </c>
      <c r="D42" s="16">
        <f t="shared" si="12"/>
        <v>2.5549852143836334</v>
      </c>
      <c r="E42" s="16">
        <f t="shared" si="13"/>
        <v>0.97089438146578066</v>
      </c>
      <c r="F42" s="16">
        <f t="shared" si="9"/>
        <v>2.3116916185342196</v>
      </c>
      <c r="G42" s="16"/>
      <c r="H42" s="41">
        <v>10</v>
      </c>
      <c r="I42" s="16">
        <f>'ECONOMIC ANALYSIS'!I43</f>
        <v>2.3199000000000005</v>
      </c>
      <c r="J42" s="16">
        <f t="shared" si="10"/>
        <v>0.58536905168100073</v>
      </c>
      <c r="K42" s="16">
        <f t="shared" si="14"/>
        <v>1.7345309483189997</v>
      </c>
      <c r="L42" s="16">
        <f t="shared" si="15"/>
        <v>0.65912176036121983</v>
      </c>
      <c r="M42" s="16">
        <f t="shared" si="11"/>
        <v>1.6607782396387807</v>
      </c>
      <c r="N42" s="16"/>
      <c r="O42" s="16"/>
      <c r="P42" s="16"/>
      <c r="Q42" s="16"/>
      <c r="R42" s="16"/>
      <c r="S42" s="16"/>
      <c r="T42" s="16"/>
    </row>
    <row r="43" spans="1:20">
      <c r="A43" s="41">
        <v>11</v>
      </c>
      <c r="B43" s="16">
        <f>'ECONOMIC ANALYSIS'!I16</f>
        <v>3.2825860000000002</v>
      </c>
      <c r="C43" s="16">
        <f t="shared" si="8"/>
        <v>0.69122074633554842</v>
      </c>
      <c r="D43" s="16">
        <f t="shared" si="12"/>
        <v>2.5913652536644518</v>
      </c>
      <c r="E43" s="16">
        <f t="shared" si="13"/>
        <v>0.98471879639249171</v>
      </c>
      <c r="F43" s="16">
        <f t="shared" si="9"/>
        <v>2.2978672036075087</v>
      </c>
      <c r="G43" s="16"/>
      <c r="H43" s="41">
        <v>11</v>
      </c>
      <c r="I43" s="16">
        <f>'ECONOMIC ANALYSIS'!I44</f>
        <v>2.3199000000000005</v>
      </c>
      <c r="J43" s="16">
        <f t="shared" si="10"/>
        <v>0.55024690858014058</v>
      </c>
      <c r="K43" s="16">
        <f t="shared" si="14"/>
        <v>1.76965309141986</v>
      </c>
      <c r="L43" s="16">
        <f t="shared" si="15"/>
        <v>0.67246817473954679</v>
      </c>
      <c r="M43" s="16">
        <f t="shared" si="11"/>
        <v>1.6474318252604538</v>
      </c>
      <c r="N43" s="16"/>
      <c r="O43" s="16"/>
      <c r="P43" s="16"/>
      <c r="Q43" s="16"/>
      <c r="R43" s="16"/>
      <c r="S43" s="16"/>
      <c r="T43" s="16"/>
    </row>
    <row r="44" spans="1:20">
      <c r="A44" s="41">
        <v>12</v>
      </c>
      <c r="B44" s="16">
        <f>'ECONOMIC ANALYSIS'!I17</f>
        <v>2.381494</v>
      </c>
      <c r="C44" s="16">
        <f t="shared" si="8"/>
        <v>0.65665970901877102</v>
      </c>
      <c r="D44" s="16">
        <f t="shared" si="12"/>
        <v>1.7248342909812289</v>
      </c>
      <c r="E44" s="16">
        <f t="shared" si="13"/>
        <v>0.65543703057286695</v>
      </c>
      <c r="F44" s="16">
        <f t="shared" si="9"/>
        <v>1.726056969427133</v>
      </c>
      <c r="G44" s="16"/>
      <c r="H44" s="41">
        <v>12</v>
      </c>
      <c r="I44" s="16">
        <f>'ECONOMIC ANALYSIS'!I45</f>
        <v>1.2804000000000002</v>
      </c>
      <c r="J44" s="16">
        <f t="shared" si="10"/>
        <v>0.51723209406533222</v>
      </c>
      <c r="K44" s="16">
        <f t="shared" si="14"/>
        <v>0.76316790593466799</v>
      </c>
      <c r="L44" s="16">
        <f t="shared" si="15"/>
        <v>0.29000380425517386</v>
      </c>
      <c r="M44" s="16">
        <f t="shared" si="11"/>
        <v>0.9903961957448264</v>
      </c>
      <c r="N44" s="16"/>
      <c r="O44" s="16"/>
      <c r="P44" s="16"/>
      <c r="Q44" s="16"/>
      <c r="R44" s="16"/>
      <c r="S44" s="16"/>
      <c r="T44" s="16"/>
    </row>
    <row r="45" spans="1:20">
      <c r="A45" s="41">
        <v>13</v>
      </c>
      <c r="B45" s="16">
        <f>'ECONOMIC ANALYSIS'!I18</f>
        <v>3.2825860000000002</v>
      </c>
      <c r="C45" s="16">
        <f t="shared" si="8"/>
        <v>0.62382672356783253</v>
      </c>
      <c r="D45" s="16">
        <f t="shared" si="12"/>
        <v>2.6587592764321677</v>
      </c>
      <c r="E45" s="16">
        <f t="shared" si="13"/>
        <v>1.0103285250442238</v>
      </c>
      <c r="F45" s="16">
        <f t="shared" si="9"/>
        <v>2.2722574749557767</v>
      </c>
      <c r="G45" s="16"/>
      <c r="H45" s="41">
        <v>13</v>
      </c>
      <c r="I45" s="16">
        <f>'ECONOMIC ANALYSIS'!I46</f>
        <v>2.3199000000000005</v>
      </c>
      <c r="J45" s="16">
        <f t="shared" si="10"/>
        <v>0.48619816842141234</v>
      </c>
      <c r="K45" s="16">
        <f t="shared" si="14"/>
        <v>1.8337018315785882</v>
      </c>
      <c r="L45" s="16">
        <f t="shared" si="15"/>
        <v>0.69680669599986356</v>
      </c>
      <c r="M45" s="16">
        <f t="shared" si="11"/>
        <v>1.623093304000137</v>
      </c>
      <c r="N45" s="16"/>
      <c r="O45" s="16"/>
      <c r="P45" s="16"/>
      <c r="Q45" s="16"/>
      <c r="R45" s="16"/>
      <c r="S45" s="16"/>
      <c r="T45" s="16"/>
    </row>
    <row r="46" spans="1:20">
      <c r="A46" s="41">
        <v>14</v>
      </c>
      <c r="B46" s="16">
        <f>'ECONOMIC ANALYSIS'!I19</f>
        <v>3.2825860000000002</v>
      </c>
      <c r="C46" s="16">
        <f t="shared" si="8"/>
        <v>0.59263538738944088</v>
      </c>
      <c r="D46" s="16">
        <f t="shared" si="12"/>
        <v>2.6899506126105592</v>
      </c>
      <c r="E46" s="16">
        <f t="shared" si="13"/>
        <v>1.0221812327920126</v>
      </c>
      <c r="F46" s="16">
        <f t="shared" si="9"/>
        <v>2.2604047672079877</v>
      </c>
      <c r="G46" s="16"/>
      <c r="H46" s="41">
        <v>14</v>
      </c>
      <c r="I46" s="16">
        <f>'ECONOMIC ANALYSIS'!I47</f>
        <v>2.3199000000000005</v>
      </c>
      <c r="J46" s="16">
        <f t="shared" si="10"/>
        <v>0.45702627831612758</v>
      </c>
      <c r="K46" s="16">
        <f t="shared" si="14"/>
        <v>1.8628737216838729</v>
      </c>
      <c r="L46" s="16">
        <f t="shared" si="15"/>
        <v>0.70789201423987169</v>
      </c>
      <c r="M46" s="16">
        <f t="shared" si="11"/>
        <v>1.6120079857601288</v>
      </c>
      <c r="N46" s="16"/>
      <c r="O46" s="16"/>
      <c r="P46" s="16"/>
      <c r="Q46" s="16"/>
      <c r="R46" s="16"/>
      <c r="S46" s="16"/>
      <c r="T46" s="16"/>
    </row>
    <row r="47" spans="1:20">
      <c r="A47" s="41">
        <v>15</v>
      </c>
      <c r="B47" s="16">
        <f>'ECONOMIC ANALYSIS'!I20</f>
        <v>3.2825860000000002</v>
      </c>
      <c r="C47" s="16">
        <f>B20</f>
        <v>0.56300361801996879</v>
      </c>
      <c r="D47" s="16">
        <f t="shared" si="12"/>
        <v>2.7195823819800315</v>
      </c>
      <c r="E47" s="16">
        <f t="shared" si="13"/>
        <v>1.0334413051524121</v>
      </c>
      <c r="F47" s="16">
        <f t="shared" si="9"/>
        <v>2.2491446948475882</v>
      </c>
      <c r="G47" s="16"/>
      <c r="H47" s="41">
        <v>15</v>
      </c>
      <c r="I47" s="16">
        <f>'ECONOMIC ANALYSIS'!I48</f>
        <v>2.3199000000000005</v>
      </c>
      <c r="J47" s="16">
        <f t="shared" si="10"/>
        <v>0.42960470161715991</v>
      </c>
      <c r="K47" s="16">
        <f t="shared" si="14"/>
        <v>1.8902952983828407</v>
      </c>
      <c r="L47" s="16">
        <f t="shared" si="15"/>
        <v>0.71831221338547946</v>
      </c>
      <c r="M47" s="16">
        <f t="shared" si="11"/>
        <v>1.6015877866145209</v>
      </c>
      <c r="N47" s="16"/>
      <c r="O47" s="16"/>
      <c r="P47" s="16"/>
      <c r="Q47" s="16"/>
      <c r="R47" s="16"/>
      <c r="S47" s="16"/>
      <c r="T47" s="16"/>
    </row>
    <row r="48" spans="1:20">
      <c r="A48" s="41">
        <v>16</v>
      </c>
      <c r="B48" s="16">
        <f>'ECONOMIC ANALYSIS'!I21</f>
        <v>3.2825860000000002</v>
      </c>
      <c r="C48" s="16">
        <f t="shared" si="8"/>
        <v>0.53485343711897027</v>
      </c>
      <c r="D48" s="16">
        <f t="shared" si="12"/>
        <v>2.7477325628810298</v>
      </c>
      <c r="E48" s="16">
        <f t="shared" si="13"/>
        <v>1.0441383738947914</v>
      </c>
      <c r="F48" s="16">
        <f t="shared" si="9"/>
        <v>2.2384476261052089</v>
      </c>
      <c r="G48" s="16"/>
      <c r="H48" s="41">
        <v>16</v>
      </c>
      <c r="I48" s="16">
        <f>'ECONOMIC ANALYSIS'!I49</f>
        <v>2.3199000000000005</v>
      </c>
      <c r="J48" s="16">
        <f t="shared" si="10"/>
        <v>0.40382841952013032</v>
      </c>
      <c r="K48" s="16">
        <f t="shared" si="14"/>
        <v>1.9160715804798703</v>
      </c>
      <c r="L48" s="16">
        <f t="shared" si="15"/>
        <v>0.72810720058235068</v>
      </c>
      <c r="M48" s="16">
        <f t="shared" si="11"/>
        <v>1.5917927994176497</v>
      </c>
      <c r="N48" s="16"/>
      <c r="O48" s="16"/>
      <c r="P48" s="16"/>
      <c r="Q48" s="16"/>
      <c r="R48" s="16"/>
      <c r="S48" s="16"/>
      <c r="T48" s="16"/>
    </row>
    <row r="49" spans="1:20">
      <c r="A49" s="41">
        <v>17</v>
      </c>
      <c r="B49" s="16">
        <f>'ECONOMIC ANALYSIS'!I22</f>
        <v>3.2825860000000002</v>
      </c>
      <c r="C49" s="16">
        <f t="shared" si="8"/>
        <v>0.50811076526302179</v>
      </c>
      <c r="D49" s="16">
        <f t="shared" si="12"/>
        <v>2.7744752347369785</v>
      </c>
      <c r="E49" s="16">
        <f t="shared" si="13"/>
        <v>1.0543005892000519</v>
      </c>
      <c r="F49" s="16">
        <f t="shared" si="9"/>
        <v>2.2282854107999484</v>
      </c>
      <c r="G49" s="16"/>
      <c r="H49" s="41">
        <v>17</v>
      </c>
      <c r="I49" s="16">
        <f>'ECONOMIC ANALYSIS'!I50</f>
        <v>2.3199000000000005</v>
      </c>
      <c r="J49" s="16">
        <f t="shared" si="10"/>
        <v>0.37959871434892245</v>
      </c>
      <c r="K49" s="16">
        <f t="shared" si="14"/>
        <v>1.9403012856510782</v>
      </c>
      <c r="L49" s="16">
        <f t="shared" si="15"/>
        <v>0.73731448854740966</v>
      </c>
      <c r="M49" s="16">
        <f t="shared" si="11"/>
        <v>1.5825855114525909</v>
      </c>
      <c r="N49" s="16"/>
      <c r="O49" s="16"/>
      <c r="P49" s="16"/>
      <c r="Q49" s="16"/>
      <c r="R49" s="16"/>
      <c r="S49" s="16"/>
      <c r="T49" s="16"/>
    </row>
    <row r="50" spans="1:20">
      <c r="A50" s="41">
        <v>18</v>
      </c>
      <c r="B50" s="16">
        <f>'ECONOMIC ANALYSIS'!I23</f>
        <v>2.381494</v>
      </c>
      <c r="C50" s="16">
        <f t="shared" si="8"/>
        <v>0.48270522699987073</v>
      </c>
      <c r="D50" s="16">
        <f t="shared" si="12"/>
        <v>1.8987887730001294</v>
      </c>
      <c r="E50" s="16">
        <f t="shared" si="13"/>
        <v>0.72153973374004921</v>
      </c>
      <c r="F50" s="16">
        <f t="shared" si="9"/>
        <v>1.6599542662599509</v>
      </c>
      <c r="G50" s="16"/>
      <c r="H50" s="41">
        <v>18</v>
      </c>
      <c r="I50" s="16">
        <f>'ECONOMIC ANALYSIS'!I51</f>
        <v>1.2804000000000002</v>
      </c>
      <c r="J50" s="16">
        <f t="shared" si="10"/>
        <v>0.35682279148798712</v>
      </c>
      <c r="K50" s="16">
        <f t="shared" si="14"/>
        <v>0.92357720851201308</v>
      </c>
      <c r="L50" s="16">
        <f t="shared" si="15"/>
        <v>0.35095933923456496</v>
      </c>
      <c r="M50" s="16">
        <f t="shared" si="11"/>
        <v>0.9294406607654353</v>
      </c>
      <c r="N50" s="16"/>
      <c r="O50" s="16"/>
      <c r="P50" s="16"/>
      <c r="Q50" s="16"/>
      <c r="R50" s="16"/>
      <c r="S50" s="16"/>
      <c r="T50" s="16"/>
    </row>
    <row r="51" spans="1:20">
      <c r="A51" s="41">
        <v>19</v>
      </c>
      <c r="B51" s="16">
        <f>'ECONOMIC ANALYSIS'!I24</f>
        <v>3.2825860000000002</v>
      </c>
      <c r="C51" s="16">
        <f t="shared" si="8"/>
        <v>0.45856996564987718</v>
      </c>
      <c r="D51" s="16">
        <f t="shared" si="12"/>
        <v>2.824016034350123</v>
      </c>
      <c r="E51" s="16">
        <f t="shared" si="13"/>
        <v>1.0731260930530468</v>
      </c>
      <c r="F51" s="16">
        <f t="shared" si="9"/>
        <v>2.2094599069469534</v>
      </c>
      <c r="G51" s="16"/>
      <c r="H51" s="41">
        <v>19</v>
      </c>
      <c r="I51" s="16">
        <f>'ECONOMIC ANALYSIS'!I52</f>
        <v>2.3199000000000005</v>
      </c>
      <c r="J51" s="16">
        <f t="shared" si="10"/>
        <v>0.33541342399870788</v>
      </c>
      <c r="K51" s="16">
        <f t="shared" si="14"/>
        <v>1.9844865760012926</v>
      </c>
      <c r="L51" s="16">
        <f t="shared" si="15"/>
        <v>0.75410489888049126</v>
      </c>
      <c r="M51" s="16">
        <f t="shared" si="11"/>
        <v>1.5657951011195093</v>
      </c>
      <c r="N51" s="16"/>
      <c r="O51" s="16"/>
      <c r="P51" s="16"/>
      <c r="Q51" s="16"/>
      <c r="R51" s="16"/>
      <c r="S51" s="16"/>
      <c r="T51" s="16"/>
    </row>
    <row r="52" spans="1:20">
      <c r="A52" s="41">
        <v>20</v>
      </c>
      <c r="B52" s="16">
        <f>'ECONOMIC ANALYSIS'!I25</f>
        <v>0.28258600000000023</v>
      </c>
      <c r="C52" s="16">
        <f>B25</f>
        <v>0.43564146736738335</v>
      </c>
      <c r="D52" s="16">
        <f t="shared" si="12"/>
        <v>-0.15305546736738312</v>
      </c>
      <c r="E52" s="16">
        <f t="shared" si="13"/>
        <v>-5.8161077599605586E-2</v>
      </c>
      <c r="F52" s="16">
        <f t="shared" si="9"/>
        <v>0.34074707759960582</v>
      </c>
      <c r="G52" s="16"/>
      <c r="H52" s="41">
        <v>20</v>
      </c>
      <c r="I52" s="16">
        <f>'ECONOMIC ANALYSIS'!I53</f>
        <v>-0.38963355810348421</v>
      </c>
      <c r="J52" s="16">
        <f t="shared" si="10"/>
        <v>0.31528861855878537</v>
      </c>
      <c r="K52" s="16">
        <f t="shared" si="14"/>
        <v>-0.70492217666226953</v>
      </c>
      <c r="L52" s="16">
        <f t="shared" si="15"/>
        <v>-0.26787042713166243</v>
      </c>
      <c r="M52" s="16">
        <f t="shared" si="11"/>
        <v>-0.12176313097182179</v>
      </c>
      <c r="N52" s="16"/>
      <c r="O52" s="16"/>
      <c r="P52" s="16"/>
      <c r="Q52" s="16"/>
      <c r="R52" s="16"/>
      <c r="S52" s="16"/>
      <c r="T52" s="16"/>
    </row>
    <row r="53" spans="1:20">
      <c r="A53" s="52"/>
      <c r="B53" s="16"/>
      <c r="C53" s="16"/>
      <c r="D53" s="16"/>
      <c r="E53" s="51" t="s">
        <v>93</v>
      </c>
      <c r="F53" s="16">
        <f>F32+NPV(0.0434,F33:F52)</f>
        <v>1.9190352201443908</v>
      </c>
      <c r="G53" s="16"/>
      <c r="H53" s="16"/>
      <c r="I53" s="16"/>
      <c r="J53" s="16"/>
      <c r="K53" s="16"/>
      <c r="L53" s="51" t="s">
        <v>93</v>
      </c>
      <c r="M53" s="16">
        <f>M32+NPV(0.0434,M33:M52)</f>
        <v>2.7908916180309831</v>
      </c>
      <c r="N53" s="16"/>
      <c r="O53" s="16"/>
      <c r="P53" s="16"/>
      <c r="Q53" s="16"/>
      <c r="R53" s="16"/>
      <c r="S53" s="16"/>
      <c r="T53" s="16"/>
    </row>
    <row r="54" spans="1:20">
      <c r="A54" s="52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61" t="s">
        <v>92</v>
      </c>
      <c r="B55" s="61"/>
      <c r="C55" s="61"/>
      <c r="D55" s="61"/>
      <c r="E55" s="61"/>
      <c r="F55" s="6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50" t="s">
        <v>41</v>
      </c>
      <c r="B56" s="51" t="s">
        <v>86</v>
      </c>
      <c r="C56" s="51" t="s">
        <v>68</v>
      </c>
      <c r="D56" s="51" t="s">
        <v>87</v>
      </c>
      <c r="E56" s="51" t="s">
        <v>88</v>
      </c>
      <c r="F56" s="51" t="s">
        <v>89</v>
      </c>
      <c r="G56" s="16"/>
      <c r="H56" s="50" t="s">
        <v>41</v>
      </c>
      <c r="I56" s="51" t="s">
        <v>86</v>
      </c>
      <c r="J56" s="51" t="s">
        <v>68</v>
      </c>
      <c r="K56" s="51" t="s">
        <v>87</v>
      </c>
      <c r="L56" s="51" t="s">
        <v>88</v>
      </c>
      <c r="M56" s="51" t="s">
        <v>89</v>
      </c>
      <c r="N56" s="16"/>
      <c r="O56" s="16"/>
      <c r="P56" s="16"/>
      <c r="Q56" s="16"/>
      <c r="R56" s="16"/>
      <c r="S56" s="16"/>
      <c r="T56" s="16"/>
    </row>
    <row r="57" spans="1:20">
      <c r="A57" s="41">
        <v>0</v>
      </c>
      <c r="B57" s="16">
        <f>'ECONOMIC ANALYSIS'!I61</f>
        <v>-21.247620000000001</v>
      </c>
      <c r="C57" s="16">
        <f>H5</f>
        <v>0</v>
      </c>
      <c r="D57" s="16"/>
      <c r="E57" s="16"/>
      <c r="F57" s="16">
        <f>B57-E57</f>
        <v>-21.247620000000001</v>
      </c>
      <c r="G57" s="16"/>
      <c r="H57" s="41">
        <v>0</v>
      </c>
      <c r="I57" s="16">
        <f>'ECONOMIC ANALYSIS'!I89</f>
        <v>-18.5016675</v>
      </c>
      <c r="J57" s="16">
        <f>K5</f>
        <v>0</v>
      </c>
      <c r="K57" s="16"/>
      <c r="L57" s="16"/>
      <c r="M57" s="16">
        <f>I57-L57</f>
        <v>-18.5016675</v>
      </c>
      <c r="N57" s="16"/>
      <c r="O57" s="16"/>
      <c r="P57" s="16"/>
      <c r="Q57" s="16"/>
      <c r="R57" s="16"/>
      <c r="S57" s="16"/>
      <c r="T57" s="16"/>
    </row>
    <row r="58" spans="1:20">
      <c r="A58" s="41">
        <v>1</v>
      </c>
      <c r="B58" s="16">
        <f>'ECONOMIC ANALYSIS'!I62</f>
        <v>3.1306500000000002</v>
      </c>
      <c r="C58" s="16">
        <f t="shared" ref="C58:C77" si="16">H6</f>
        <v>0.63742860000000001</v>
      </c>
      <c r="D58" s="16">
        <f>B58-C58</f>
        <v>2.4932214000000004</v>
      </c>
      <c r="E58" s="16">
        <f>38%*D58</f>
        <v>0.9474241320000002</v>
      </c>
      <c r="F58" s="16">
        <f t="shared" ref="F58:F77" si="17">B58-E58</f>
        <v>2.1832258680000001</v>
      </c>
      <c r="G58" s="16"/>
      <c r="H58" s="41">
        <v>1</v>
      </c>
      <c r="I58" s="16">
        <f>'ECONOMIC ANALYSIS'!I90</f>
        <v>2.45275</v>
      </c>
      <c r="J58" s="16">
        <f t="shared" ref="J58:J76" si="18">K6</f>
        <v>0.555050025</v>
      </c>
      <c r="K58" s="16">
        <f>I58-J58</f>
        <v>1.8976999750000001</v>
      </c>
      <c r="L58" s="16">
        <f>38%*K58</f>
        <v>0.72112599050000004</v>
      </c>
      <c r="M58" s="16">
        <f t="shared" ref="M58:M77" si="19">I58-L58</f>
        <v>1.7316240094999999</v>
      </c>
      <c r="N58" s="16"/>
      <c r="O58" s="16"/>
      <c r="P58" s="16"/>
      <c r="Q58" s="16"/>
      <c r="R58" s="16"/>
      <c r="S58" s="16"/>
      <c r="T58" s="16"/>
    </row>
    <row r="59" spans="1:20">
      <c r="A59" s="41">
        <v>2</v>
      </c>
      <c r="B59" s="16">
        <f>'ECONOMIC ANALYSIS'!I63</f>
        <v>3.1306500000000002</v>
      </c>
      <c r="C59" s="16">
        <f t="shared" si="16"/>
        <v>1.236611484</v>
      </c>
      <c r="D59" s="16">
        <f t="shared" ref="D59:D77" si="20">B59-C59</f>
        <v>1.8940385160000002</v>
      </c>
      <c r="E59" s="16">
        <f t="shared" ref="E59:E77" si="21">38%*D59</f>
        <v>0.7197346360800001</v>
      </c>
      <c r="F59" s="16">
        <f t="shared" si="17"/>
        <v>2.4109153639200001</v>
      </c>
      <c r="G59" s="16"/>
      <c r="H59" s="41">
        <v>2</v>
      </c>
      <c r="I59" s="16">
        <f>'ECONOMIC ANALYSIS'!I91</f>
        <v>2.45275</v>
      </c>
      <c r="J59" s="16">
        <f t="shared" si="18"/>
        <v>1.0767970485</v>
      </c>
      <c r="K59" s="16">
        <f t="shared" ref="K59:K77" si="22">I59-J59</f>
        <v>1.3759529515</v>
      </c>
      <c r="L59" s="16">
        <f t="shared" ref="L59:L77" si="23">38%*K59</f>
        <v>0.52286212157</v>
      </c>
      <c r="M59" s="16">
        <f t="shared" si="19"/>
        <v>1.92988787843</v>
      </c>
      <c r="N59" s="16"/>
      <c r="O59" s="16"/>
      <c r="P59" s="16"/>
      <c r="Q59" s="16"/>
      <c r="R59" s="16"/>
      <c r="S59" s="16"/>
      <c r="T59" s="16"/>
    </row>
    <row r="60" spans="1:20">
      <c r="A60" s="41">
        <v>3</v>
      </c>
      <c r="B60" s="16">
        <f>'ECONOMIC ANALYSIS'!I64</f>
        <v>3.1306500000000002</v>
      </c>
      <c r="C60" s="16">
        <f t="shared" si="16"/>
        <v>1.1624147949599999</v>
      </c>
      <c r="D60" s="16">
        <f>B60-C60</f>
        <v>1.9682352050400003</v>
      </c>
      <c r="E60" s="16">
        <f t="shared" si="21"/>
        <v>0.74792937791520009</v>
      </c>
      <c r="F60" s="16">
        <f t="shared" si="17"/>
        <v>2.3827206220848001</v>
      </c>
      <c r="G60" s="16"/>
      <c r="H60" s="41">
        <v>3</v>
      </c>
      <c r="I60" s="16">
        <f>'ECONOMIC ANALYSIS'!I92</f>
        <v>2.45275</v>
      </c>
      <c r="J60" s="16">
        <f t="shared" si="18"/>
        <v>1.0121892255899998</v>
      </c>
      <c r="K60" s="16">
        <f t="shared" si="22"/>
        <v>1.4405607744100002</v>
      </c>
      <c r="L60" s="16">
        <f t="shared" si="23"/>
        <v>0.54741309427580009</v>
      </c>
      <c r="M60" s="16">
        <f t="shared" si="19"/>
        <v>1.9053369057241998</v>
      </c>
      <c r="N60" s="16"/>
      <c r="O60" s="16"/>
      <c r="P60" s="16"/>
      <c r="Q60" s="16"/>
      <c r="R60" s="16"/>
      <c r="S60" s="16"/>
      <c r="T60" s="16"/>
    </row>
    <row r="61" spans="1:20">
      <c r="A61" s="41">
        <v>4</v>
      </c>
      <c r="B61" s="16">
        <f>'ECONOMIC ANALYSIS'!I65</f>
        <v>3.1306500000000002</v>
      </c>
      <c r="C61" s="16">
        <f t="shared" si="16"/>
        <v>1.0926699072624</v>
      </c>
      <c r="D61" s="16">
        <f t="shared" si="20"/>
        <v>2.0379800927375999</v>
      </c>
      <c r="E61" s="16">
        <f t="shared" si="21"/>
        <v>0.77443243524028804</v>
      </c>
      <c r="F61" s="16">
        <f t="shared" si="17"/>
        <v>2.3562175647597119</v>
      </c>
      <c r="G61" s="16"/>
      <c r="H61" s="41">
        <v>4</v>
      </c>
      <c r="I61" s="16">
        <f>'ECONOMIC ANALYSIS'!I93</f>
        <v>2.45275</v>
      </c>
      <c r="J61" s="16">
        <f t="shared" si="18"/>
        <v>0.95145787205459997</v>
      </c>
      <c r="K61" s="16">
        <f t="shared" si="22"/>
        <v>1.5012921279453999</v>
      </c>
      <c r="L61" s="16">
        <f t="shared" si="23"/>
        <v>0.57049100861925195</v>
      </c>
      <c r="M61" s="16">
        <f t="shared" si="19"/>
        <v>1.8822589913807479</v>
      </c>
      <c r="N61" s="16"/>
      <c r="O61" s="16"/>
      <c r="P61" s="16"/>
      <c r="Q61" s="16"/>
      <c r="R61" s="16"/>
      <c r="S61" s="16"/>
      <c r="T61" s="16"/>
    </row>
    <row r="62" spans="1:20">
      <c r="A62" s="41">
        <v>5</v>
      </c>
      <c r="B62" s="16">
        <f>'ECONOMIC ANALYSIS'!I66</f>
        <v>3.1306500000000002</v>
      </c>
      <c r="C62" s="16">
        <f t="shared" si="16"/>
        <v>1.027109712826656</v>
      </c>
      <c r="D62" s="16">
        <f t="shared" si="20"/>
        <v>2.1035402871733444</v>
      </c>
      <c r="E62" s="16">
        <f t="shared" si="21"/>
        <v>0.79934530912587087</v>
      </c>
      <c r="F62" s="16">
        <f t="shared" si="17"/>
        <v>2.3313046908741293</v>
      </c>
      <c r="G62" s="16"/>
      <c r="H62" s="41">
        <v>5</v>
      </c>
      <c r="I62" s="16">
        <f>'ECONOMIC ANALYSIS'!I94</f>
        <v>2.45275</v>
      </c>
      <c r="J62" s="16">
        <f t="shared" si="18"/>
        <v>0.89437039973132393</v>
      </c>
      <c r="K62" s="16">
        <f t="shared" si="22"/>
        <v>1.5583796002686761</v>
      </c>
      <c r="L62" s="16">
        <f t="shared" si="23"/>
        <v>0.59218424810209691</v>
      </c>
      <c r="M62" s="16">
        <f t="shared" si="19"/>
        <v>1.8605657518979031</v>
      </c>
      <c r="N62" s="16"/>
      <c r="O62" s="16"/>
      <c r="P62" s="16"/>
      <c r="Q62" s="16"/>
      <c r="R62" s="16"/>
      <c r="S62" s="16"/>
      <c r="T62" s="16"/>
    </row>
    <row r="63" spans="1:20">
      <c r="A63" s="41">
        <v>6</v>
      </c>
      <c r="B63" s="16">
        <f>'ECONOMIC ANALYSIS'!I67</f>
        <v>3.1306500000000002</v>
      </c>
      <c r="C63" s="16">
        <f t="shared" si="16"/>
        <v>0.96548313005705644</v>
      </c>
      <c r="D63" s="16">
        <f t="shared" si="20"/>
        <v>2.1651668699429436</v>
      </c>
      <c r="E63" s="16">
        <f t="shared" si="21"/>
        <v>0.82276341057831859</v>
      </c>
      <c r="F63" s="16">
        <f t="shared" si="17"/>
        <v>2.3078865894216816</v>
      </c>
      <c r="G63" s="16"/>
      <c r="H63" s="41">
        <v>6</v>
      </c>
      <c r="I63" s="16">
        <f>'ECONOMIC ANALYSIS'!I95</f>
        <v>2.45275</v>
      </c>
      <c r="J63" s="16">
        <f t="shared" si="18"/>
        <v>0.8407081757474445</v>
      </c>
      <c r="K63" s="16">
        <f t="shared" si="22"/>
        <v>1.6120418242525556</v>
      </c>
      <c r="L63" s="16">
        <f t="shared" si="23"/>
        <v>0.61257589321597117</v>
      </c>
      <c r="M63" s="16">
        <f t="shared" si="19"/>
        <v>1.8401741067840289</v>
      </c>
      <c r="N63" s="16"/>
      <c r="O63" s="16"/>
      <c r="P63" s="16"/>
      <c r="Q63" s="16"/>
      <c r="R63" s="16"/>
      <c r="S63" s="16"/>
      <c r="T63" s="16"/>
    </row>
    <row r="64" spans="1:20">
      <c r="A64" s="41">
        <v>7</v>
      </c>
      <c r="B64" s="16">
        <f>'ECONOMIC ANALYSIS'!I68</f>
        <v>-4.7701449379229075</v>
      </c>
      <c r="C64" s="16">
        <f t="shared" si="16"/>
        <v>0.90755414225363318</v>
      </c>
      <c r="D64" s="16">
        <f t="shared" si="20"/>
        <v>-5.6776990801765406</v>
      </c>
      <c r="E64" s="16">
        <f t="shared" si="21"/>
        <v>-2.1575256504670852</v>
      </c>
      <c r="F64" s="16">
        <f t="shared" si="17"/>
        <v>-2.6126192874558223</v>
      </c>
      <c r="G64" s="16"/>
      <c r="H64" s="41">
        <v>7</v>
      </c>
      <c r="I64" s="16">
        <f>'ECONOMIC ANALYSIS'!I96</f>
        <v>-1.9716951652368286</v>
      </c>
      <c r="J64" s="16">
        <f t="shared" si="18"/>
        <v>0.79026568520259777</v>
      </c>
      <c r="K64" s="16">
        <f t="shared" si="22"/>
        <v>-2.7619608504394266</v>
      </c>
      <c r="L64" s="16">
        <f t="shared" si="23"/>
        <v>-1.0495451231669821</v>
      </c>
      <c r="M64" s="16">
        <f t="shared" si="19"/>
        <v>-0.92215004206984652</v>
      </c>
      <c r="N64" s="16"/>
      <c r="O64" s="16"/>
      <c r="P64" s="16"/>
      <c r="Q64" s="16"/>
      <c r="R64" s="16"/>
      <c r="S64" s="16"/>
      <c r="T64" s="16"/>
    </row>
    <row r="65" spans="1:20">
      <c r="A65" s="41">
        <v>8</v>
      </c>
      <c r="B65" s="16">
        <f>'ECONOMIC ANALYSIS'!I69</f>
        <v>1.9418400000000005</v>
      </c>
      <c r="C65" s="16">
        <f t="shared" si="16"/>
        <v>0.85310089371841513</v>
      </c>
      <c r="D65" s="16">
        <f t="shared" si="20"/>
        <v>1.0887391062815852</v>
      </c>
      <c r="E65" s="16">
        <f t="shared" si="21"/>
        <v>0.4137208603870024</v>
      </c>
      <c r="F65" s="16">
        <f t="shared" si="17"/>
        <v>1.5281191396129981</v>
      </c>
      <c r="G65" s="16"/>
      <c r="H65" s="41">
        <v>8</v>
      </c>
      <c r="I65" s="16">
        <f>'ECONOMIC ANALYSIS'!I97</f>
        <v>2.1378280000000003</v>
      </c>
      <c r="J65" s="16">
        <f t="shared" si="18"/>
        <v>0.74284974409044191</v>
      </c>
      <c r="K65" s="16">
        <f t="shared" si="22"/>
        <v>1.3949782559095585</v>
      </c>
      <c r="L65" s="16">
        <f t="shared" si="23"/>
        <v>0.53009173724563219</v>
      </c>
      <c r="M65" s="16">
        <f t="shared" si="19"/>
        <v>1.6077362627543681</v>
      </c>
      <c r="N65" s="16"/>
      <c r="O65" s="16"/>
      <c r="P65" s="16"/>
      <c r="Q65" s="16"/>
      <c r="R65" s="16"/>
      <c r="S65" s="16"/>
      <c r="T65" s="16"/>
    </row>
    <row r="66" spans="1:20">
      <c r="A66" s="41">
        <v>9</v>
      </c>
      <c r="B66" s="16">
        <f>'ECONOMIC ANALYSIS'!I70</f>
        <v>3.1306500000000002</v>
      </c>
      <c r="C66" s="16">
        <f t="shared" si="16"/>
        <v>0.80191484009531022</v>
      </c>
      <c r="D66" s="16">
        <f t="shared" si="20"/>
        <v>2.3287351599046899</v>
      </c>
      <c r="E66" s="16">
        <f t="shared" si="21"/>
        <v>0.88491936076378219</v>
      </c>
      <c r="F66" s="16">
        <f t="shared" si="17"/>
        <v>2.2457306392362177</v>
      </c>
      <c r="G66" s="16"/>
      <c r="H66" s="41">
        <v>9</v>
      </c>
      <c r="I66" s="16">
        <f>'ECONOMIC ANALYSIS'!I98</f>
        <v>2.45275</v>
      </c>
      <c r="J66" s="16">
        <f t="shared" si="18"/>
        <v>0.69827875944501538</v>
      </c>
      <c r="K66" s="16">
        <f t="shared" si="22"/>
        <v>1.7544712405549845</v>
      </c>
      <c r="L66" s="16">
        <f t="shared" si="23"/>
        <v>0.66669907141089413</v>
      </c>
      <c r="M66" s="16">
        <f t="shared" si="19"/>
        <v>1.786050928589106</v>
      </c>
      <c r="N66" s="16"/>
      <c r="O66" s="16"/>
      <c r="P66" s="16"/>
      <c r="Q66" s="16"/>
      <c r="R66" s="16"/>
      <c r="S66" s="16"/>
      <c r="T66" s="16"/>
    </row>
    <row r="67" spans="1:20">
      <c r="A67" s="41">
        <v>10</v>
      </c>
      <c r="B67" s="16">
        <f>'ECONOMIC ANALYSIS'!I71</f>
        <v>3.1306500000000002</v>
      </c>
      <c r="C67" s="16">
        <f t="shared" si="16"/>
        <v>0.75379994968959163</v>
      </c>
      <c r="D67" s="16">
        <f t="shared" si="20"/>
        <v>2.3768500503104084</v>
      </c>
      <c r="E67" s="16">
        <f t="shared" si="21"/>
        <v>0.9032030191179552</v>
      </c>
      <c r="F67" s="16">
        <f t="shared" si="17"/>
        <v>2.227446980882045</v>
      </c>
      <c r="G67" s="16"/>
      <c r="H67" s="41">
        <v>10</v>
      </c>
      <c r="I67" s="16">
        <f>'ECONOMIC ANALYSIS'!I99</f>
        <v>2.45275</v>
      </c>
      <c r="J67" s="16">
        <f t="shared" si="18"/>
        <v>0.6563820338783144</v>
      </c>
      <c r="K67" s="16">
        <f t="shared" si="22"/>
        <v>1.7963679661216856</v>
      </c>
      <c r="L67" s="16">
        <f t="shared" si="23"/>
        <v>0.68261982712624059</v>
      </c>
      <c r="M67" s="16">
        <f t="shared" si="19"/>
        <v>1.7701301728737593</v>
      </c>
      <c r="N67" s="16"/>
      <c r="O67" s="16"/>
      <c r="P67" s="16"/>
      <c r="Q67" s="16"/>
      <c r="R67" s="16"/>
      <c r="S67" s="16"/>
      <c r="T67" s="16"/>
    </row>
    <row r="68" spans="1:20">
      <c r="A68" s="41">
        <v>11</v>
      </c>
      <c r="B68" s="16">
        <f>'ECONOMIC ANALYSIS'!I72</f>
        <v>3.1306500000000002</v>
      </c>
      <c r="C68" s="16">
        <f t="shared" si="16"/>
        <v>0.70857195270821616</v>
      </c>
      <c r="D68" s="16">
        <f t="shared" si="20"/>
        <v>2.4220780472917838</v>
      </c>
      <c r="E68" s="16">
        <f t="shared" si="21"/>
        <v>0.92038965797087779</v>
      </c>
      <c r="F68" s="16">
        <f t="shared" si="17"/>
        <v>2.2102603420291222</v>
      </c>
      <c r="G68" s="16"/>
      <c r="H68" s="41">
        <v>11</v>
      </c>
      <c r="I68" s="16">
        <f>'ECONOMIC ANALYSIS'!I100</f>
        <v>2.45275</v>
      </c>
      <c r="J68" s="16">
        <f t="shared" si="18"/>
        <v>0.61699911184561562</v>
      </c>
      <c r="K68" s="16">
        <f t="shared" si="22"/>
        <v>1.8357508881543843</v>
      </c>
      <c r="L68" s="16">
        <f t="shared" si="23"/>
        <v>0.69758533749866602</v>
      </c>
      <c r="M68" s="16">
        <f t="shared" si="19"/>
        <v>1.755164662501334</v>
      </c>
      <c r="N68" s="16"/>
      <c r="O68" s="16"/>
      <c r="P68" s="16"/>
      <c r="Q68" s="16"/>
      <c r="R68" s="16"/>
      <c r="S68" s="16"/>
      <c r="T68" s="16"/>
    </row>
    <row r="69" spans="1:20">
      <c r="A69" s="41">
        <v>12</v>
      </c>
      <c r="B69" s="16">
        <f>'ECONOMIC ANALYSIS'!I73</f>
        <v>3.1306500000000002</v>
      </c>
      <c r="C69" s="16">
        <f t="shared" si="16"/>
        <v>0.66605763554572317</v>
      </c>
      <c r="D69" s="16">
        <f t="shared" si="20"/>
        <v>2.4645923644542771</v>
      </c>
      <c r="E69" s="16">
        <f t="shared" si="21"/>
        <v>0.93654509849262535</v>
      </c>
      <c r="F69" s="16">
        <f t="shared" si="17"/>
        <v>2.1941049015073748</v>
      </c>
      <c r="G69" s="16"/>
      <c r="H69" s="41">
        <v>12</v>
      </c>
      <c r="I69" s="16">
        <f>'ECONOMIC ANALYSIS'!I101</f>
        <v>2.45275</v>
      </c>
      <c r="J69" s="16">
        <f t="shared" si="18"/>
        <v>0.57997916513487868</v>
      </c>
      <c r="K69" s="16">
        <f t="shared" si="22"/>
        <v>1.8727708348651213</v>
      </c>
      <c r="L69" s="16">
        <f t="shared" si="23"/>
        <v>0.71165291724874613</v>
      </c>
      <c r="M69" s="16">
        <f t="shared" si="19"/>
        <v>1.7410970827512537</v>
      </c>
      <c r="N69" s="16"/>
      <c r="O69" s="16"/>
      <c r="P69" s="16"/>
      <c r="Q69" s="16"/>
      <c r="R69" s="16"/>
      <c r="S69" s="16"/>
      <c r="T69" s="16"/>
    </row>
    <row r="70" spans="1:20">
      <c r="A70" s="41">
        <v>13</v>
      </c>
      <c r="B70" s="16">
        <f>'ECONOMIC ANALYSIS'!I74</f>
        <v>3.1306500000000002</v>
      </c>
      <c r="C70" s="16">
        <f t="shared" si="16"/>
        <v>0.62609417741297979</v>
      </c>
      <c r="D70" s="16">
        <f t="shared" si="20"/>
        <v>2.5045558225870206</v>
      </c>
      <c r="E70" s="16">
        <f t="shared" si="21"/>
        <v>0.95173121258306781</v>
      </c>
      <c r="F70" s="16">
        <f t="shared" si="17"/>
        <v>2.1789187874169325</v>
      </c>
      <c r="G70" s="16"/>
      <c r="H70" s="41">
        <v>13</v>
      </c>
      <c r="I70" s="16">
        <f>'ECONOMIC ANALYSIS'!I102</f>
        <v>2.45275</v>
      </c>
      <c r="J70" s="16">
        <f t="shared" si="18"/>
        <v>0.54518041522678595</v>
      </c>
      <c r="K70" s="16">
        <f t="shared" si="22"/>
        <v>1.9075695847732139</v>
      </c>
      <c r="L70" s="16">
        <f t="shared" si="23"/>
        <v>0.7248764422138213</v>
      </c>
      <c r="M70" s="16">
        <f t="shared" si="19"/>
        <v>1.7278735577861788</v>
      </c>
      <c r="N70" s="16"/>
      <c r="O70" s="16"/>
      <c r="P70" s="16"/>
      <c r="Q70" s="16"/>
      <c r="R70" s="16"/>
      <c r="S70" s="16"/>
      <c r="T70" s="16"/>
    </row>
    <row r="71" spans="1:20">
      <c r="A71" s="41">
        <v>14</v>
      </c>
      <c r="B71" s="16">
        <f>'ECONOMIC ANALYSIS'!I75</f>
        <v>3.1306500000000002</v>
      </c>
      <c r="C71" s="16">
        <f t="shared" si="16"/>
        <v>0.588528526768201</v>
      </c>
      <c r="D71" s="16">
        <f t="shared" si="20"/>
        <v>2.5421214732317994</v>
      </c>
      <c r="E71" s="16">
        <f t="shared" si="21"/>
        <v>0.9660061598280838</v>
      </c>
      <c r="F71" s="16">
        <f t="shared" si="17"/>
        <v>2.1646438401719164</v>
      </c>
      <c r="G71" s="16"/>
      <c r="H71" s="41">
        <v>14</v>
      </c>
      <c r="I71" s="16">
        <f>'ECONOMIC ANALYSIS'!I103</f>
        <v>2.45275</v>
      </c>
      <c r="J71" s="16">
        <f t="shared" si="18"/>
        <v>0.51246959031317885</v>
      </c>
      <c r="K71" s="16">
        <f t="shared" si="22"/>
        <v>1.9402804096868211</v>
      </c>
      <c r="L71" s="16">
        <f t="shared" si="23"/>
        <v>0.73730655568099202</v>
      </c>
      <c r="M71" s="16">
        <f t="shared" si="19"/>
        <v>1.7154434443190079</v>
      </c>
      <c r="N71" s="16"/>
      <c r="O71" s="16"/>
      <c r="P71" s="16"/>
      <c r="Q71" s="16"/>
      <c r="R71" s="16"/>
      <c r="S71" s="16"/>
      <c r="T71" s="16"/>
    </row>
    <row r="72" spans="1:20">
      <c r="A72" s="41">
        <v>15</v>
      </c>
      <c r="B72" s="16">
        <f>'ECONOMIC ANALYSIS'!I76</f>
        <v>3.1306500000000002</v>
      </c>
      <c r="C72" s="16">
        <f t="shared" si="16"/>
        <v>0.55321681516210897</v>
      </c>
      <c r="D72" s="16">
        <f t="shared" si="20"/>
        <v>2.5774331848378913</v>
      </c>
      <c r="E72" s="16">
        <f t="shared" si="21"/>
        <v>0.97942461023839866</v>
      </c>
      <c r="F72" s="16">
        <f t="shared" si="17"/>
        <v>2.1512253897616014</v>
      </c>
      <c r="G72" s="16"/>
      <c r="H72" s="41">
        <v>15</v>
      </c>
      <c r="I72" s="16">
        <f>'ECONOMIC ANALYSIS'!I104</f>
        <v>2.45275</v>
      </c>
      <c r="J72" s="16">
        <f t="shared" si="18"/>
        <v>0.48172141489438808</v>
      </c>
      <c r="K72" s="16">
        <f t="shared" si="22"/>
        <v>1.971028585105612</v>
      </c>
      <c r="L72" s="16">
        <f t="shared" si="23"/>
        <v>0.74899086234013257</v>
      </c>
      <c r="M72" s="16">
        <f t="shared" si="19"/>
        <v>1.7037591376598673</v>
      </c>
      <c r="N72" s="16"/>
      <c r="O72" s="16"/>
      <c r="P72" s="16"/>
      <c r="Q72" s="16"/>
      <c r="R72" s="16"/>
      <c r="S72" s="16"/>
      <c r="T72" s="16"/>
    </row>
    <row r="73" spans="1:20">
      <c r="A73" s="41">
        <v>16</v>
      </c>
      <c r="B73" s="16">
        <f>'ECONOMIC ANALYSIS'!I77</f>
        <v>1.9418400000000005</v>
      </c>
      <c r="C73" s="16">
        <f t="shared" si="16"/>
        <v>0.52002380625238231</v>
      </c>
      <c r="D73" s="16">
        <f t="shared" si="20"/>
        <v>1.4218161937476181</v>
      </c>
      <c r="E73" s="16">
        <f t="shared" si="21"/>
        <v>0.54029015362409494</v>
      </c>
      <c r="F73" s="16">
        <f t="shared" si="17"/>
        <v>1.4015498463759055</v>
      </c>
      <c r="G73" s="16"/>
      <c r="H73" s="41">
        <v>16</v>
      </c>
      <c r="I73" s="16">
        <f>'ECONOMIC ANALYSIS'!I105</f>
        <v>2.1378280000000003</v>
      </c>
      <c r="J73" s="16">
        <f t="shared" si="18"/>
        <v>0.45281813000072474</v>
      </c>
      <c r="K73" s="16">
        <f t="shared" si="22"/>
        <v>1.6850098699992755</v>
      </c>
      <c r="L73" s="16">
        <f t="shared" si="23"/>
        <v>0.64030375059972466</v>
      </c>
      <c r="M73" s="16">
        <f t="shared" si="19"/>
        <v>1.4975242494002756</v>
      </c>
      <c r="N73" s="16"/>
      <c r="O73" s="16"/>
      <c r="P73" s="16"/>
      <c r="Q73" s="16"/>
      <c r="R73" s="16"/>
      <c r="S73" s="16"/>
      <c r="T73" s="16"/>
    </row>
    <row r="74" spans="1:20">
      <c r="A74" s="41">
        <v>17</v>
      </c>
      <c r="B74" s="16">
        <f>'ECONOMIC ANALYSIS'!I78</f>
        <v>3.1306500000000002</v>
      </c>
      <c r="C74" s="16">
        <f t="shared" si="16"/>
        <v>0.48882237787723942</v>
      </c>
      <c r="D74" s="16">
        <f t="shared" si="20"/>
        <v>2.6418276221227606</v>
      </c>
      <c r="E74" s="16">
        <f t="shared" si="21"/>
        <v>1.003894496406649</v>
      </c>
      <c r="F74" s="16">
        <f t="shared" si="17"/>
        <v>2.1267555035933512</v>
      </c>
      <c r="G74" s="16"/>
      <c r="H74" s="41">
        <v>17</v>
      </c>
      <c r="I74" s="16">
        <f>'ECONOMIC ANALYSIS'!I106</f>
        <v>2.45275</v>
      </c>
      <c r="J74" s="16">
        <f t="shared" si="18"/>
        <v>0.42564904220068128</v>
      </c>
      <c r="K74" s="16">
        <f t="shared" si="22"/>
        <v>2.0271009577993189</v>
      </c>
      <c r="L74" s="16">
        <f t="shared" si="23"/>
        <v>0.77029836396374118</v>
      </c>
      <c r="M74" s="16">
        <f t="shared" si="19"/>
        <v>1.6824516360362587</v>
      </c>
      <c r="N74" s="16"/>
      <c r="O74" s="16"/>
      <c r="P74" s="16"/>
      <c r="Q74" s="16"/>
      <c r="R74" s="16"/>
      <c r="S74" s="16"/>
      <c r="T74" s="16"/>
    </row>
    <row r="75" spans="1:20">
      <c r="A75" s="41">
        <v>18</v>
      </c>
      <c r="B75" s="16">
        <f>'ECONOMIC ANALYSIS'!I79</f>
        <v>3.1306500000000002</v>
      </c>
      <c r="C75" s="16">
        <f t="shared" si="16"/>
        <v>0.45949303520460505</v>
      </c>
      <c r="D75" s="16">
        <f t="shared" si="20"/>
        <v>2.671156964795395</v>
      </c>
      <c r="E75" s="16">
        <f t="shared" si="21"/>
        <v>1.0150396466222502</v>
      </c>
      <c r="F75" s="16">
        <f t="shared" si="17"/>
        <v>2.1156103533777499</v>
      </c>
      <c r="G75" s="16"/>
      <c r="H75" s="41">
        <v>18</v>
      </c>
      <c r="I75" s="16">
        <f>'ECONOMIC ANALYSIS'!I107</f>
        <v>2.45275</v>
      </c>
      <c r="J75" s="16">
        <f t="shared" si="18"/>
        <v>0.40011009966864042</v>
      </c>
      <c r="K75" s="16">
        <f t="shared" si="22"/>
        <v>2.0526399003313598</v>
      </c>
      <c r="L75" s="16">
        <f t="shared" si="23"/>
        <v>0.78000316212591669</v>
      </c>
      <c r="M75" s="16">
        <f t="shared" si="19"/>
        <v>1.6727468378740833</v>
      </c>
      <c r="N75" s="16"/>
      <c r="O75" s="16"/>
      <c r="P75" s="16"/>
      <c r="Q75" s="16"/>
      <c r="R75" s="16"/>
      <c r="S75" s="16"/>
      <c r="T75" s="16"/>
    </row>
    <row r="76" spans="1:20">
      <c r="A76" s="41">
        <v>19</v>
      </c>
      <c r="B76" s="16">
        <f>'ECONOMIC ANALYSIS'!I80</f>
        <v>3.1306500000000002</v>
      </c>
      <c r="C76" s="16">
        <f t="shared" si="16"/>
        <v>0.43192345309232877</v>
      </c>
      <c r="D76" s="16">
        <f t="shared" si="20"/>
        <v>2.6987265469076713</v>
      </c>
      <c r="E76" s="16">
        <f t="shared" si="21"/>
        <v>1.0255160878249152</v>
      </c>
      <c r="F76" s="16">
        <f t="shared" si="17"/>
        <v>2.1051339121750852</v>
      </c>
      <c r="G76" s="16"/>
      <c r="H76" s="41">
        <v>19</v>
      </c>
      <c r="I76" s="16">
        <f>'ECONOMIC ANALYSIS'!I108</f>
        <v>2.45275</v>
      </c>
      <c r="J76" s="16">
        <f t="shared" si="18"/>
        <v>0.37610349368852203</v>
      </c>
      <c r="K76" s="16">
        <f t="shared" si="22"/>
        <v>2.0766465063114778</v>
      </c>
      <c r="L76" s="16">
        <f t="shared" si="23"/>
        <v>0.78912567239836162</v>
      </c>
      <c r="M76" s="16">
        <f t="shared" si="19"/>
        <v>1.6636243276016383</v>
      </c>
      <c r="N76" s="16"/>
      <c r="O76" s="16"/>
      <c r="P76" s="16"/>
      <c r="Q76" s="16"/>
      <c r="R76" s="16"/>
      <c r="S76" s="16"/>
      <c r="T76" s="16"/>
    </row>
    <row r="77" spans="1:20">
      <c r="A77" s="41">
        <v>20</v>
      </c>
      <c r="B77" s="16">
        <f>'ECONOMIC ANALYSIS'!I81</f>
        <v>0.13065000000000015</v>
      </c>
      <c r="C77" s="16">
        <f t="shared" si="16"/>
        <v>0.40600804590678907</v>
      </c>
      <c r="D77" s="16">
        <f t="shared" si="20"/>
        <v>-0.27535804590678892</v>
      </c>
      <c r="E77" s="16">
        <f t="shared" si="21"/>
        <v>-0.10463605744457979</v>
      </c>
      <c r="F77" s="16">
        <f t="shared" si="17"/>
        <v>0.23528605744457995</v>
      </c>
      <c r="G77" s="16"/>
      <c r="H77" s="41">
        <v>20</v>
      </c>
      <c r="I77" s="16">
        <f>'ECONOMIC ANALYSIS'!I109</f>
        <v>-0.54725000000000001</v>
      </c>
      <c r="J77" s="16">
        <f>K25</f>
        <v>0.35353728406721069</v>
      </c>
      <c r="K77" s="16">
        <f t="shared" si="22"/>
        <v>-0.90078728406721065</v>
      </c>
      <c r="L77" s="16">
        <f t="shared" si="23"/>
        <v>-0.34229916794554005</v>
      </c>
      <c r="M77" s="16">
        <f t="shared" si="19"/>
        <v>-0.20495083205445996</v>
      </c>
      <c r="N77" s="16"/>
      <c r="O77" s="16"/>
      <c r="P77" s="16"/>
      <c r="Q77" s="16"/>
      <c r="R77" s="16"/>
      <c r="S77" s="16"/>
      <c r="T77" s="16"/>
    </row>
    <row r="78" spans="1:20">
      <c r="A78" s="52"/>
      <c r="B78" s="16"/>
      <c r="C78" s="16"/>
      <c r="D78" s="16"/>
      <c r="E78" s="51" t="s">
        <v>93</v>
      </c>
      <c r="F78" s="16">
        <f>F57+NPV(0.0434,F58:F77)</f>
        <v>3.0108140615433392</v>
      </c>
      <c r="G78" s="16"/>
      <c r="H78" s="16"/>
      <c r="I78" s="16"/>
      <c r="J78" s="16"/>
      <c r="K78" s="16"/>
      <c r="L78" s="51" t="s">
        <v>93</v>
      </c>
      <c r="M78" s="16">
        <f>M57+NPV(0.0434,M58:M77)</f>
        <v>1.9586958244445114</v>
      </c>
      <c r="N78" s="16"/>
      <c r="O78" s="16"/>
      <c r="P78" s="16"/>
      <c r="Q78" s="16"/>
      <c r="R78" s="16"/>
      <c r="S78" s="16"/>
      <c r="T78" s="16"/>
    </row>
    <row r="79" spans="1:20">
      <c r="A79" s="52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52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52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52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52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52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52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52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52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52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52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52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52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52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52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52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52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52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52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52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52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52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52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52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52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52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52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52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52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52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52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52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52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52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52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52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52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52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52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52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52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52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52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52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52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52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52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52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52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52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52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52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52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5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52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52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52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52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52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52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52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52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52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</sheetData>
  <mergeCells count="9">
    <mergeCell ref="A30:F30"/>
    <mergeCell ref="H30:M30"/>
    <mergeCell ref="A55:F55"/>
    <mergeCell ref="B1:C1"/>
    <mergeCell ref="B3:C3"/>
    <mergeCell ref="E3:F3"/>
    <mergeCell ref="H3:I3"/>
    <mergeCell ref="K3:L3"/>
    <mergeCell ref="H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36"/>
  <sheetViews>
    <sheetView tabSelected="1" topLeftCell="A6" workbookViewId="0">
      <selection activeCell="M21" sqref="M21"/>
    </sheetView>
  </sheetViews>
  <sheetFormatPr defaultRowHeight="15"/>
  <cols>
    <col min="3" max="3" width="22.140625" customWidth="1"/>
    <col min="4" max="4" width="15" customWidth="1"/>
    <col min="5" max="5" width="15.28515625" customWidth="1"/>
    <col min="6" max="6" width="18.85546875" customWidth="1"/>
    <col min="8" max="8" width="18.42578125" customWidth="1"/>
    <col min="9" max="9" width="14.140625" customWidth="1"/>
  </cols>
  <sheetData>
    <row r="3" spans="3:9">
      <c r="C3" s="63" t="s">
        <v>0</v>
      </c>
    </row>
    <row r="5" spans="3:9">
      <c r="C5" s="63" t="s">
        <v>94</v>
      </c>
    </row>
    <row r="7" spans="3:9">
      <c r="C7" t="s">
        <v>18</v>
      </c>
      <c r="D7" s="16">
        <f>Datasheet!C24</f>
        <v>4.5054600000000002</v>
      </c>
      <c r="F7" s="66"/>
    </row>
    <row r="8" spans="3:9">
      <c r="C8" t="s">
        <v>97</v>
      </c>
      <c r="D8" s="16">
        <f>Datasheet!C15</f>
        <v>1.051274</v>
      </c>
    </row>
    <row r="9" spans="3:9">
      <c r="C9" t="s">
        <v>98</v>
      </c>
      <c r="D9" s="16">
        <f>Datasheet!C16</f>
        <v>0.901092</v>
      </c>
    </row>
    <row r="10" spans="3:9">
      <c r="C10" t="s">
        <v>95</v>
      </c>
      <c r="D10" s="64">
        <f>Datasheet!C36</f>
        <v>7.0000000000000007E-2</v>
      </c>
    </row>
    <row r="11" spans="3:9">
      <c r="C11" t="s">
        <v>99</v>
      </c>
      <c r="D11" s="17">
        <f>Datasheet!C25</f>
        <v>0.35889366628708519</v>
      </c>
    </row>
    <row r="12" spans="3:9">
      <c r="C12" t="s">
        <v>96</v>
      </c>
      <c r="D12" s="65">
        <v>1.7899999999999999E-2</v>
      </c>
    </row>
    <row r="15" spans="3:9">
      <c r="C15" t="s">
        <v>100</v>
      </c>
      <c r="D15" t="s">
        <v>18</v>
      </c>
      <c r="E15" t="s">
        <v>97</v>
      </c>
      <c r="F15" t="s">
        <v>98</v>
      </c>
      <c r="G15" t="s">
        <v>95</v>
      </c>
      <c r="H15" t="s">
        <v>101</v>
      </c>
      <c r="I15" t="s">
        <v>96</v>
      </c>
    </row>
    <row r="16" spans="3:9">
      <c r="C16" s="26">
        <v>-0.5</v>
      </c>
      <c r="D16" s="16">
        <f>$D$7*(1+C16)</f>
        <v>2.2527300000000001</v>
      </c>
      <c r="E16" s="16">
        <f>$D$8*(1+C16)</f>
        <v>0.52563700000000002</v>
      </c>
      <c r="F16" s="16">
        <f>$D$9*(1+C16)</f>
        <v>0.450546</v>
      </c>
      <c r="G16" s="25">
        <f>$D$10*(1+C16)</f>
        <v>3.5000000000000003E-2</v>
      </c>
      <c r="H16" s="16">
        <f>$D$11*(1+C16)</f>
        <v>0.17944683314354259</v>
      </c>
      <c r="I16" s="25">
        <f>$D$12*(1+C16)</f>
        <v>8.9499999999999996E-3</v>
      </c>
    </row>
    <row r="17" spans="3:13">
      <c r="C17" s="26">
        <v>-0.4</v>
      </c>
      <c r="D17" s="16">
        <f t="shared" ref="D17:D36" si="0">$D$7*(1+C17)</f>
        <v>2.7032760000000002</v>
      </c>
      <c r="E17" s="16">
        <f t="shared" ref="E17:E38" si="1">$D$8*(1+C17)</f>
        <v>0.6307644</v>
      </c>
      <c r="F17" s="16">
        <f t="shared" ref="F17:F30" si="2">$D$9*(1+C17)</f>
        <v>0.5406552</v>
      </c>
      <c r="G17" s="25">
        <f t="shared" ref="G17:G36" si="3">$D$10*(1+C17)</f>
        <v>4.2000000000000003E-2</v>
      </c>
      <c r="H17" s="16">
        <f t="shared" ref="H17:H36" si="4">$D$11*(1+C17)</f>
        <v>0.2153361997722511</v>
      </c>
      <c r="I17" s="25">
        <f t="shared" ref="I17:I36" si="5">$D$12*(1+C17)</f>
        <v>1.074E-2</v>
      </c>
    </row>
    <row r="18" spans="3:13">
      <c r="C18" s="26">
        <v>-0.3</v>
      </c>
      <c r="D18" s="16">
        <f t="shared" si="0"/>
        <v>3.1538219999999999</v>
      </c>
      <c r="E18" s="16">
        <f t="shared" si="1"/>
        <v>0.73589179999999998</v>
      </c>
      <c r="F18" s="16">
        <f t="shared" si="2"/>
        <v>0.6307644</v>
      </c>
      <c r="G18" s="25">
        <f t="shared" si="3"/>
        <v>4.9000000000000002E-2</v>
      </c>
      <c r="H18" s="16">
        <f t="shared" si="4"/>
        <v>0.25122556640095961</v>
      </c>
      <c r="I18" s="25">
        <f t="shared" si="5"/>
        <v>1.2529999999999999E-2</v>
      </c>
    </row>
    <row r="19" spans="3:13">
      <c r="C19" s="26">
        <v>-0.2</v>
      </c>
      <c r="D19" s="16">
        <f t="shared" si="0"/>
        <v>3.6043680000000005</v>
      </c>
      <c r="E19" s="16">
        <f t="shared" si="1"/>
        <v>0.84101920000000008</v>
      </c>
      <c r="F19" s="16">
        <f t="shared" si="2"/>
        <v>0.7208736</v>
      </c>
      <c r="G19" s="25">
        <f t="shared" si="3"/>
        <v>5.6000000000000008E-2</v>
      </c>
      <c r="H19" s="16">
        <f t="shared" si="4"/>
        <v>0.28711493302966817</v>
      </c>
      <c r="I19" s="25">
        <f t="shared" si="5"/>
        <v>1.4319999999999999E-2</v>
      </c>
    </row>
    <row r="20" spans="3:13">
      <c r="C20" s="26">
        <v>-0.15</v>
      </c>
      <c r="D20" s="16">
        <f t="shared" si="0"/>
        <v>3.8296410000000001</v>
      </c>
      <c r="E20" s="16">
        <f t="shared" si="1"/>
        <v>0.89358289999999996</v>
      </c>
      <c r="F20" s="16">
        <f t="shared" si="2"/>
        <v>0.76592819999999995</v>
      </c>
      <c r="G20" s="25">
        <f t="shared" si="3"/>
        <v>5.9500000000000004E-2</v>
      </c>
      <c r="H20" s="16">
        <f t="shared" si="4"/>
        <v>0.3050596163440224</v>
      </c>
      <c r="I20" s="25">
        <f t="shared" si="5"/>
        <v>1.5214999999999999E-2</v>
      </c>
      <c r="M20" s="16"/>
    </row>
    <row r="21" spans="3:13">
      <c r="C21" s="26">
        <v>-0.1</v>
      </c>
      <c r="D21" s="16">
        <f t="shared" si="0"/>
        <v>4.0549140000000001</v>
      </c>
      <c r="E21" s="16">
        <f t="shared" si="1"/>
        <v>0.94614660000000006</v>
      </c>
      <c r="F21" s="16">
        <f t="shared" si="2"/>
        <v>0.8109828</v>
      </c>
      <c r="G21" s="25">
        <f t="shared" si="3"/>
        <v>6.3000000000000014E-2</v>
      </c>
      <c r="H21" s="16">
        <f t="shared" si="4"/>
        <v>0.32300429965837668</v>
      </c>
      <c r="I21" s="25">
        <f t="shared" si="5"/>
        <v>1.6109999999999999E-2</v>
      </c>
      <c r="M21" s="16"/>
    </row>
    <row r="22" spans="3:13">
      <c r="C22" s="26">
        <v>-0.08</v>
      </c>
      <c r="D22" s="16">
        <f t="shared" si="0"/>
        <v>4.1450232000000007</v>
      </c>
      <c r="E22" s="16">
        <f t="shared" si="1"/>
        <v>0.9671720800000001</v>
      </c>
      <c r="F22" s="16">
        <f t="shared" si="2"/>
        <v>0.82900464000000007</v>
      </c>
      <c r="G22" s="25">
        <f t="shared" si="3"/>
        <v>6.4400000000000013E-2</v>
      </c>
      <c r="H22" s="16">
        <f t="shared" si="4"/>
        <v>0.33018217298411839</v>
      </c>
      <c r="I22" s="25">
        <f t="shared" si="5"/>
        <v>1.6468E-2</v>
      </c>
    </row>
    <row r="23" spans="3:13">
      <c r="C23" s="26">
        <v>-0.05</v>
      </c>
      <c r="D23" s="16">
        <f t="shared" si="0"/>
        <v>4.2801869999999997</v>
      </c>
      <c r="E23" s="16">
        <f t="shared" si="1"/>
        <v>0.99871029999999994</v>
      </c>
      <c r="F23" s="16">
        <f t="shared" si="2"/>
        <v>0.85603739999999995</v>
      </c>
      <c r="G23" s="25">
        <f t="shared" si="3"/>
        <v>6.6500000000000004E-2</v>
      </c>
      <c r="H23" s="16">
        <f t="shared" si="4"/>
        <v>0.34094898297273091</v>
      </c>
      <c r="I23" s="25">
        <f t="shared" si="5"/>
        <v>1.7004999999999999E-2</v>
      </c>
    </row>
    <row r="24" spans="3:13">
      <c r="C24" s="26">
        <v>-0.02</v>
      </c>
      <c r="D24" s="16">
        <f t="shared" si="0"/>
        <v>4.4153508000000006</v>
      </c>
      <c r="E24" s="16">
        <f t="shared" si="1"/>
        <v>1.03024852</v>
      </c>
      <c r="F24" s="16">
        <f t="shared" si="2"/>
        <v>0.88307015999999994</v>
      </c>
      <c r="G24" s="25">
        <f t="shared" si="3"/>
        <v>6.8600000000000008E-2</v>
      </c>
      <c r="H24" s="16">
        <f t="shared" si="4"/>
        <v>0.35171579296134348</v>
      </c>
      <c r="I24" s="25">
        <f t="shared" si="5"/>
        <v>1.7541999999999999E-2</v>
      </c>
    </row>
    <row r="25" spans="3:13">
      <c r="C25" s="26">
        <v>-0.01</v>
      </c>
      <c r="D25" s="16">
        <f t="shared" si="0"/>
        <v>4.4604054</v>
      </c>
      <c r="E25" s="16">
        <f t="shared" si="1"/>
        <v>1.04076126</v>
      </c>
      <c r="F25" s="16">
        <f t="shared" si="2"/>
        <v>0.89208107999999997</v>
      </c>
      <c r="G25" s="25">
        <f t="shared" si="3"/>
        <v>6.93E-2</v>
      </c>
      <c r="H25" s="16">
        <f t="shared" si="4"/>
        <v>0.35530472962421433</v>
      </c>
      <c r="I25" s="25">
        <f t="shared" si="5"/>
        <v>1.7721000000000001E-2</v>
      </c>
    </row>
    <row r="26" spans="3:13">
      <c r="C26" s="26">
        <v>0</v>
      </c>
      <c r="D26" s="16">
        <f t="shared" si="0"/>
        <v>4.5054600000000002</v>
      </c>
      <c r="E26" s="16">
        <f t="shared" si="1"/>
        <v>1.051274</v>
      </c>
      <c r="F26" s="16">
        <f t="shared" si="2"/>
        <v>0.901092</v>
      </c>
      <c r="G26" s="25">
        <f t="shared" si="3"/>
        <v>7.0000000000000007E-2</v>
      </c>
      <c r="H26" s="16">
        <f t="shared" si="4"/>
        <v>0.35889366628708519</v>
      </c>
      <c r="I26" s="25">
        <f t="shared" si="5"/>
        <v>1.7899999999999999E-2</v>
      </c>
    </row>
    <row r="27" spans="3:13">
      <c r="C27" s="26">
        <v>0.01</v>
      </c>
      <c r="D27" s="16">
        <f t="shared" si="0"/>
        <v>4.5505146000000005</v>
      </c>
      <c r="E27" s="16">
        <f t="shared" si="1"/>
        <v>1.0617867400000001</v>
      </c>
      <c r="F27" s="16">
        <f t="shared" si="2"/>
        <v>0.91010292000000004</v>
      </c>
      <c r="G27" s="25">
        <f t="shared" si="3"/>
        <v>7.0700000000000013E-2</v>
      </c>
      <c r="H27" s="16">
        <f t="shared" si="4"/>
        <v>0.36248260294995605</v>
      </c>
      <c r="I27" s="25">
        <f t="shared" si="5"/>
        <v>1.8078999999999998E-2</v>
      </c>
    </row>
    <row r="28" spans="3:13">
      <c r="C28" s="26">
        <v>0.02</v>
      </c>
      <c r="D28" s="16">
        <f t="shared" si="0"/>
        <v>4.5955691999999999</v>
      </c>
      <c r="E28" s="16">
        <f t="shared" si="1"/>
        <v>1.0722994800000001</v>
      </c>
      <c r="F28" s="16">
        <f t="shared" si="2"/>
        <v>0.91911384000000007</v>
      </c>
      <c r="G28" s="25">
        <f t="shared" si="3"/>
        <v>7.1400000000000005E-2</v>
      </c>
      <c r="H28" s="16">
        <f t="shared" si="4"/>
        <v>0.3660715396128269</v>
      </c>
      <c r="I28" s="25">
        <f t="shared" si="5"/>
        <v>1.8258E-2</v>
      </c>
    </row>
    <row r="29" spans="3:13">
      <c r="C29" s="26">
        <v>0.05</v>
      </c>
      <c r="D29" s="16">
        <f t="shared" si="0"/>
        <v>4.7307330000000007</v>
      </c>
      <c r="E29" s="16">
        <f t="shared" si="1"/>
        <v>1.1038377000000001</v>
      </c>
      <c r="F29" s="16">
        <f t="shared" si="2"/>
        <v>0.94614660000000006</v>
      </c>
      <c r="G29" s="25">
        <f t="shared" si="3"/>
        <v>7.350000000000001E-2</v>
      </c>
      <c r="H29" s="16">
        <f t="shared" si="4"/>
        <v>0.37683834960143947</v>
      </c>
      <c r="I29" s="25">
        <f t="shared" si="5"/>
        <v>1.8794999999999999E-2</v>
      </c>
    </row>
    <row r="30" spans="3:13">
      <c r="C30" s="26">
        <v>0.08</v>
      </c>
      <c r="D30" s="16">
        <f t="shared" si="0"/>
        <v>4.8658968000000007</v>
      </c>
      <c r="E30" s="16">
        <f t="shared" si="1"/>
        <v>1.1353759200000002</v>
      </c>
      <c r="F30" s="16">
        <f t="shared" si="2"/>
        <v>0.97317936000000005</v>
      </c>
      <c r="G30" s="25">
        <f t="shared" si="3"/>
        <v>7.5600000000000014E-2</v>
      </c>
      <c r="H30" s="16">
        <f t="shared" si="4"/>
        <v>0.38760515959005204</v>
      </c>
      <c r="I30" s="25">
        <f t="shared" si="5"/>
        <v>1.9332000000000002E-2</v>
      </c>
    </row>
    <row r="31" spans="3:13">
      <c r="C31" s="26">
        <v>0.1</v>
      </c>
      <c r="D31" s="16">
        <f t="shared" si="0"/>
        <v>4.9560060000000004</v>
      </c>
      <c r="E31" s="16">
        <f t="shared" si="1"/>
        <v>1.1564014000000002</v>
      </c>
      <c r="F31" s="16">
        <f>$D$9*(1+C31)</f>
        <v>0.99120120000000012</v>
      </c>
      <c r="G31" s="25">
        <f t="shared" si="3"/>
        <v>7.7000000000000013E-2</v>
      </c>
      <c r="H31" s="16">
        <f t="shared" si="4"/>
        <v>0.39478303291579375</v>
      </c>
      <c r="I31" s="25">
        <f t="shared" si="5"/>
        <v>1.9689999999999999E-2</v>
      </c>
    </row>
    <row r="32" spans="3:13">
      <c r="C32" s="26">
        <v>0.15</v>
      </c>
      <c r="D32" s="16">
        <f t="shared" si="0"/>
        <v>5.181279</v>
      </c>
      <c r="E32" s="16">
        <f t="shared" si="1"/>
        <v>1.2089650999999999</v>
      </c>
      <c r="F32" s="16">
        <f>$D$9*(1+C32)</f>
        <v>1.0362557999999999</v>
      </c>
      <c r="G32" s="25">
        <f t="shared" si="3"/>
        <v>8.0500000000000002E-2</v>
      </c>
      <c r="H32" s="16">
        <f t="shared" si="4"/>
        <v>0.41272771623014792</v>
      </c>
      <c r="I32" s="25">
        <f t="shared" si="5"/>
        <v>2.0584999999999999E-2</v>
      </c>
    </row>
    <row r="33" spans="3:9">
      <c r="C33" s="26">
        <v>0.2</v>
      </c>
      <c r="D33" s="16">
        <f t="shared" si="0"/>
        <v>5.4065520000000005</v>
      </c>
      <c r="E33" s="16">
        <f t="shared" si="1"/>
        <v>1.2615288</v>
      </c>
      <c r="F33" s="16">
        <f t="shared" ref="F33:F35" si="6">$D$9*(1+C33)</f>
        <v>1.0813104</v>
      </c>
      <c r="G33" s="25">
        <f t="shared" si="3"/>
        <v>8.4000000000000005E-2</v>
      </c>
      <c r="H33" s="16">
        <f t="shared" si="4"/>
        <v>0.4306723995445022</v>
      </c>
      <c r="I33" s="25">
        <f t="shared" si="5"/>
        <v>2.1479999999999999E-2</v>
      </c>
    </row>
    <row r="34" spans="3:9">
      <c r="C34" s="26">
        <v>0.3</v>
      </c>
      <c r="D34" s="16">
        <f t="shared" si="0"/>
        <v>5.8570980000000006</v>
      </c>
      <c r="E34" s="16">
        <f t="shared" si="1"/>
        <v>1.3666562000000002</v>
      </c>
      <c r="F34" s="16">
        <f t="shared" si="6"/>
        <v>1.1714196000000001</v>
      </c>
      <c r="G34" s="25">
        <f t="shared" si="3"/>
        <v>9.1000000000000011E-2</v>
      </c>
      <c r="H34" s="16">
        <f t="shared" si="4"/>
        <v>0.46656176617321077</v>
      </c>
      <c r="I34" s="25">
        <f t="shared" si="5"/>
        <v>2.3269999999999999E-2</v>
      </c>
    </row>
    <row r="35" spans="3:9">
      <c r="C35" s="26">
        <v>0.4</v>
      </c>
      <c r="D35" s="16">
        <f t="shared" si="0"/>
        <v>6.3076439999999998</v>
      </c>
      <c r="E35" s="16">
        <f t="shared" si="1"/>
        <v>1.4717836</v>
      </c>
      <c r="F35" s="16">
        <f t="shared" si="6"/>
        <v>1.2615288</v>
      </c>
      <c r="G35" s="25">
        <f t="shared" si="3"/>
        <v>9.8000000000000004E-2</v>
      </c>
      <c r="H35" s="16">
        <f t="shared" si="4"/>
        <v>0.50245113280191922</v>
      </c>
      <c r="I35" s="25">
        <f t="shared" si="5"/>
        <v>2.5059999999999999E-2</v>
      </c>
    </row>
    <row r="36" spans="3:9">
      <c r="C36" s="26">
        <v>0.5</v>
      </c>
      <c r="D36" s="16">
        <f t="shared" si="0"/>
        <v>6.7581900000000008</v>
      </c>
      <c r="E36" s="16">
        <f t="shared" si="1"/>
        <v>1.576911</v>
      </c>
      <c r="F36" s="16">
        <f>$D$9*(1+C36)</f>
        <v>1.3516379999999999</v>
      </c>
      <c r="G36" s="25">
        <f t="shared" si="3"/>
        <v>0.10500000000000001</v>
      </c>
      <c r="H36" s="16">
        <f t="shared" si="4"/>
        <v>0.53834049943062778</v>
      </c>
      <c r="I36" s="25">
        <f t="shared" si="5"/>
        <v>2.6849999999999999E-2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Datasheet</vt:lpstr>
      <vt:lpstr>ECONOMIC ANALYSIS</vt:lpstr>
      <vt:lpstr>AFTER TAX CALCULATION</vt:lpstr>
      <vt:lpstr>SA1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sashank</dc:creator>
  <cp:keywords/>
  <dc:description/>
  <cp:lastModifiedBy>abc</cp:lastModifiedBy>
  <cp:revision/>
  <dcterms:created xsi:type="dcterms:W3CDTF">2018-03-15T22:36:32Z</dcterms:created>
  <dcterms:modified xsi:type="dcterms:W3CDTF">2018-04-05T23:37:47Z</dcterms:modified>
  <cp:category/>
  <cp:contentStatus/>
</cp:coreProperties>
</file>