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310"/>
  <workbookPr defaultThemeVersion="166925"/>
  <bookViews>
    <workbookView xWindow="0" yWindow="0" windowWidth="20490" windowHeight="7620" firstSheet="3" activeTab="3" xr2:uid="{00000000-000D-0000-FFFF-FFFF00000000}"/>
  </bookViews>
  <sheets>
    <sheet name="Datasheet" sheetId="1" r:id="rId1"/>
    <sheet name="ECONOMIC ANALYSIS" sheetId="2" r:id="rId2"/>
    <sheet name="AFTER TAX CALCULATION" sheetId="3" r:id="rId3"/>
    <sheet name="SA1" sheetId="4" r:id="rId4"/>
    <sheet name="SA2" sheetId="5" r:id="rId5"/>
    <sheet name="SA3" sheetId="6" r:id="rId6"/>
    <sheet name="SA4" sheetId="7" r:id="rId7"/>
    <sheet name="Sheet1" sheetId="8" r:id="rId8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7" l="1"/>
  <c r="D9" i="7"/>
  <c r="D10" i="7"/>
  <c r="D11" i="7"/>
  <c r="D7" i="7"/>
  <c r="D8" i="6"/>
  <c r="D9" i="6"/>
  <c r="D10" i="6"/>
  <c r="D11" i="6"/>
  <c r="D7" i="6"/>
  <c r="D8" i="5"/>
  <c r="D9" i="5"/>
  <c r="D10" i="5"/>
  <c r="D11" i="5"/>
  <c r="D8" i="4"/>
  <c r="D9" i="4"/>
  <c r="D10" i="4"/>
  <c r="D11" i="4"/>
  <c r="D7" i="5"/>
  <c r="D7" i="4"/>
  <c r="G7" i="4"/>
  <c r="I15" i="1"/>
  <c r="I16" i="1"/>
  <c r="I14" i="1"/>
  <c r="I12" i="1"/>
  <c r="I27" i="1"/>
  <c r="I25" i="1"/>
  <c r="I24" i="1"/>
  <c r="G15" i="1"/>
  <c r="G16" i="1"/>
  <c r="G14" i="1"/>
  <c r="G12" i="1"/>
  <c r="G27" i="1"/>
  <c r="G25" i="1"/>
  <c r="G24" i="1"/>
  <c r="E24" i="1"/>
  <c r="E14" i="1"/>
  <c r="E12" i="1"/>
  <c r="E27" i="1"/>
  <c r="E25" i="1"/>
  <c r="E15" i="1"/>
  <c r="C15" i="1"/>
  <c r="C16" i="1"/>
  <c r="C14" i="1"/>
  <c r="C12" i="1"/>
  <c r="C27" i="1"/>
  <c r="C25" i="1"/>
  <c r="C90" i="2"/>
  <c r="I21" i="1"/>
  <c r="F90" i="2"/>
  <c r="G90" i="2"/>
  <c r="AI6" i="2"/>
  <c r="AJ6" i="2"/>
  <c r="C91" i="2"/>
  <c r="F91" i="2"/>
  <c r="G91" i="2"/>
  <c r="AI7" i="2"/>
  <c r="AJ7" i="2"/>
  <c r="C92" i="2"/>
  <c r="F92" i="2"/>
  <c r="G92" i="2"/>
  <c r="AI8" i="2"/>
  <c r="AJ8" i="2"/>
  <c r="C93" i="2"/>
  <c r="F93" i="2"/>
  <c r="G93" i="2"/>
  <c r="AI9" i="2"/>
  <c r="AJ9" i="2"/>
  <c r="C94" i="2"/>
  <c r="F94" i="2"/>
  <c r="G94" i="2"/>
  <c r="AI10" i="2"/>
  <c r="AJ10" i="2"/>
  <c r="C95" i="2"/>
  <c r="F95" i="2"/>
  <c r="G95" i="2"/>
  <c r="AI11" i="2"/>
  <c r="AJ11" i="2"/>
  <c r="C96" i="2"/>
  <c r="I19" i="1"/>
  <c r="E96" i="2"/>
  <c r="F96" i="2"/>
  <c r="G96" i="2"/>
  <c r="AI12" i="2"/>
  <c r="AJ12" i="2"/>
  <c r="C97" i="2"/>
  <c r="D97" i="2"/>
  <c r="F97" i="2"/>
  <c r="G97" i="2"/>
  <c r="AI13" i="2"/>
  <c r="AJ13" i="2"/>
  <c r="C98" i="2"/>
  <c r="F98" i="2"/>
  <c r="G98" i="2"/>
  <c r="AI14" i="2"/>
  <c r="AJ14" i="2"/>
  <c r="C99" i="2"/>
  <c r="F99" i="2"/>
  <c r="G99" i="2"/>
  <c r="AI15" i="2"/>
  <c r="AJ15" i="2"/>
  <c r="C100" i="2"/>
  <c r="F100" i="2"/>
  <c r="G100" i="2"/>
  <c r="AI16" i="2"/>
  <c r="AJ16" i="2"/>
  <c r="C101" i="2"/>
  <c r="F101" i="2"/>
  <c r="G101" i="2"/>
  <c r="AI17" i="2"/>
  <c r="AJ17" i="2"/>
  <c r="C102" i="2"/>
  <c r="F102" i="2"/>
  <c r="G102" i="2"/>
  <c r="AI18" i="2"/>
  <c r="AJ18" i="2"/>
  <c r="C103" i="2"/>
  <c r="F103" i="2"/>
  <c r="G103" i="2"/>
  <c r="AI19" i="2"/>
  <c r="AJ19" i="2"/>
  <c r="C104" i="2"/>
  <c r="F104" i="2"/>
  <c r="G104" i="2"/>
  <c r="AI20" i="2"/>
  <c r="AJ20" i="2"/>
  <c r="C105" i="2"/>
  <c r="D105" i="2"/>
  <c r="F105" i="2"/>
  <c r="G105" i="2"/>
  <c r="AI21" i="2"/>
  <c r="AJ21" i="2"/>
  <c r="C106" i="2"/>
  <c r="F106" i="2"/>
  <c r="G106" i="2"/>
  <c r="AI22" i="2"/>
  <c r="AJ22" i="2"/>
  <c r="C107" i="2"/>
  <c r="F107" i="2"/>
  <c r="G107" i="2"/>
  <c r="AI23" i="2"/>
  <c r="AJ23" i="2"/>
  <c r="C108" i="2"/>
  <c r="F108" i="2"/>
  <c r="G108" i="2"/>
  <c r="AI24" i="2"/>
  <c r="AJ24" i="2"/>
  <c r="C109" i="2"/>
  <c r="I22" i="1"/>
  <c r="F109" i="2"/>
  <c r="G109" i="2"/>
  <c r="AI25" i="2"/>
  <c r="AJ25" i="2"/>
  <c r="E16" i="1"/>
  <c r="C24" i="1"/>
  <c r="C62" i="2"/>
  <c r="G21" i="1"/>
  <c r="F62" i="2"/>
  <c r="G62" i="2"/>
  <c r="AF6" i="2"/>
  <c r="AG6" i="2"/>
  <c r="C63" i="2"/>
  <c r="F63" i="2"/>
  <c r="G63" i="2"/>
  <c r="AF7" i="2"/>
  <c r="AG7" i="2"/>
  <c r="C64" i="2"/>
  <c r="F64" i="2"/>
  <c r="G64" i="2"/>
  <c r="AF8" i="2"/>
  <c r="AG8" i="2"/>
  <c r="C65" i="2"/>
  <c r="F65" i="2"/>
  <c r="G65" i="2"/>
  <c r="AF9" i="2"/>
  <c r="AG9" i="2"/>
  <c r="C66" i="2"/>
  <c r="F66" i="2"/>
  <c r="G66" i="2"/>
  <c r="AF10" i="2"/>
  <c r="AG10" i="2"/>
  <c r="C67" i="2"/>
  <c r="F67" i="2"/>
  <c r="G67" i="2"/>
  <c r="AF11" i="2"/>
  <c r="AG11" i="2"/>
  <c r="C68" i="2"/>
  <c r="G19" i="1"/>
  <c r="E68" i="2"/>
  <c r="F68" i="2"/>
  <c r="G68" i="2"/>
  <c r="AF12" i="2"/>
  <c r="AG12" i="2"/>
  <c r="C69" i="2"/>
  <c r="D69" i="2"/>
  <c r="F69" i="2"/>
  <c r="G69" i="2"/>
  <c r="AF13" i="2"/>
  <c r="AG13" i="2"/>
  <c r="C70" i="2"/>
  <c r="F70" i="2"/>
  <c r="G70" i="2"/>
  <c r="AF14" i="2"/>
  <c r="AG14" i="2"/>
  <c r="C71" i="2"/>
  <c r="F71" i="2"/>
  <c r="G71" i="2"/>
  <c r="AF15" i="2"/>
  <c r="AG15" i="2"/>
  <c r="C72" i="2"/>
  <c r="F72" i="2"/>
  <c r="G72" i="2"/>
  <c r="AF16" i="2"/>
  <c r="AG16" i="2"/>
  <c r="C73" i="2"/>
  <c r="F73" i="2"/>
  <c r="G73" i="2"/>
  <c r="AF17" i="2"/>
  <c r="AG17" i="2"/>
  <c r="C74" i="2"/>
  <c r="F74" i="2"/>
  <c r="G74" i="2"/>
  <c r="AF18" i="2"/>
  <c r="AG18" i="2"/>
  <c r="C75" i="2"/>
  <c r="F75" i="2"/>
  <c r="G75" i="2"/>
  <c r="AF19" i="2"/>
  <c r="AG19" i="2"/>
  <c r="C76" i="2"/>
  <c r="F76" i="2"/>
  <c r="G76" i="2"/>
  <c r="AF20" i="2"/>
  <c r="AG20" i="2"/>
  <c r="C77" i="2"/>
  <c r="D77" i="2"/>
  <c r="F77" i="2"/>
  <c r="G77" i="2"/>
  <c r="AF21" i="2"/>
  <c r="AG21" i="2"/>
  <c r="C78" i="2"/>
  <c r="F78" i="2"/>
  <c r="G78" i="2"/>
  <c r="AF22" i="2"/>
  <c r="AG22" i="2"/>
  <c r="C79" i="2"/>
  <c r="F79" i="2"/>
  <c r="G79" i="2"/>
  <c r="AF23" i="2"/>
  <c r="AG23" i="2"/>
  <c r="C80" i="2"/>
  <c r="F80" i="2"/>
  <c r="G80" i="2"/>
  <c r="AF24" i="2"/>
  <c r="AG24" i="2"/>
  <c r="C81" i="2"/>
  <c r="G22" i="1"/>
  <c r="F81" i="2"/>
  <c r="G81" i="2"/>
  <c r="AF25" i="2"/>
  <c r="AG25" i="2"/>
  <c r="C34" i="2"/>
  <c r="E21" i="1"/>
  <c r="F34" i="2"/>
  <c r="G34" i="2"/>
  <c r="AC6" i="2"/>
  <c r="AD6" i="2"/>
  <c r="C35" i="2"/>
  <c r="F35" i="2"/>
  <c r="G35" i="2"/>
  <c r="AC7" i="2"/>
  <c r="AD7" i="2"/>
  <c r="C36" i="2"/>
  <c r="F36" i="2"/>
  <c r="G36" i="2"/>
  <c r="AC8" i="2"/>
  <c r="AD8" i="2"/>
  <c r="C37" i="2"/>
  <c r="F37" i="2"/>
  <c r="G37" i="2"/>
  <c r="AC9" i="2"/>
  <c r="AD9" i="2"/>
  <c r="C38" i="2"/>
  <c r="F38" i="2"/>
  <c r="G38" i="2"/>
  <c r="AC10" i="2"/>
  <c r="AD10" i="2"/>
  <c r="C39" i="2"/>
  <c r="D39" i="2"/>
  <c r="F39" i="2"/>
  <c r="G39" i="2"/>
  <c r="AC11" i="2"/>
  <c r="AD11" i="2"/>
  <c r="C40" i="2"/>
  <c r="E19" i="1"/>
  <c r="E40" i="2"/>
  <c r="F40" i="2"/>
  <c r="G40" i="2"/>
  <c r="AC12" i="2"/>
  <c r="AD12" i="2"/>
  <c r="C41" i="2"/>
  <c r="F41" i="2"/>
  <c r="G41" i="2"/>
  <c r="AC13" i="2"/>
  <c r="AD13" i="2"/>
  <c r="C42" i="2"/>
  <c r="F42" i="2"/>
  <c r="G42" i="2"/>
  <c r="AC14" i="2"/>
  <c r="AD14" i="2"/>
  <c r="C43" i="2"/>
  <c r="F43" i="2"/>
  <c r="G43" i="2"/>
  <c r="AC15" i="2"/>
  <c r="AD15" i="2"/>
  <c r="C44" i="2"/>
  <c r="F44" i="2"/>
  <c r="G44" i="2"/>
  <c r="AC16" i="2"/>
  <c r="AD16" i="2"/>
  <c r="C45" i="2"/>
  <c r="D45" i="2"/>
  <c r="F45" i="2"/>
  <c r="G45" i="2"/>
  <c r="AC17" i="2"/>
  <c r="AD17" i="2"/>
  <c r="C46" i="2"/>
  <c r="F46" i="2"/>
  <c r="G46" i="2"/>
  <c r="AC18" i="2"/>
  <c r="AD18" i="2"/>
  <c r="C47" i="2"/>
  <c r="F47" i="2"/>
  <c r="G47" i="2"/>
  <c r="AC19" i="2"/>
  <c r="AD19" i="2"/>
  <c r="C48" i="2"/>
  <c r="F48" i="2"/>
  <c r="G48" i="2"/>
  <c r="AC20" i="2"/>
  <c r="AD20" i="2"/>
  <c r="C49" i="2"/>
  <c r="F49" i="2"/>
  <c r="G49" i="2"/>
  <c r="AC21" i="2"/>
  <c r="AD21" i="2"/>
  <c r="C50" i="2"/>
  <c r="F50" i="2"/>
  <c r="G50" i="2"/>
  <c r="AC22" i="2"/>
  <c r="AD22" i="2"/>
  <c r="C51" i="2"/>
  <c r="D51" i="2"/>
  <c r="F51" i="2"/>
  <c r="G51" i="2"/>
  <c r="AC23" i="2"/>
  <c r="AD23" i="2"/>
  <c r="C52" i="2"/>
  <c r="F52" i="2"/>
  <c r="G52" i="2"/>
  <c r="AC24" i="2"/>
  <c r="AD24" i="2"/>
  <c r="C53" i="2"/>
  <c r="E22" i="1"/>
  <c r="F53" i="2"/>
  <c r="G53" i="2"/>
  <c r="AC25" i="2"/>
  <c r="AD25" i="2"/>
  <c r="C6" i="2"/>
  <c r="C21" i="1"/>
  <c r="F6" i="2"/>
  <c r="G6" i="2"/>
  <c r="Z6" i="2"/>
  <c r="AA6" i="2"/>
  <c r="C7" i="2"/>
  <c r="F7" i="2"/>
  <c r="G7" i="2"/>
  <c r="Z7" i="2"/>
  <c r="AA7" i="2"/>
  <c r="C8" i="2"/>
  <c r="F8" i="2"/>
  <c r="G8" i="2"/>
  <c r="Z8" i="2"/>
  <c r="AA8" i="2"/>
  <c r="C9" i="2"/>
  <c r="F9" i="2"/>
  <c r="G9" i="2"/>
  <c r="Z9" i="2"/>
  <c r="AA9" i="2"/>
  <c r="C10" i="2"/>
  <c r="F10" i="2"/>
  <c r="G10" i="2"/>
  <c r="Z10" i="2"/>
  <c r="AA10" i="2"/>
  <c r="C11" i="2"/>
  <c r="D11" i="2"/>
  <c r="F11" i="2"/>
  <c r="G11" i="2"/>
  <c r="Z11" i="2"/>
  <c r="AA11" i="2"/>
  <c r="C12" i="2"/>
  <c r="C19" i="1"/>
  <c r="E12" i="2"/>
  <c r="F12" i="2"/>
  <c r="G12" i="2"/>
  <c r="Z12" i="2"/>
  <c r="AA12" i="2"/>
  <c r="C13" i="2"/>
  <c r="F13" i="2"/>
  <c r="G13" i="2"/>
  <c r="Z13" i="2"/>
  <c r="AA13" i="2"/>
  <c r="C14" i="2"/>
  <c r="F14" i="2"/>
  <c r="G14" i="2"/>
  <c r="Z14" i="2"/>
  <c r="AA14" i="2"/>
  <c r="C15" i="2"/>
  <c r="F15" i="2"/>
  <c r="G15" i="2"/>
  <c r="Z15" i="2"/>
  <c r="AA15" i="2"/>
  <c r="C16" i="2"/>
  <c r="F16" i="2"/>
  <c r="G16" i="2"/>
  <c r="Z16" i="2"/>
  <c r="AA16" i="2"/>
  <c r="C17" i="2"/>
  <c r="D17" i="2"/>
  <c r="F17" i="2"/>
  <c r="G17" i="2"/>
  <c r="Z17" i="2"/>
  <c r="AA17" i="2"/>
  <c r="C18" i="2"/>
  <c r="F18" i="2"/>
  <c r="G18" i="2"/>
  <c r="Z18" i="2"/>
  <c r="AA18" i="2"/>
  <c r="C19" i="2"/>
  <c r="F19" i="2"/>
  <c r="G19" i="2"/>
  <c r="Z19" i="2"/>
  <c r="AA19" i="2"/>
  <c r="C20" i="2"/>
  <c r="F20" i="2"/>
  <c r="G20" i="2"/>
  <c r="Z20" i="2"/>
  <c r="AA20" i="2"/>
  <c r="C21" i="2"/>
  <c r="F21" i="2"/>
  <c r="G21" i="2"/>
  <c r="Z21" i="2"/>
  <c r="AA21" i="2"/>
  <c r="C22" i="2"/>
  <c r="F22" i="2"/>
  <c r="G22" i="2"/>
  <c r="Z22" i="2"/>
  <c r="AA22" i="2"/>
  <c r="C23" i="2"/>
  <c r="D23" i="2"/>
  <c r="F23" i="2"/>
  <c r="G23" i="2"/>
  <c r="Z23" i="2"/>
  <c r="AA23" i="2"/>
  <c r="C24" i="2"/>
  <c r="F24" i="2"/>
  <c r="G24" i="2"/>
  <c r="Z24" i="2"/>
  <c r="AA24" i="2"/>
  <c r="C25" i="2"/>
  <c r="C22" i="1"/>
  <c r="F25" i="2"/>
  <c r="G25" i="2"/>
  <c r="Z25" i="2"/>
  <c r="AA25" i="2"/>
  <c r="D119" i="2"/>
  <c r="G32" i="4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G36" i="7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G36" i="6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G36" i="5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16" i="4"/>
  <c r="G17" i="6"/>
  <c r="G36" i="4"/>
  <c r="G16" i="6"/>
  <c r="G21" i="6"/>
  <c r="G19" i="6"/>
  <c r="G29" i="6"/>
  <c r="G23" i="6"/>
  <c r="G31" i="6"/>
  <c r="G18" i="6"/>
  <c r="G20" i="6"/>
  <c r="G25" i="6"/>
  <c r="G33" i="6"/>
  <c r="G27" i="6"/>
  <c r="G35" i="6"/>
  <c r="G20" i="4"/>
  <c r="G24" i="4"/>
  <c r="G28" i="4"/>
  <c r="G19" i="4"/>
  <c r="G17" i="7"/>
  <c r="G19" i="7"/>
  <c r="G21" i="7"/>
  <c r="G23" i="7"/>
  <c r="G25" i="7"/>
  <c r="G27" i="7"/>
  <c r="G29" i="7"/>
  <c r="G31" i="7"/>
  <c r="G33" i="7"/>
  <c r="G35" i="7"/>
  <c r="G16" i="7"/>
  <c r="G18" i="7"/>
  <c r="G20" i="7"/>
  <c r="G22" i="7"/>
  <c r="G24" i="7"/>
  <c r="G26" i="7"/>
  <c r="G28" i="7"/>
  <c r="G30" i="7"/>
  <c r="G32" i="7"/>
  <c r="G34" i="7"/>
  <c r="G22" i="6"/>
  <c r="G24" i="6"/>
  <c r="G26" i="6"/>
  <c r="G28" i="6"/>
  <c r="G30" i="6"/>
  <c r="G32" i="6"/>
  <c r="G34" i="6"/>
  <c r="G17" i="5"/>
  <c r="G19" i="5"/>
  <c r="G21" i="5"/>
  <c r="G23" i="5"/>
  <c r="G25" i="5"/>
  <c r="G27" i="5"/>
  <c r="G29" i="5"/>
  <c r="G31" i="5"/>
  <c r="G33" i="5"/>
  <c r="G35" i="5"/>
  <c r="G16" i="5"/>
  <c r="G18" i="5"/>
  <c r="G20" i="5"/>
  <c r="G22" i="5"/>
  <c r="G24" i="5"/>
  <c r="G26" i="5"/>
  <c r="G28" i="5"/>
  <c r="G30" i="5"/>
  <c r="G32" i="5"/>
  <c r="G34" i="5"/>
  <c r="G16" i="4"/>
  <c r="G33" i="4"/>
  <c r="G29" i="4"/>
  <c r="G25" i="4"/>
  <c r="G21" i="4"/>
  <c r="G17" i="4"/>
  <c r="G34" i="4"/>
  <c r="G30" i="4"/>
  <c r="G26" i="4"/>
  <c r="G22" i="4"/>
  <c r="G18" i="4"/>
  <c r="G35" i="4"/>
  <c r="G31" i="4"/>
  <c r="G27" i="4"/>
  <c r="G23" i="4"/>
  <c r="F1" i="3"/>
  <c r="J57" i="3"/>
  <c r="C57" i="3"/>
  <c r="J32" i="3"/>
  <c r="C32" i="3"/>
  <c r="W5" i="2"/>
  <c r="U5" i="2"/>
  <c r="S5" i="2"/>
  <c r="Q5" i="2"/>
  <c r="C38" i="1"/>
  <c r="C34" i="1"/>
  <c r="F18" i="5"/>
  <c r="F21" i="5"/>
  <c r="F29" i="5"/>
  <c r="F24" i="5"/>
  <c r="F32" i="5"/>
  <c r="F23" i="5"/>
  <c r="F16" i="5"/>
  <c r="F26" i="5"/>
  <c r="F30" i="5"/>
  <c r="F25" i="5"/>
  <c r="F31" i="5"/>
  <c r="F35" i="5"/>
  <c r="F20" i="5"/>
  <c r="F34" i="5"/>
  <c r="F27" i="5"/>
  <c r="F19" i="5"/>
  <c r="F22" i="5"/>
  <c r="F17" i="5"/>
  <c r="F28" i="5"/>
  <c r="F36" i="5"/>
  <c r="F33" i="5"/>
  <c r="F34" i="4"/>
  <c r="F21" i="4"/>
  <c r="F17" i="4"/>
  <c r="F26" i="4"/>
  <c r="F19" i="4"/>
  <c r="F20" i="4"/>
  <c r="F29" i="4"/>
  <c r="F33" i="4"/>
  <c r="F18" i="4"/>
  <c r="F22" i="4"/>
  <c r="F27" i="4"/>
  <c r="F24" i="4"/>
  <c r="F31" i="4"/>
  <c r="F30" i="4"/>
  <c r="F25" i="4"/>
  <c r="F23" i="4"/>
  <c r="F35" i="4"/>
  <c r="F32" i="4"/>
  <c r="F16" i="4"/>
  <c r="F28" i="4"/>
  <c r="F36" i="4"/>
  <c r="F27" i="7"/>
  <c r="F17" i="7"/>
  <c r="F18" i="7"/>
  <c r="F24" i="7"/>
  <c r="F35" i="7"/>
  <c r="F32" i="7"/>
  <c r="F20" i="7"/>
  <c r="F36" i="7"/>
  <c r="F22" i="7"/>
  <c r="F29" i="7"/>
  <c r="F33" i="7"/>
  <c r="F30" i="7"/>
  <c r="F21" i="7"/>
  <c r="F23" i="7"/>
  <c r="F34" i="7"/>
  <c r="F25" i="7"/>
  <c r="F16" i="7"/>
  <c r="F31" i="7"/>
  <c r="F28" i="7"/>
  <c r="F19" i="7"/>
  <c r="F26" i="7"/>
  <c r="F36" i="6"/>
  <c r="F21" i="6"/>
  <c r="F29" i="6"/>
  <c r="F18" i="6"/>
  <c r="F26" i="6"/>
  <c r="F34" i="6"/>
  <c r="F17" i="6"/>
  <c r="F31" i="6"/>
  <c r="F35" i="6"/>
  <c r="F20" i="6"/>
  <c r="F24" i="6"/>
  <c r="F32" i="6"/>
  <c r="F33" i="6"/>
  <c r="F22" i="6"/>
  <c r="F23" i="6"/>
  <c r="F27" i="6"/>
  <c r="F16" i="6"/>
  <c r="F25" i="6"/>
  <c r="F28" i="6"/>
  <c r="F19" i="6"/>
  <c r="F30" i="6"/>
  <c r="E27" i="4"/>
  <c r="E17" i="4"/>
  <c r="E20" i="4"/>
  <c r="E28" i="4"/>
  <c r="E24" i="4"/>
  <c r="E31" i="4"/>
  <c r="E25" i="4"/>
  <c r="E22" i="4"/>
  <c r="E23" i="4"/>
  <c r="E19" i="4"/>
  <c r="E26" i="4"/>
  <c r="E18" i="4"/>
  <c r="E33" i="4"/>
  <c r="E29" i="4"/>
  <c r="E34" i="4"/>
  <c r="E36" i="4"/>
  <c r="E32" i="4"/>
  <c r="E35" i="4"/>
  <c r="E30" i="4"/>
  <c r="E21" i="4"/>
  <c r="E16" i="4"/>
  <c r="E35" i="7"/>
  <c r="E18" i="7"/>
  <c r="E22" i="7"/>
  <c r="E26" i="7"/>
  <c r="E30" i="7"/>
  <c r="E34" i="7"/>
  <c r="E28" i="7"/>
  <c r="E17" i="7"/>
  <c r="E21" i="7"/>
  <c r="E25" i="7"/>
  <c r="E29" i="7"/>
  <c r="E33" i="7"/>
  <c r="E24" i="7"/>
  <c r="E36" i="7"/>
  <c r="E19" i="7"/>
  <c r="E23" i="7"/>
  <c r="E31" i="7"/>
  <c r="E16" i="7"/>
  <c r="E32" i="7"/>
  <c r="E20" i="7"/>
  <c r="E27" i="7"/>
  <c r="E30" i="6"/>
  <c r="E16" i="6"/>
  <c r="E17" i="6"/>
  <c r="E32" i="6"/>
  <c r="E25" i="6"/>
  <c r="E18" i="6"/>
  <c r="E26" i="6"/>
  <c r="E29" i="6"/>
  <c r="E28" i="6"/>
  <c r="E27" i="6"/>
  <c r="E34" i="6"/>
  <c r="E21" i="6"/>
  <c r="E23" i="6"/>
  <c r="E24" i="6"/>
  <c r="E19" i="6"/>
  <c r="E31" i="6"/>
  <c r="E35" i="6"/>
  <c r="E33" i="6"/>
  <c r="E36" i="6"/>
  <c r="E20" i="6"/>
  <c r="E22" i="6"/>
  <c r="D35" i="7"/>
  <c r="D18" i="7"/>
  <c r="D26" i="7"/>
  <c r="D30" i="7"/>
  <c r="D19" i="7"/>
  <c r="D27" i="7"/>
  <c r="D20" i="7"/>
  <c r="D32" i="7"/>
  <c r="D36" i="7"/>
  <c r="D23" i="7"/>
  <c r="D29" i="7"/>
  <c r="D33" i="7"/>
  <c r="D22" i="7"/>
  <c r="D24" i="7"/>
  <c r="D34" i="7"/>
  <c r="D17" i="7"/>
  <c r="D31" i="7"/>
  <c r="D16" i="7"/>
  <c r="D25" i="7"/>
  <c r="D28" i="7"/>
  <c r="D21" i="7"/>
  <c r="D16" i="5"/>
  <c r="D18" i="5"/>
  <c r="D35" i="5"/>
  <c r="D22" i="5"/>
  <c r="D28" i="5"/>
  <c r="D32" i="5"/>
  <c r="D19" i="5"/>
  <c r="D27" i="5"/>
  <c r="D34" i="5"/>
  <c r="D23" i="5"/>
  <c r="D24" i="5"/>
  <c r="D31" i="5"/>
  <c r="D20" i="5"/>
  <c r="D36" i="5"/>
  <c r="D21" i="5"/>
  <c r="D25" i="5"/>
  <c r="D30" i="5"/>
  <c r="D26" i="5"/>
  <c r="D17" i="5"/>
  <c r="D29" i="5"/>
  <c r="D33" i="5"/>
  <c r="D24" i="4"/>
  <c r="D33" i="4"/>
  <c r="D26" i="4"/>
  <c r="D19" i="4"/>
  <c r="D23" i="4"/>
  <c r="D28" i="4"/>
  <c r="D17" i="4"/>
  <c r="D34" i="4"/>
  <c r="D35" i="4"/>
  <c r="D20" i="4"/>
  <c r="D29" i="4"/>
  <c r="D30" i="4"/>
  <c r="D31" i="4"/>
  <c r="D36" i="4"/>
  <c r="D22" i="4"/>
  <c r="D27" i="4"/>
  <c r="D32" i="4"/>
  <c r="D25" i="4"/>
  <c r="D18" i="4"/>
  <c r="D21" i="4"/>
  <c r="D16" i="4"/>
  <c r="B89" i="2"/>
  <c r="L5" i="3"/>
  <c r="I5" i="3"/>
  <c r="B61" i="2"/>
  <c r="R5" i="2"/>
  <c r="G7" i="6"/>
  <c r="K41" i="6"/>
  <c r="D20" i="6"/>
  <c r="D24" i="6"/>
  <c r="D28" i="6"/>
  <c r="D32" i="6"/>
  <c r="D36" i="6"/>
  <c r="D17" i="6"/>
  <c r="D21" i="6"/>
  <c r="D25" i="6"/>
  <c r="D29" i="6"/>
  <c r="D33" i="6"/>
  <c r="D18" i="6"/>
  <c r="D22" i="6"/>
  <c r="D26" i="6"/>
  <c r="D30" i="6"/>
  <c r="D34" i="6"/>
  <c r="D19" i="6"/>
  <c r="D23" i="6"/>
  <c r="D27" i="6"/>
  <c r="D31" i="6"/>
  <c r="D35" i="6"/>
  <c r="B5" i="2"/>
  <c r="S17" i="2"/>
  <c r="H109" i="2"/>
  <c r="G7" i="7"/>
  <c r="E41" i="7"/>
  <c r="D16" i="6"/>
  <c r="B33" i="2"/>
  <c r="I33" i="2"/>
  <c r="F5" i="3"/>
  <c r="V6" i="2"/>
  <c r="K6" i="3"/>
  <c r="J58" i="3"/>
  <c r="T7" i="2"/>
  <c r="T6" i="2"/>
  <c r="Q17" i="2"/>
  <c r="Q6" i="2"/>
  <c r="I89" i="2"/>
  <c r="I57" i="3"/>
  <c r="M57" i="3"/>
  <c r="T5" i="2"/>
  <c r="W18" i="2"/>
  <c r="W6" i="2"/>
  <c r="P11" i="2"/>
  <c r="P6" i="2"/>
  <c r="S6" i="2"/>
  <c r="R7" i="2"/>
  <c r="R6" i="2"/>
  <c r="U10" i="2"/>
  <c r="U6" i="2"/>
  <c r="I5" i="2"/>
  <c r="B32" i="3"/>
  <c r="F32" i="3"/>
  <c r="P5" i="2"/>
  <c r="H6" i="3"/>
  <c r="U18" i="2"/>
  <c r="U23" i="2"/>
  <c r="U12" i="2"/>
  <c r="R19" i="2"/>
  <c r="U7" i="2"/>
  <c r="U9" i="2"/>
  <c r="U16" i="2"/>
  <c r="R12" i="2"/>
  <c r="U11" i="2"/>
  <c r="U13" i="2"/>
  <c r="U24" i="2"/>
  <c r="R20" i="2"/>
  <c r="U14" i="2"/>
  <c r="U15" i="2"/>
  <c r="U8" i="2"/>
  <c r="R11" i="2"/>
  <c r="R13" i="2"/>
  <c r="C5" i="3"/>
  <c r="R10" i="2"/>
  <c r="U22" i="2"/>
  <c r="U19" i="2"/>
  <c r="U17" i="2"/>
  <c r="U20" i="2"/>
  <c r="U21" i="2"/>
  <c r="S7" i="2"/>
  <c r="R15" i="2"/>
  <c r="R24" i="2"/>
  <c r="R9" i="2"/>
  <c r="R23" i="2"/>
  <c r="R16" i="2"/>
  <c r="R18" i="2"/>
  <c r="Q12" i="2"/>
  <c r="S9" i="2"/>
  <c r="Q15" i="2"/>
  <c r="Q20" i="2"/>
  <c r="S16" i="2"/>
  <c r="Q23" i="2"/>
  <c r="S13" i="2"/>
  <c r="S21" i="2"/>
  <c r="I61" i="2"/>
  <c r="V21" i="2"/>
  <c r="V15" i="2"/>
  <c r="V14" i="2"/>
  <c r="V7" i="2"/>
  <c r="V8" i="2"/>
  <c r="V24" i="2"/>
  <c r="V11" i="2"/>
  <c r="V20" i="2"/>
  <c r="V17" i="2"/>
  <c r="V12" i="2"/>
  <c r="V22" i="2"/>
  <c r="V9" i="2"/>
  <c r="V10" i="2"/>
  <c r="V18" i="2"/>
  <c r="V19" i="2"/>
  <c r="V16" i="2"/>
  <c r="V13" i="2"/>
  <c r="V23" i="2"/>
  <c r="O41" i="4"/>
  <c r="I62" i="2"/>
  <c r="R14" i="2"/>
  <c r="R22" i="2"/>
  <c r="T15" i="2"/>
  <c r="T23" i="2"/>
  <c r="T13" i="2"/>
  <c r="T21" i="2"/>
  <c r="T16" i="2"/>
  <c r="T24" i="2"/>
  <c r="T18" i="2"/>
  <c r="T12" i="2"/>
  <c r="T20" i="2"/>
  <c r="T10" i="2"/>
  <c r="T22" i="2"/>
  <c r="T8" i="2"/>
  <c r="T14" i="2"/>
  <c r="T11" i="2"/>
  <c r="T19" i="2"/>
  <c r="T9" i="2"/>
  <c r="T17" i="2"/>
  <c r="P23" i="2"/>
  <c r="P8" i="2"/>
  <c r="P24" i="2"/>
  <c r="P18" i="2"/>
  <c r="P14" i="2"/>
  <c r="P22" i="2"/>
  <c r="P19" i="2"/>
  <c r="P20" i="2"/>
  <c r="P10" i="2"/>
  <c r="P21" i="2"/>
  <c r="P17" i="2"/>
  <c r="P12" i="2"/>
  <c r="P7" i="2"/>
  <c r="P9" i="2"/>
  <c r="P15" i="2"/>
  <c r="P16" i="2"/>
  <c r="P13" i="2"/>
  <c r="R17" i="2"/>
  <c r="R21" i="2"/>
  <c r="I90" i="2"/>
  <c r="I58" i="3"/>
  <c r="K58" i="3"/>
  <c r="L58" i="3"/>
  <c r="M58" i="3"/>
  <c r="W19" i="2"/>
  <c r="W12" i="2"/>
  <c r="W10" i="2"/>
  <c r="W22" i="2"/>
  <c r="W7" i="2"/>
  <c r="W8" i="2"/>
  <c r="W21" i="2"/>
  <c r="W14" i="2"/>
  <c r="I34" i="2"/>
  <c r="I33" i="3"/>
  <c r="W23" i="2"/>
  <c r="W16" i="2"/>
  <c r="W13" i="2"/>
  <c r="W15" i="2"/>
  <c r="W9" i="2"/>
  <c r="W11" i="2"/>
  <c r="W24" i="2"/>
  <c r="W20" i="2"/>
  <c r="W17" i="2"/>
  <c r="Q18" i="2"/>
  <c r="Q7" i="2"/>
  <c r="Q21" i="2"/>
  <c r="Q10" i="2"/>
  <c r="Q11" i="2"/>
  <c r="Q19" i="2"/>
  <c r="Q8" i="2"/>
  <c r="Q16" i="2"/>
  <c r="Q24" i="2"/>
  <c r="Q13" i="2"/>
  <c r="I6" i="2"/>
  <c r="Q14" i="2"/>
  <c r="Q22" i="2"/>
  <c r="Q9" i="2"/>
  <c r="S8" i="2"/>
  <c r="S19" i="2"/>
  <c r="S15" i="2"/>
  <c r="S24" i="2"/>
  <c r="S10" i="2"/>
  <c r="I32" i="3"/>
  <c r="M32" i="3"/>
  <c r="M5" i="2"/>
  <c r="H53" i="2"/>
  <c r="W25" i="2"/>
  <c r="G7" i="5"/>
  <c r="E41" i="5"/>
  <c r="E35" i="5"/>
  <c r="E16" i="5"/>
  <c r="E20" i="5"/>
  <c r="E24" i="5"/>
  <c r="E28" i="5"/>
  <c r="E32" i="5"/>
  <c r="E36" i="5"/>
  <c r="E17" i="5"/>
  <c r="E21" i="5"/>
  <c r="E29" i="5"/>
  <c r="E33" i="5"/>
  <c r="E18" i="5"/>
  <c r="E26" i="5"/>
  <c r="E30" i="5"/>
  <c r="E34" i="5"/>
  <c r="E19" i="5"/>
  <c r="E27" i="5"/>
  <c r="E31" i="5"/>
  <c r="E25" i="5"/>
  <c r="E22" i="5"/>
  <c r="E23" i="5"/>
  <c r="I63" i="2"/>
  <c r="B59" i="3"/>
  <c r="I6" i="3"/>
  <c r="H7" i="3"/>
  <c r="C59" i="3"/>
  <c r="D59" i="3"/>
  <c r="E59" i="3"/>
  <c r="F59" i="3"/>
  <c r="S11" i="2"/>
  <c r="S22" i="2"/>
  <c r="S18" i="2"/>
  <c r="U25" i="2"/>
  <c r="U26" i="2"/>
  <c r="V5" i="2"/>
  <c r="H25" i="2"/>
  <c r="I25" i="2"/>
  <c r="S23" i="2"/>
  <c r="S14" i="2"/>
  <c r="S12" i="2"/>
  <c r="H81" i="2"/>
  <c r="E6" i="3"/>
  <c r="J33" i="3"/>
  <c r="F6" i="3"/>
  <c r="H25" i="7"/>
  <c r="H16" i="7"/>
  <c r="H17" i="7"/>
  <c r="H32" i="7"/>
  <c r="H29" i="7"/>
  <c r="H20" i="7"/>
  <c r="H18" i="7"/>
  <c r="H19" i="7"/>
  <c r="H26" i="7"/>
  <c r="H21" i="7"/>
  <c r="H28" i="7"/>
  <c r="H36" i="7"/>
  <c r="H33" i="7"/>
  <c r="H24" i="7"/>
  <c r="H34" i="7"/>
  <c r="H31" i="7"/>
  <c r="H35" i="7"/>
  <c r="H23" i="7"/>
  <c r="H22" i="7"/>
  <c r="H30" i="7"/>
  <c r="H27" i="7"/>
  <c r="T25" i="2"/>
  <c r="I109" i="2"/>
  <c r="I77" i="3"/>
  <c r="R25" i="2"/>
  <c r="I81" i="2"/>
  <c r="B77" i="3"/>
  <c r="V25" i="2"/>
  <c r="I53" i="2"/>
  <c r="P25" i="2"/>
  <c r="L6" i="3"/>
  <c r="K7" i="3"/>
  <c r="J59" i="3"/>
  <c r="R8" i="2"/>
  <c r="S25" i="2"/>
  <c r="K6" i="2"/>
  <c r="B33" i="3"/>
  <c r="B6" i="3"/>
  <c r="C33" i="3"/>
  <c r="D33" i="3"/>
  <c r="E33" i="3"/>
  <c r="F33" i="3"/>
  <c r="L6" i="2"/>
  <c r="B58" i="3"/>
  <c r="C58" i="3"/>
  <c r="D58" i="3"/>
  <c r="E58" i="3"/>
  <c r="F58" i="3"/>
  <c r="L5" i="2"/>
  <c r="B57" i="3"/>
  <c r="F57" i="3"/>
  <c r="M6" i="2"/>
  <c r="K5" i="2"/>
  <c r="I91" i="2"/>
  <c r="I59" i="3"/>
  <c r="I101" i="2"/>
  <c r="I80" i="2"/>
  <c r="B76" i="3"/>
  <c r="I65" i="2"/>
  <c r="I17" i="2"/>
  <c r="B44" i="3"/>
  <c r="I72" i="2"/>
  <c r="B68" i="3"/>
  <c r="I70" i="2"/>
  <c r="I67" i="2"/>
  <c r="B63" i="3"/>
  <c r="I79" i="2"/>
  <c r="I71" i="2"/>
  <c r="B67" i="3"/>
  <c r="I46" i="2"/>
  <c r="I45" i="3"/>
  <c r="I75" i="2"/>
  <c r="B71" i="3"/>
  <c r="I96" i="2"/>
  <c r="I64" i="3"/>
  <c r="I69" i="2"/>
  <c r="B65" i="3"/>
  <c r="I94" i="2"/>
  <c r="I62" i="3"/>
  <c r="I104" i="2"/>
  <c r="I24" i="2"/>
  <c r="I35" i="2"/>
  <c r="I34" i="3"/>
  <c r="I95" i="2"/>
  <c r="I63" i="3"/>
  <c r="I106" i="2"/>
  <c r="I107" i="2"/>
  <c r="I75" i="3"/>
  <c r="I98" i="2"/>
  <c r="I66" i="3"/>
  <c r="I103" i="2"/>
  <c r="I71" i="3"/>
  <c r="I99" i="2"/>
  <c r="I67" i="3"/>
  <c r="I100" i="2"/>
  <c r="I68" i="3"/>
  <c r="I93" i="2"/>
  <c r="I61" i="3"/>
  <c r="I92" i="2"/>
  <c r="I60" i="3"/>
  <c r="I102" i="2"/>
  <c r="I105" i="2"/>
  <c r="I73" i="3"/>
  <c r="I108" i="2"/>
  <c r="I97" i="2"/>
  <c r="I65" i="3"/>
  <c r="I20" i="2"/>
  <c r="I15" i="2"/>
  <c r="I12" i="2"/>
  <c r="I23" i="2"/>
  <c r="I73" i="2"/>
  <c r="B69" i="3"/>
  <c r="I77" i="2"/>
  <c r="I45" i="2"/>
  <c r="I44" i="3"/>
  <c r="I41" i="2"/>
  <c r="I40" i="3"/>
  <c r="I42" i="2"/>
  <c r="I41" i="3"/>
  <c r="I40" i="2"/>
  <c r="I39" i="3"/>
  <c r="I48" i="2"/>
  <c r="I47" i="3"/>
  <c r="I52" i="3"/>
  <c r="I44" i="2"/>
  <c r="I43" i="3"/>
  <c r="I49" i="2"/>
  <c r="I48" i="3"/>
  <c r="I47" i="2"/>
  <c r="I46" i="3"/>
  <c r="I52" i="2"/>
  <c r="I51" i="3"/>
  <c r="I37" i="2"/>
  <c r="I36" i="3"/>
  <c r="E7" i="3"/>
  <c r="F7" i="3"/>
  <c r="E8" i="3"/>
  <c r="F8" i="3"/>
  <c r="E9" i="3"/>
  <c r="J36" i="3"/>
  <c r="K36" i="3"/>
  <c r="L36" i="3"/>
  <c r="M36" i="3"/>
  <c r="I51" i="2"/>
  <c r="I50" i="3"/>
  <c r="I36" i="2"/>
  <c r="I35" i="3"/>
  <c r="J35" i="3"/>
  <c r="K35" i="3"/>
  <c r="L35" i="3"/>
  <c r="M35" i="3"/>
  <c r="I50" i="2"/>
  <c r="I49" i="3"/>
  <c r="I39" i="2"/>
  <c r="I38" i="3"/>
  <c r="I43" i="2"/>
  <c r="I42" i="3"/>
  <c r="I38" i="2"/>
  <c r="I37" i="3"/>
  <c r="I7" i="2"/>
  <c r="I18" i="2"/>
  <c r="I21" i="2"/>
  <c r="B48" i="3"/>
  <c r="I9" i="2"/>
  <c r="I13" i="2"/>
  <c r="I19" i="2"/>
  <c r="I10" i="2"/>
  <c r="I14" i="2"/>
  <c r="I16" i="2"/>
  <c r="I22" i="2"/>
  <c r="I11" i="2"/>
  <c r="I8" i="2"/>
  <c r="I54" i="2"/>
  <c r="I66" i="2"/>
  <c r="B62" i="3"/>
  <c r="I78" i="2"/>
  <c r="B74" i="3"/>
  <c r="I64" i="2"/>
  <c r="B60" i="3"/>
  <c r="S20" i="2"/>
  <c r="S26" i="2"/>
  <c r="I76" i="2"/>
  <c r="B72" i="3"/>
  <c r="Q25" i="2"/>
  <c r="H35" i="6"/>
  <c r="H18" i="6"/>
  <c r="H26" i="6"/>
  <c r="H34" i="6"/>
  <c r="H23" i="6"/>
  <c r="H31" i="6"/>
  <c r="H20" i="6"/>
  <c r="H24" i="6"/>
  <c r="H27" i="6"/>
  <c r="H28" i="6"/>
  <c r="H32" i="6"/>
  <c r="H17" i="6"/>
  <c r="H21" i="6"/>
  <c r="H22" i="6"/>
  <c r="H36" i="6"/>
  <c r="H25" i="6"/>
  <c r="H33" i="6"/>
  <c r="H29" i="6"/>
  <c r="H16" i="6"/>
  <c r="H30" i="6"/>
  <c r="H19" i="6"/>
  <c r="J34" i="3"/>
  <c r="K34" i="3"/>
  <c r="L34" i="3"/>
  <c r="M34" i="3"/>
  <c r="I68" i="2"/>
  <c r="B64" i="3"/>
  <c r="I74" i="2"/>
  <c r="B70" i="3"/>
  <c r="V26" i="2"/>
  <c r="H20" i="4"/>
  <c r="H17" i="4"/>
  <c r="H16" i="4"/>
  <c r="H21" i="4"/>
  <c r="H34" i="4"/>
  <c r="H35" i="4"/>
  <c r="H19" i="4"/>
  <c r="H28" i="4"/>
  <c r="H33" i="4"/>
  <c r="H24" i="4"/>
  <c r="H30" i="4"/>
  <c r="H31" i="4"/>
  <c r="H18" i="4"/>
  <c r="H25" i="4"/>
  <c r="H29" i="4"/>
  <c r="H26" i="4"/>
  <c r="H27" i="4"/>
  <c r="H36" i="4"/>
  <c r="H32" i="4"/>
  <c r="H22" i="4"/>
  <c r="H23" i="4"/>
  <c r="H22" i="5"/>
  <c r="H26" i="5"/>
  <c r="H28" i="5"/>
  <c r="H34" i="5"/>
  <c r="H21" i="5"/>
  <c r="H29" i="5"/>
  <c r="H20" i="5"/>
  <c r="H30" i="5"/>
  <c r="H19" i="5"/>
  <c r="H33" i="5"/>
  <c r="H18" i="5"/>
  <c r="H17" i="5"/>
  <c r="H23" i="5"/>
  <c r="H24" i="5"/>
  <c r="H32" i="5"/>
  <c r="H31" i="5"/>
  <c r="H16" i="5"/>
  <c r="H36" i="5"/>
  <c r="H27" i="5"/>
  <c r="H35" i="5"/>
  <c r="H25" i="5"/>
  <c r="K9" i="2"/>
  <c r="B36" i="3"/>
  <c r="B39" i="3"/>
  <c r="M24" i="2"/>
  <c r="I76" i="3"/>
  <c r="K25" i="2"/>
  <c r="B52" i="3"/>
  <c r="K14" i="2"/>
  <c r="B41" i="3"/>
  <c r="K13" i="2"/>
  <c r="B40" i="3"/>
  <c r="K7" i="2"/>
  <c r="B34" i="3"/>
  <c r="K23" i="2"/>
  <c r="B50" i="3"/>
  <c r="M20" i="2"/>
  <c r="I72" i="3"/>
  <c r="L23" i="2"/>
  <c r="B75" i="3"/>
  <c r="L14" i="2"/>
  <c r="B66" i="3"/>
  <c r="L9" i="2"/>
  <c r="B61" i="3"/>
  <c r="I7" i="3"/>
  <c r="H8" i="3"/>
  <c r="I8" i="3"/>
  <c r="H9" i="3"/>
  <c r="C61" i="3"/>
  <c r="D61" i="3"/>
  <c r="E61" i="3"/>
  <c r="K8" i="2"/>
  <c r="B35" i="3"/>
  <c r="K19" i="2"/>
  <c r="B46" i="3"/>
  <c r="K18" i="2"/>
  <c r="B45" i="3"/>
  <c r="K20" i="2"/>
  <c r="B47" i="3"/>
  <c r="M18" i="2"/>
  <c r="I70" i="3"/>
  <c r="M22" i="2"/>
  <c r="I74" i="3"/>
  <c r="K24" i="2"/>
  <c r="B51" i="3"/>
  <c r="K59" i="3"/>
  <c r="L59" i="3"/>
  <c r="M59" i="3"/>
  <c r="K11" i="2"/>
  <c r="B38" i="3"/>
  <c r="C6" i="3"/>
  <c r="B7" i="3"/>
  <c r="C7" i="3"/>
  <c r="B8" i="3"/>
  <c r="C8" i="3"/>
  <c r="B9" i="3"/>
  <c r="C9" i="3"/>
  <c r="B10" i="3"/>
  <c r="C10" i="3"/>
  <c r="B11" i="3"/>
  <c r="C38" i="3"/>
  <c r="D38" i="3"/>
  <c r="E38" i="3"/>
  <c r="F38" i="3"/>
  <c r="K16" i="2"/>
  <c r="B43" i="3"/>
  <c r="B49" i="3"/>
  <c r="B37" i="3"/>
  <c r="L21" i="2"/>
  <c r="B73" i="3"/>
  <c r="K15" i="2"/>
  <c r="B42" i="3"/>
  <c r="M17" i="2"/>
  <c r="I69" i="3"/>
  <c r="L7" i="3"/>
  <c r="M15" i="2"/>
  <c r="L17" i="2"/>
  <c r="M9" i="2"/>
  <c r="M11" i="2"/>
  <c r="M10" i="2"/>
  <c r="L19" i="2"/>
  <c r="L12" i="2"/>
  <c r="L11" i="2"/>
  <c r="L16" i="2"/>
  <c r="M7" i="2"/>
  <c r="M12" i="2"/>
  <c r="L20" i="2"/>
  <c r="K21" i="2"/>
  <c r="M8" i="2"/>
  <c r="M16" i="2"/>
  <c r="M19" i="2"/>
  <c r="M23" i="2"/>
  <c r="L13" i="2"/>
  <c r="L25" i="2"/>
  <c r="L10" i="2"/>
  <c r="L22" i="2"/>
  <c r="K17" i="2"/>
  <c r="L24" i="2"/>
  <c r="L7" i="2"/>
  <c r="M13" i="2"/>
  <c r="M21" i="2"/>
  <c r="M14" i="2"/>
  <c r="L18" i="2"/>
  <c r="L15" i="2"/>
  <c r="M25" i="2"/>
  <c r="L8" i="2"/>
  <c r="P26" i="2"/>
  <c r="R54" i="2"/>
  <c r="Q26" i="2"/>
  <c r="R26" i="2"/>
  <c r="I55" i="2"/>
  <c r="R39" i="2"/>
  <c r="R41" i="2"/>
  <c r="I111" i="2"/>
  <c r="R46" i="2"/>
  <c r="R37" i="2"/>
  <c r="I26" i="2"/>
  <c r="I27" i="2"/>
  <c r="R36" i="2"/>
  <c r="R49" i="2"/>
  <c r="I110" i="2"/>
  <c r="R48" i="2"/>
  <c r="R52" i="2"/>
  <c r="R40" i="2"/>
  <c r="R51" i="2"/>
  <c r="R50" i="2"/>
  <c r="R55" i="2"/>
  <c r="R42" i="2"/>
  <c r="R43" i="2"/>
  <c r="R45" i="2"/>
  <c r="R53" i="2"/>
  <c r="R47" i="2"/>
  <c r="R56" i="2"/>
  <c r="R44" i="2"/>
  <c r="R38" i="2"/>
  <c r="T26" i="2"/>
  <c r="I112" i="2"/>
  <c r="Q48" i="2"/>
  <c r="Q46" i="2"/>
  <c r="Q54" i="2"/>
  <c r="Q43" i="2"/>
  <c r="W26" i="2"/>
  <c r="P38" i="2"/>
  <c r="P53" i="2"/>
  <c r="P51" i="2"/>
  <c r="P49" i="2"/>
  <c r="P37" i="2"/>
  <c r="P50" i="2"/>
  <c r="P43" i="2"/>
  <c r="P44" i="2"/>
  <c r="P46" i="2"/>
  <c r="P42" i="2"/>
  <c r="P52" i="2"/>
  <c r="P56" i="2"/>
  <c r="P54" i="2"/>
  <c r="P48" i="2"/>
  <c r="P47" i="2"/>
  <c r="P39" i="2"/>
  <c r="P55" i="2"/>
  <c r="P40" i="2"/>
  <c r="P45" i="2"/>
  <c r="P36" i="2"/>
  <c r="P41" i="2"/>
  <c r="O45" i="2"/>
  <c r="O46" i="2"/>
  <c r="O51" i="2"/>
  <c r="O53" i="2"/>
  <c r="O38" i="2"/>
  <c r="O44" i="2"/>
  <c r="O41" i="2"/>
  <c r="O36" i="2"/>
  <c r="O40" i="2"/>
  <c r="O37" i="2"/>
  <c r="O43" i="2"/>
  <c r="O54" i="2"/>
  <c r="O47" i="2"/>
  <c r="O52" i="2"/>
  <c r="O56" i="2"/>
  <c r="O49" i="2"/>
  <c r="O39" i="2"/>
  <c r="O42" i="2"/>
  <c r="O50" i="2"/>
  <c r="O48" i="2"/>
  <c r="O55" i="2"/>
  <c r="Q50" i="2"/>
  <c r="Q47" i="2"/>
  <c r="Q53" i="2"/>
  <c r="K22" i="2"/>
  <c r="Q49" i="2"/>
  <c r="Q38" i="2"/>
  <c r="I83" i="2"/>
  <c r="Q52" i="2"/>
  <c r="Q44" i="2"/>
  <c r="Q51" i="2"/>
  <c r="Q36" i="2"/>
  <c r="Q40" i="2"/>
  <c r="I82" i="2"/>
  <c r="Q37" i="2"/>
  <c r="Q56" i="2"/>
  <c r="K10" i="2"/>
  <c r="Q41" i="2"/>
  <c r="Q55" i="2"/>
  <c r="Q42" i="2"/>
  <c r="Q39" i="2"/>
  <c r="Q45" i="2"/>
  <c r="K12" i="2"/>
  <c r="I84" i="2"/>
  <c r="K29" i="2"/>
  <c r="L27" i="2"/>
  <c r="C34" i="3"/>
  <c r="D34" i="3"/>
  <c r="E34" i="3"/>
  <c r="F34" i="3"/>
  <c r="L29" i="2"/>
  <c r="I56" i="2"/>
  <c r="M29" i="2"/>
  <c r="C60" i="3"/>
  <c r="D60" i="3"/>
  <c r="E60" i="3"/>
  <c r="F60" i="3"/>
  <c r="K8" i="3"/>
  <c r="J60" i="3"/>
  <c r="K60" i="3"/>
  <c r="L60" i="3"/>
  <c r="M60" i="3"/>
  <c r="I28" i="2"/>
  <c r="K27" i="2"/>
  <c r="M27" i="2"/>
  <c r="C35" i="3"/>
  <c r="I9" i="3"/>
  <c r="H10" i="3"/>
  <c r="L8" i="3"/>
  <c r="C36" i="3"/>
  <c r="D36" i="3"/>
  <c r="E36" i="3"/>
  <c r="F36" i="3"/>
  <c r="K9" i="3"/>
  <c r="J61" i="3"/>
  <c r="K61" i="3"/>
  <c r="L61" i="3"/>
  <c r="M61" i="3"/>
  <c r="I10" i="3"/>
  <c r="H11" i="3"/>
  <c r="C62" i="3"/>
  <c r="D62" i="3"/>
  <c r="E62" i="3"/>
  <c r="F62" i="3"/>
  <c r="F9" i="3"/>
  <c r="L9" i="3"/>
  <c r="K10" i="3"/>
  <c r="J62" i="3"/>
  <c r="K62" i="3"/>
  <c r="L62" i="3"/>
  <c r="M62" i="3"/>
  <c r="C37" i="3"/>
  <c r="D37" i="3"/>
  <c r="E37" i="3"/>
  <c r="F37" i="3"/>
  <c r="I11" i="3"/>
  <c r="H12" i="3"/>
  <c r="C63" i="3"/>
  <c r="D63" i="3"/>
  <c r="E63" i="3"/>
  <c r="F63" i="3"/>
  <c r="E10" i="3"/>
  <c r="J37" i="3"/>
  <c r="K37" i="3"/>
  <c r="L37" i="3"/>
  <c r="M37" i="3"/>
  <c r="C11" i="3"/>
  <c r="B12" i="3"/>
  <c r="I12" i="3"/>
  <c r="H13" i="3"/>
  <c r="C64" i="3"/>
  <c r="D64" i="3"/>
  <c r="E64" i="3"/>
  <c r="F64" i="3"/>
  <c r="L10" i="3"/>
  <c r="K11" i="3"/>
  <c r="F10" i="3"/>
  <c r="C12" i="3"/>
  <c r="B13" i="3"/>
  <c r="C39" i="3"/>
  <c r="D39" i="3"/>
  <c r="E39" i="3"/>
  <c r="F39" i="3"/>
  <c r="L11" i="3"/>
  <c r="K12" i="3"/>
  <c r="J63" i="3"/>
  <c r="K63" i="3"/>
  <c r="L63" i="3"/>
  <c r="M63" i="3"/>
  <c r="I13" i="3"/>
  <c r="H14" i="3"/>
  <c r="C65" i="3"/>
  <c r="D65" i="3"/>
  <c r="E65" i="3"/>
  <c r="F65" i="3"/>
  <c r="E11" i="3"/>
  <c r="J38" i="3"/>
  <c r="K38" i="3"/>
  <c r="L38" i="3"/>
  <c r="M38" i="3"/>
  <c r="F11" i="3"/>
  <c r="L12" i="3"/>
  <c r="K13" i="3"/>
  <c r="J64" i="3"/>
  <c r="K64" i="3"/>
  <c r="L64" i="3"/>
  <c r="M64" i="3"/>
  <c r="I14" i="3"/>
  <c r="H15" i="3"/>
  <c r="C66" i="3"/>
  <c r="D66" i="3"/>
  <c r="E66" i="3"/>
  <c r="F66" i="3"/>
  <c r="C13" i="3"/>
  <c r="B14" i="3"/>
  <c r="C40" i="3"/>
  <c r="D40" i="3"/>
  <c r="E40" i="3"/>
  <c r="F40" i="3"/>
  <c r="E12" i="3"/>
  <c r="J39" i="3"/>
  <c r="K39" i="3"/>
  <c r="L39" i="3"/>
  <c r="M39" i="3"/>
  <c r="L13" i="3"/>
  <c r="K14" i="3"/>
  <c r="J65" i="3"/>
  <c r="K65" i="3"/>
  <c r="L65" i="3"/>
  <c r="M65" i="3"/>
  <c r="C14" i="3"/>
  <c r="B15" i="3"/>
  <c r="C41" i="3"/>
  <c r="D41" i="3"/>
  <c r="E41" i="3"/>
  <c r="F41" i="3"/>
  <c r="I15" i="3"/>
  <c r="H16" i="3"/>
  <c r="C67" i="3"/>
  <c r="D67" i="3"/>
  <c r="E67" i="3"/>
  <c r="F67" i="3"/>
  <c r="F12" i="3"/>
  <c r="L14" i="3"/>
  <c r="K15" i="3"/>
  <c r="J66" i="3"/>
  <c r="K66" i="3"/>
  <c r="L66" i="3"/>
  <c r="M66" i="3"/>
  <c r="I16" i="3"/>
  <c r="H17" i="3"/>
  <c r="C68" i="3"/>
  <c r="D68" i="3"/>
  <c r="E68" i="3"/>
  <c r="F68" i="3"/>
  <c r="C15" i="3"/>
  <c r="B16" i="3"/>
  <c r="C42" i="3"/>
  <c r="D42" i="3"/>
  <c r="E42" i="3"/>
  <c r="F42" i="3"/>
  <c r="E13" i="3"/>
  <c r="J40" i="3"/>
  <c r="K40" i="3"/>
  <c r="L40" i="3"/>
  <c r="M40" i="3"/>
  <c r="C16" i="3"/>
  <c r="B17" i="3"/>
  <c r="C43" i="3"/>
  <c r="D43" i="3"/>
  <c r="E43" i="3"/>
  <c r="F43" i="3"/>
  <c r="L15" i="3"/>
  <c r="K16" i="3"/>
  <c r="J67" i="3"/>
  <c r="K67" i="3"/>
  <c r="L67" i="3"/>
  <c r="M67" i="3"/>
  <c r="I17" i="3"/>
  <c r="H18" i="3"/>
  <c r="C69" i="3"/>
  <c r="D69" i="3"/>
  <c r="E69" i="3"/>
  <c r="F69" i="3"/>
  <c r="F13" i="3"/>
  <c r="L16" i="3"/>
  <c r="J68" i="3"/>
  <c r="K68" i="3"/>
  <c r="L68" i="3"/>
  <c r="M68" i="3"/>
  <c r="I18" i="3"/>
  <c r="H19" i="3"/>
  <c r="C70" i="3"/>
  <c r="D70" i="3"/>
  <c r="E70" i="3"/>
  <c r="F70" i="3"/>
  <c r="C17" i="3"/>
  <c r="B18" i="3"/>
  <c r="C44" i="3"/>
  <c r="D44" i="3"/>
  <c r="E44" i="3"/>
  <c r="F44" i="3"/>
  <c r="E14" i="3"/>
  <c r="J41" i="3"/>
  <c r="K41" i="3"/>
  <c r="L41" i="3"/>
  <c r="M41" i="3"/>
  <c r="K17" i="3"/>
  <c r="J69" i="3"/>
  <c r="K69" i="3"/>
  <c r="L69" i="3"/>
  <c r="M69" i="3"/>
  <c r="C18" i="3"/>
  <c r="B19" i="3"/>
  <c r="C45" i="3"/>
  <c r="D45" i="3"/>
  <c r="E45" i="3"/>
  <c r="F45" i="3"/>
  <c r="I19" i="3"/>
  <c r="H20" i="3"/>
  <c r="C71" i="3"/>
  <c r="D71" i="3"/>
  <c r="E71" i="3"/>
  <c r="F71" i="3"/>
  <c r="F14" i="3"/>
  <c r="L17" i="3"/>
  <c r="I20" i="3"/>
  <c r="H21" i="3"/>
  <c r="C72" i="3"/>
  <c r="D72" i="3"/>
  <c r="E72" i="3"/>
  <c r="F72" i="3"/>
  <c r="C19" i="3"/>
  <c r="B20" i="3"/>
  <c r="C46" i="3"/>
  <c r="D46" i="3"/>
  <c r="E46" i="3"/>
  <c r="F46" i="3"/>
  <c r="E15" i="3"/>
  <c r="J42" i="3"/>
  <c r="K42" i="3"/>
  <c r="L42" i="3"/>
  <c r="M42" i="3"/>
  <c r="C20" i="3"/>
  <c r="B21" i="3"/>
  <c r="C47" i="3"/>
  <c r="D47" i="3"/>
  <c r="E47" i="3"/>
  <c r="F47" i="3"/>
  <c r="K18" i="3"/>
  <c r="J70" i="3"/>
  <c r="K70" i="3"/>
  <c r="L70" i="3"/>
  <c r="M70" i="3"/>
  <c r="I21" i="3"/>
  <c r="H22" i="3"/>
  <c r="C73" i="3"/>
  <c r="D73" i="3"/>
  <c r="E73" i="3"/>
  <c r="F73" i="3"/>
  <c r="F15" i="3"/>
  <c r="L18" i="3"/>
  <c r="K19" i="3"/>
  <c r="C21" i="3"/>
  <c r="B22" i="3"/>
  <c r="C48" i="3"/>
  <c r="D48" i="3"/>
  <c r="E48" i="3"/>
  <c r="F48" i="3"/>
  <c r="I22" i="3"/>
  <c r="H23" i="3"/>
  <c r="C74" i="3"/>
  <c r="D74" i="3"/>
  <c r="E74" i="3"/>
  <c r="F74" i="3"/>
  <c r="E16" i="3"/>
  <c r="J43" i="3"/>
  <c r="K43" i="3"/>
  <c r="L43" i="3"/>
  <c r="M43" i="3"/>
  <c r="F16" i="3"/>
  <c r="I23" i="3"/>
  <c r="H24" i="3"/>
  <c r="C75" i="3"/>
  <c r="D75" i="3"/>
  <c r="E75" i="3"/>
  <c r="F75" i="3"/>
  <c r="L19" i="3"/>
  <c r="K20" i="3"/>
  <c r="J71" i="3"/>
  <c r="K71" i="3"/>
  <c r="L71" i="3"/>
  <c r="M71" i="3"/>
  <c r="C22" i="3"/>
  <c r="B23" i="3"/>
  <c r="C49" i="3"/>
  <c r="D49" i="3"/>
  <c r="E49" i="3"/>
  <c r="F49" i="3"/>
  <c r="E17" i="3"/>
  <c r="J44" i="3"/>
  <c r="K44" i="3"/>
  <c r="L44" i="3"/>
  <c r="M44" i="3"/>
  <c r="F17" i="3"/>
  <c r="I24" i="3"/>
  <c r="H25" i="3"/>
  <c r="C76" i="3"/>
  <c r="D76" i="3"/>
  <c r="E76" i="3"/>
  <c r="F76" i="3"/>
  <c r="L20" i="3"/>
  <c r="J72" i="3"/>
  <c r="K72" i="3"/>
  <c r="L72" i="3"/>
  <c r="M72" i="3"/>
  <c r="C23" i="3"/>
  <c r="B24" i="3"/>
  <c r="C50" i="3"/>
  <c r="D50" i="3"/>
  <c r="E50" i="3"/>
  <c r="F50" i="3"/>
  <c r="E18" i="3"/>
  <c r="J45" i="3"/>
  <c r="K45" i="3"/>
  <c r="L45" i="3"/>
  <c r="M45" i="3"/>
  <c r="I25" i="3"/>
  <c r="C77" i="3"/>
  <c r="D77" i="3"/>
  <c r="E77" i="3"/>
  <c r="F77" i="3"/>
  <c r="C24" i="3"/>
  <c r="B25" i="3"/>
  <c r="C51" i="3"/>
  <c r="D51" i="3"/>
  <c r="E51" i="3"/>
  <c r="F51" i="3"/>
  <c r="K21" i="3"/>
  <c r="J73" i="3"/>
  <c r="K73" i="3"/>
  <c r="L73" i="3"/>
  <c r="M73" i="3"/>
  <c r="F18" i="3"/>
  <c r="L21" i="3"/>
  <c r="C25" i="3"/>
  <c r="C52" i="3"/>
  <c r="D52" i="3"/>
  <c r="E52" i="3"/>
  <c r="F52" i="3"/>
  <c r="E19" i="3"/>
  <c r="J46" i="3"/>
  <c r="K46" i="3"/>
  <c r="L46" i="3"/>
  <c r="M46" i="3"/>
  <c r="K22" i="3"/>
  <c r="J74" i="3"/>
  <c r="K74" i="3"/>
  <c r="L74" i="3"/>
  <c r="M74" i="3"/>
  <c r="F19" i="3"/>
  <c r="L22" i="3"/>
  <c r="K23" i="3"/>
  <c r="J75" i="3"/>
  <c r="K75" i="3"/>
  <c r="L75" i="3"/>
  <c r="M75" i="3"/>
  <c r="E20" i="3"/>
  <c r="J47" i="3"/>
  <c r="K47" i="3"/>
  <c r="L47" i="3"/>
  <c r="M47" i="3"/>
  <c r="F20" i="3"/>
  <c r="L23" i="3"/>
  <c r="K24" i="3"/>
  <c r="J76" i="3"/>
  <c r="K76" i="3"/>
  <c r="L76" i="3"/>
  <c r="M76" i="3"/>
  <c r="E21" i="3"/>
  <c r="J48" i="3"/>
  <c r="K48" i="3"/>
  <c r="L48" i="3"/>
  <c r="M48" i="3"/>
  <c r="F21" i="3"/>
  <c r="L24" i="3"/>
  <c r="K25" i="3"/>
  <c r="J77" i="3"/>
  <c r="K77" i="3"/>
  <c r="L77" i="3"/>
  <c r="M77" i="3"/>
  <c r="E22" i="3"/>
  <c r="J49" i="3"/>
  <c r="K49" i="3"/>
  <c r="L49" i="3"/>
  <c r="M49" i="3"/>
  <c r="F22" i="3"/>
  <c r="L25" i="3"/>
  <c r="E23" i="3"/>
  <c r="J50" i="3"/>
  <c r="K50" i="3"/>
  <c r="L50" i="3"/>
  <c r="M50" i="3"/>
  <c r="F23" i="3"/>
  <c r="E24" i="3"/>
  <c r="J51" i="3"/>
  <c r="K51" i="3"/>
  <c r="L51" i="3"/>
  <c r="M51" i="3"/>
  <c r="F24" i="3"/>
  <c r="E25" i="3"/>
  <c r="J52" i="3"/>
  <c r="K52" i="3"/>
  <c r="L52" i="3"/>
  <c r="M52" i="3"/>
  <c r="F25" i="3"/>
  <c r="M78" i="3"/>
  <c r="F61" i="3"/>
  <c r="F78" i="3"/>
  <c r="D35" i="3"/>
  <c r="E35" i="3"/>
  <c r="F35" i="3"/>
  <c r="F53" i="3"/>
  <c r="K33" i="3"/>
  <c r="L33" i="3"/>
  <c r="M33" i="3"/>
  <c r="M53" i="3"/>
  <c r="K41" i="7"/>
  <c r="E41" i="4"/>
  <c r="M41" i="7"/>
  <c r="G41" i="7"/>
  <c r="I41" i="7"/>
  <c r="E41" i="6"/>
  <c r="I41" i="6"/>
  <c r="M41" i="6"/>
  <c r="G41" i="6"/>
  <c r="I41" i="5"/>
  <c r="M41" i="5"/>
  <c r="K41" i="5"/>
  <c r="G41" i="5"/>
  <c r="M41" i="4"/>
  <c r="G41" i="4"/>
  <c r="I41" i="4"/>
  <c r="K41" i="4"/>
</calcChain>
</file>

<file path=xl/sharedStrings.xml><?xml version="1.0" encoding="utf-8"?>
<sst xmlns="http://schemas.openxmlformats.org/spreadsheetml/2006/main" count="352" uniqueCount="115">
  <si>
    <t>Alternative 1</t>
  </si>
  <si>
    <t>Per Unit</t>
  </si>
  <si>
    <t>Alternative 2</t>
  </si>
  <si>
    <t>Alternative 3</t>
  </si>
  <si>
    <t>Alternative 4</t>
  </si>
  <si>
    <t xml:space="preserve">Year of construction </t>
  </si>
  <si>
    <t>Class</t>
  </si>
  <si>
    <t>B</t>
  </si>
  <si>
    <t>A</t>
  </si>
  <si>
    <t xml:space="preserve">A </t>
  </si>
  <si>
    <t>Total area</t>
  </si>
  <si>
    <t>S.F.</t>
  </si>
  <si>
    <t>Number of  Floors</t>
  </si>
  <si>
    <t>Age</t>
  </si>
  <si>
    <t>Useful life (year)</t>
  </si>
  <si>
    <t>Remaining useful life</t>
  </si>
  <si>
    <t>Cost</t>
  </si>
  <si>
    <t>Total Initial Cost ($ M)</t>
  </si>
  <si>
    <t>Annual O&amp;M cost ($ M)</t>
  </si>
  <si>
    <t>Overhaul cost ($ M)</t>
  </si>
  <si>
    <t xml:space="preserve"> Every 6th Year</t>
  </si>
  <si>
    <t xml:space="preserve"> Every 8th Year</t>
  </si>
  <si>
    <t>Debt</t>
  </si>
  <si>
    <t>Bank loan amount($ M)</t>
  </si>
  <si>
    <t xml:space="preserve">Bank repayment($ M) </t>
  </si>
  <si>
    <t>7th Year</t>
  </si>
  <si>
    <t>7th year</t>
  </si>
  <si>
    <t>Bond amount($ M)</t>
  </si>
  <si>
    <t>Bond repayment($ M)</t>
  </si>
  <si>
    <t>Yearly</t>
  </si>
  <si>
    <t>yearly</t>
  </si>
  <si>
    <t>Bond repayment final year($ M)</t>
  </si>
  <si>
    <t>20th Year</t>
  </si>
  <si>
    <t>Profit</t>
  </si>
  <si>
    <t>Revenue ($ M)</t>
  </si>
  <si>
    <t>Terminal value @ 20 year (DDB) ($ M)</t>
  </si>
  <si>
    <t>CCA(%)</t>
  </si>
  <si>
    <t>Depreciation rate</t>
  </si>
  <si>
    <t>Decision horizon</t>
  </si>
  <si>
    <t>20 Year</t>
  </si>
  <si>
    <t>Bank Interest rate</t>
  </si>
  <si>
    <t>Bond Interest rate</t>
  </si>
  <si>
    <t>WACC(%)</t>
  </si>
  <si>
    <t>Opportunity cost</t>
  </si>
  <si>
    <t>MARR before tax</t>
  </si>
  <si>
    <t>Income tax</t>
  </si>
  <si>
    <t>MARR after tax</t>
  </si>
  <si>
    <t>IRR CALCULATION</t>
  </si>
  <si>
    <t>BENEFIT TO COST RATIO CALCULATION</t>
  </si>
  <si>
    <t>Payback Period</t>
  </si>
  <si>
    <t>A1</t>
  </si>
  <si>
    <t>A3</t>
  </si>
  <si>
    <t>A4</t>
  </si>
  <si>
    <t>A2</t>
  </si>
  <si>
    <t>alterntive  1</t>
  </si>
  <si>
    <t>EOY</t>
  </si>
  <si>
    <t>Initial Cost (1 M)</t>
  </si>
  <si>
    <t>annual maintanance cost</t>
  </si>
  <si>
    <t>Overhaul Cost (1 M)</t>
  </si>
  <si>
    <t>Bank Repayment (1M)</t>
  </si>
  <si>
    <t>Bond Repayment(1M)</t>
  </si>
  <si>
    <t>Annual Rvenue(1 M)</t>
  </si>
  <si>
    <t>Terminal Value</t>
  </si>
  <si>
    <t>Cash Flow(1 M)</t>
  </si>
  <si>
    <t>A1-A3</t>
  </si>
  <si>
    <t>A3-A4</t>
  </si>
  <si>
    <t>A4-A2</t>
  </si>
  <si>
    <t xml:space="preserve"> COST</t>
  </si>
  <si>
    <t>BENEFIT</t>
  </si>
  <si>
    <t>NPW</t>
  </si>
  <si>
    <t>IRR</t>
  </si>
  <si>
    <t>ΔIRR</t>
  </si>
  <si>
    <t>PAYBACK</t>
  </si>
  <si>
    <t>~11 years</t>
  </si>
  <si>
    <t>~9 years</t>
  </si>
  <si>
    <t>~10 years</t>
  </si>
  <si>
    <t>BCR</t>
  </si>
  <si>
    <t>Select A3</t>
  </si>
  <si>
    <t>Select A4</t>
  </si>
  <si>
    <t>Select A2</t>
  </si>
  <si>
    <t>ΔBCR</t>
  </si>
  <si>
    <t>alterntive  2</t>
  </si>
  <si>
    <t>Bank Repayment(1M)</t>
  </si>
  <si>
    <t>alterntive  3</t>
  </si>
  <si>
    <t>Bank Repayment</t>
  </si>
  <si>
    <t>Bond Repayment</t>
  </si>
  <si>
    <t>alterntive  4</t>
  </si>
  <si>
    <t>Alternative 5</t>
  </si>
  <si>
    <t>Innitial Cost ($ M)</t>
  </si>
  <si>
    <t>FW</t>
  </si>
  <si>
    <t>income tax rate</t>
  </si>
  <si>
    <t>CCA</t>
  </si>
  <si>
    <t>UCC</t>
  </si>
  <si>
    <t>A-1</t>
  </si>
  <si>
    <t>A-2</t>
  </si>
  <si>
    <t>BEFORE TAX CF</t>
  </si>
  <si>
    <t>TAXABLE INCOME</t>
  </si>
  <si>
    <t>INCOME TAX</t>
  </si>
  <si>
    <t>AFTER TAX CF</t>
  </si>
  <si>
    <t>NPV</t>
  </si>
  <si>
    <t>A-3</t>
  </si>
  <si>
    <t xml:space="preserve">Uncertain Parametres </t>
  </si>
  <si>
    <t>NPW ($ M)</t>
  </si>
  <si>
    <t>O&amp;M Cost ($ M)</t>
  </si>
  <si>
    <t>Overhaul Cost ($ M)</t>
  </si>
  <si>
    <t>MARR</t>
  </si>
  <si>
    <t>Salvage value ($ M)</t>
  </si>
  <si>
    <t>Inflation Rate</t>
  </si>
  <si>
    <t>Deviation Range</t>
  </si>
  <si>
    <t>Salvage Value ($ M)</t>
  </si>
  <si>
    <t>Revenue (± 10%)</t>
  </si>
  <si>
    <t>O&amp;M Cost (± 8%)</t>
  </si>
  <si>
    <t>Overhaul Cost (± 5%)</t>
  </si>
  <si>
    <t>MARR (± 30%)</t>
  </si>
  <si>
    <t>Salvage value (± 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</si>
</sst>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164" formatCode="_-[$$-1009]* #,##0.00_-;\-[$$-1009]* #,##0.00_-;_-[$$-1009]* &quot;-&quot;??_-;_-@_-"/>
    <numFmt numFmtId="165" formatCode="&quot;$&quot;#,##0.00"/>
    <numFmt numFmtId="166" formatCode="0.0%"/>
    <numFmt numFmtId="167" formatCode="0.000"/>
    <numFmt numFmtId="168" formatCode="&quot;$&quot;#,##0.0000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164" fontId="0" fillId="0" borderId="0" xfId="1" applyFo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/>
    <xf numFmtId="165" fontId="3" fillId="0" borderId="1" xfId="1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165" fontId="0" fillId="0" borderId="0" xfId="0" applyNumberFormat="1"/>
    <xf numFmtId="165" fontId="0" fillId="0" borderId="0" xfId="1" applyNumberFormat="1" applyFont="1"/>
    <xf numFmtId="165" fontId="2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165" fontId="3" fillId="0" borderId="0" xfId="0" applyNumberFormat="1" applyFont="1"/>
    <xf numFmtId="0" fontId="3" fillId="0" borderId="0" xfId="0" applyFont="1" applyAlignment="1"/>
    <xf numFmtId="0" fontId="0" fillId="0" borderId="0" xfId="0" applyAlignment="1"/>
    <xf numFmtId="10" fontId="3" fillId="0" borderId="0" xfId="0" applyNumberFormat="1" applyFont="1"/>
    <xf numFmtId="10" fontId="0" fillId="0" borderId="0" xfId="0" applyNumberFormat="1"/>
    <xf numFmtId="9" fontId="0" fillId="0" borderId="0" xfId="0" applyNumberFormat="1"/>
    <xf numFmtId="9" fontId="0" fillId="0" borderId="0" xfId="2" applyFont="1"/>
    <xf numFmtId="9" fontId="0" fillId="0" borderId="0" xfId="2" applyNumberFormat="1" applyFont="1"/>
    <xf numFmtId="165" fontId="3" fillId="0" borderId="0" xfId="0" applyNumberFormat="1" applyFont="1" applyAlignment="1">
      <alignment horizontal="right" vertical="center"/>
    </xf>
    <xf numFmtId="165" fontId="0" fillId="0" borderId="0" xfId="0" applyNumberFormat="1" applyFont="1"/>
    <xf numFmtId="2" fontId="0" fillId="0" borderId="0" xfId="0" applyNumberFormat="1"/>
    <xf numFmtId="0" fontId="0" fillId="0" borderId="0" xfId="0" applyAlignment="1">
      <alignment horizontal="right" vertical="center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3" fillId="0" borderId="0" xfId="0" applyNumberFormat="1" applyFont="1"/>
    <xf numFmtId="10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1" xfId="2" applyNumberFormat="1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5" fontId="3" fillId="0" borderId="0" xfId="0" applyNumberFormat="1" applyFont="1" applyBorder="1" applyAlignment="1">
      <alignment horizontal="center" wrapText="1"/>
    </xf>
    <xf numFmtId="165" fontId="3" fillId="0" borderId="0" xfId="0" applyNumberFormat="1" applyFont="1" applyAlignment="1">
      <alignment horizontal="center"/>
    </xf>
    <xf numFmtId="0" fontId="3" fillId="0" borderId="0" xfId="0" applyFont="1"/>
    <xf numFmtId="166" fontId="0" fillId="0" borderId="0" xfId="2" applyNumberFormat="1" applyFont="1"/>
    <xf numFmtId="10" fontId="0" fillId="0" borderId="0" xfId="2" applyNumberFormat="1" applyFont="1"/>
    <xf numFmtId="0" fontId="0" fillId="0" borderId="0" xfId="0" applyNumberFormat="1"/>
    <xf numFmtId="0" fontId="0" fillId="0" borderId="0" xfId="0" applyAlignment="1">
      <alignment wrapText="1"/>
    </xf>
    <xf numFmtId="8" fontId="0" fillId="0" borderId="0" xfId="0" applyNumberFormat="1"/>
    <xf numFmtId="8" fontId="4" fillId="0" borderId="0" xfId="0" applyNumberFormat="1" applyFont="1"/>
    <xf numFmtId="165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3">
    <cellStyle name="Currency" xfId="1" builtinId="4" customBuiltin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NPW vs IRR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725052598654549E-2"/>
          <c:y val="0.14385252928122869"/>
          <c:w val="0.9133145738314945"/>
          <c:h val="0.844079630617350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'ECONOMIC ANALYSIS'!$O$34:$O$35</c:f>
              <c:strCache>
                <c:ptCount val="2"/>
                <c:pt idx="0">
                  <c:v>NPW</c:v>
                </c:pt>
                <c:pt idx="1">
                  <c:v>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'ECONOMIC ANALYSIS'!$N$36:$N$56</c:f>
              <c:numCache>
                <c:formatCode>0%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xVal>
          <c:yVal>
            <c:numRef>
              <c:f>'ECONOMIC ANALYSIS'!$O$36:$O$56</c:f>
              <c:numCache>
                <c:formatCode>"$"#,##0.00</c:formatCode>
                <c:ptCount val="21"/>
                <c:pt idx="0">
                  <c:v>28.329120140779612</c:v>
                </c:pt>
                <c:pt idx="1">
                  <c:v>23.32938359970591</c:v>
                </c:pt>
                <c:pt idx="2">
                  <c:v>19.005035971013985</c:v>
                </c:pt>
                <c:pt idx="3">
                  <c:v>15.252172650218196</c:v>
                </c:pt>
                <c:pt idx="4">
                  <c:v>11.98426931500703</c:v>
                </c:pt>
                <c:pt idx="5">
                  <c:v>9.1290786475268249</c:v>
                </c:pt>
                <c:pt idx="6">
                  <c:v>6.6261125135140091</c:v>
                </c:pt>
                <c:pt idx="7">
                  <c:v>4.4245936915134401</c:v>
                </c:pt>
                <c:pt idx="8">
                  <c:v>2.4817852041338178</c:v>
                </c:pt>
                <c:pt idx="9">
                  <c:v>0.76162411160890642</c:v>
                </c:pt>
                <c:pt idx="10">
                  <c:v>-0.76639856638787052</c:v>
                </c:pt>
                <c:pt idx="11">
                  <c:v>-2.1281584483781018</c:v>
                </c:pt>
                <c:pt idx="12">
                  <c:v>-3.3456563071258394</c:v>
                </c:pt>
                <c:pt idx="13">
                  <c:v>-4.4376445643385729</c:v>
                </c:pt>
                <c:pt idx="14">
                  <c:v>-5.4201459861193584</c:v>
                </c:pt>
                <c:pt idx="15">
                  <c:v>-6.306884145109688</c:v>
                </c:pt>
                <c:pt idx="16">
                  <c:v>-7.1096414925311429</c:v>
                </c:pt>
                <c:pt idx="17">
                  <c:v>-7.8385578995918515</c:v>
                </c:pt>
                <c:pt idx="18">
                  <c:v>-8.5023801305032105</c:v>
                </c:pt>
                <c:pt idx="19">
                  <c:v>-9.1086707787686549</c:v>
                </c:pt>
                <c:pt idx="20">
                  <c:v>-9.6639836399840888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66-498B-A01C-CD3D5BFDBDE1}"/>
            </c:ext>
          </c:extLst>
        </c:ser>
        <c:ser>
          <c:idx val="1"/>
          <c:order val="1"/>
          <c:tx>
            <c:strRef>
              <c:f>'ECONOMIC ANALYSIS'!$P$34:$P$35</c:f>
              <c:strCache>
                <c:ptCount val="2"/>
                <c:pt idx="0">
                  <c:v>NPW</c:v>
                </c:pt>
                <c:pt idx="1">
                  <c:v>A2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'ECONOMIC ANALYSIS'!$N$36:$N$56</c:f>
              <c:numCache>
                <c:formatCode>0%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xVal>
          <c:yVal>
            <c:numRef>
              <c:f>'ECONOMIC ANALYSIS'!$P$36:$P$56</c:f>
              <c:numCache>
                <c:formatCode>"$"#,##0.00</c:formatCode>
                <c:ptCount val="21"/>
                <c:pt idx="0">
                  <c:v>22.17377565679503</c:v>
                </c:pt>
                <c:pt idx="1">
                  <c:v>18.603884211468795</c:v>
                </c:pt>
                <c:pt idx="2">
                  <c:v>15.489003038792468</c:v>
                </c:pt>
                <c:pt idx="3">
                  <c:v>12.762028296340706</c:v>
                </c:pt>
                <c:pt idx="4">
                  <c:v>10.366726172323304</c:v>
                </c:pt>
                <c:pt idx="5">
                  <c:v>8.2558425610473414</c:v>
                </c:pt>
                <c:pt idx="6">
                  <c:v>6.3895611873553726</c:v>
                </c:pt>
                <c:pt idx="7">
                  <c:v>4.7342426517069107</c:v>
                </c:pt>
                <c:pt idx="8">
                  <c:v>3.2613905470344022</c:v>
                </c:pt>
                <c:pt idx="9">
                  <c:v>1.9468015939157723</c:v>
                </c:pt>
                <c:pt idx="10">
                  <c:v>0.76986528263767795</c:v>
                </c:pt>
                <c:pt idx="11">
                  <c:v>-0.28701471259488542</c:v>
                </c:pt>
                <c:pt idx="12">
                  <c:v>-1.238899692045683</c:v>
                </c:pt>
                <c:pt idx="13">
                  <c:v>-2.0987137082419167</c:v>
                </c:pt>
                <c:pt idx="14">
                  <c:v>-2.8775745743111472</c:v>
                </c:pt>
                <c:pt idx="15">
                  <c:v>-3.5850699608384886</c:v>
                </c:pt>
                <c:pt idx="16">
                  <c:v>-4.2294882276595906</c:v>
                </c:pt>
                <c:pt idx="17">
                  <c:v>-4.8180118562541789</c:v>
                </c:pt>
                <c:pt idx="18">
                  <c:v>-5.3568799111780105</c:v>
                </c:pt>
                <c:pt idx="19">
                  <c:v>-5.8515247963061103</c:v>
                </c:pt>
                <c:pt idx="20">
                  <c:v>-6.3066876289605602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66-498B-A01C-CD3D5BFDBDE1}"/>
            </c:ext>
          </c:extLst>
        </c:ser>
        <c:ser>
          <c:idx val="2"/>
          <c:order val="2"/>
          <c:tx>
            <c:strRef>
              <c:f>'ECONOMIC ANALYSIS'!$Q$34:$Q$35</c:f>
              <c:strCache>
                <c:ptCount val="2"/>
                <c:pt idx="0">
                  <c:v>NPW</c:v>
                </c:pt>
                <c:pt idx="1">
                  <c:v>A3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'ECONOMIC ANALYSIS'!$N$36:$N$56</c:f>
              <c:numCache>
                <c:formatCode>0%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xVal>
          <c:yVal>
            <c:numRef>
              <c:f>'ECONOMIC ANALYSIS'!$Q$36:$Q$56</c:f>
              <c:numCache>
                <c:formatCode>"$"#,##0.00</c:formatCode>
                <c:ptCount val="21"/>
                <c:pt idx="0">
                  <c:v>28.421691323849739</c:v>
                </c:pt>
                <c:pt idx="1">
                  <c:v>23.581477420172991</c:v>
                </c:pt>
                <c:pt idx="2">
                  <c:v>19.390602971223988</c:v>
                </c:pt>
                <c:pt idx="3">
                  <c:v>15.749495247010284</c:v>
                </c:pt>
                <c:pt idx="4">
                  <c:v>12.575217016963197</c:v>
                </c:pt>
                <c:pt idx="5">
                  <c:v>9.7984967519569928</c:v>
                </c:pt>
                <c:pt idx="6">
                  <c:v>7.3613192964242415</c:v>
                </c:pt>
                <c:pt idx="7">
                  <c:v>5.214965986987341</c:v>
                </c:pt>
                <c:pt idx="8">
                  <c:v>3.3184161578136191</c:v>
                </c:pt>
                <c:pt idx="9">
                  <c:v>1.6370399972694649</c:v>
                </c:pt>
                <c:pt idx="10">
                  <c:v>0.14152690667750534</c:v>
                </c:pt>
                <c:pt idx="11">
                  <c:v>-1.1929952924817329</c:v>
                </c:pt>
                <c:pt idx="12">
                  <c:v>-2.3876860977722671</c:v>
                </c:pt>
                <c:pt idx="13">
                  <c:v>-3.460591778120893</c:v>
                </c:pt>
                <c:pt idx="14">
                  <c:v>-4.4271417158382675</c:v>
                </c:pt>
                <c:pt idx="15">
                  <c:v>-5.3005603573141418</c:v>
                </c:pt>
                <c:pt idx="16">
                  <c:v>-6.0922099279467226</c:v>
                </c:pt>
                <c:pt idx="17">
                  <c:v>-6.8118762112711764</c:v>
                </c:pt>
                <c:pt idx="18">
                  <c:v>-7.4680073983402639</c:v>
                </c:pt>
                <c:pt idx="19">
                  <c:v>-8.0679141662974274</c:v>
                </c:pt>
                <c:pt idx="20">
                  <c:v>-8.6179376542502926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66-498B-A01C-CD3D5BFDBDE1}"/>
            </c:ext>
          </c:extLst>
        </c:ser>
        <c:ser>
          <c:idx val="3"/>
          <c:order val="3"/>
          <c:tx>
            <c:strRef>
              <c:f>'ECONOMIC ANALYSIS'!$R$34:$R$35</c:f>
              <c:strCache>
                <c:ptCount val="2"/>
                <c:pt idx="0">
                  <c:v>NPW</c:v>
                </c:pt>
                <c:pt idx="1">
                  <c:v>A4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'ECONOMIC ANALYSIS'!$N$36:$N$56</c:f>
              <c:numCache>
                <c:formatCode>0%</c:formatCode>
                <c:ptCount val="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</c:numCache>
            </c:numRef>
          </c:xVal>
          <c:yVal>
            <c:numRef>
              <c:f>'ECONOMIC ANALYSIS'!$R$36:$R$56</c:f>
              <c:numCache>
                <c:formatCode>"$"#,##0.00</c:formatCode>
                <c:ptCount val="21"/>
                <c:pt idx="0">
                  <c:v>22.8018787183012</c:v>
                </c:pt>
                <c:pt idx="1">
                  <c:v>18.862958942403797</c:v>
                </c:pt>
                <c:pt idx="2">
                  <c:v>15.439263887869775</c:v>
                </c:pt>
                <c:pt idx="3">
                  <c:v>12.453374190818053</c:v>
                </c:pt>
                <c:pt idx="4">
                  <c:v>9.840590174068037</c:v>
                </c:pt>
                <c:pt idx="5">
                  <c:v>7.5466943627275604</c:v>
                </c:pt>
                <c:pt idx="6">
                  <c:v>5.5261305274933754</c:v>
                </c:pt>
                <c:pt idx="7">
                  <c:v>3.7405178172099056</c:v>
                </c:pt>
                <c:pt idx="8">
                  <c:v>2.1574351743356139</c:v>
                </c:pt>
                <c:pt idx="9">
                  <c:v>0.74942432570244222</c:v>
                </c:pt>
                <c:pt idx="10">
                  <c:v>-0.50683001543104922</c:v>
                </c:pt>
                <c:pt idx="11">
                  <c:v>-1.6311759105285049</c:v>
                </c:pt>
                <c:pt idx="12">
                  <c:v>-2.6405525938178496</c:v>
                </c:pt>
                <c:pt idx="13">
                  <c:v>-3.549453007429177</c:v>
                </c:pt>
                <c:pt idx="14">
                  <c:v>-4.3703078463060532</c:v>
                </c:pt>
                <c:pt idx="15">
                  <c:v>-5.1138051843856243</c:v>
                </c:pt>
                <c:pt idx="16">
                  <c:v>-5.7891571068333452</c:v>
                </c:pt>
                <c:pt idx="17">
                  <c:v>-6.4043226460297511</c:v>
                </c:pt>
                <c:pt idx="18">
                  <c:v>-6.966194605482313</c:v>
                </c:pt>
                <c:pt idx="19">
                  <c:v>-7.4807564722431241</c:v>
                </c:pt>
                <c:pt idx="20">
                  <c:v>-7.9532144986602837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66-498B-A01C-CD3D5BFDB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379840"/>
        <c:axId val="144643200"/>
      </c:scatterChart>
      <c:valAx>
        <c:axId val="14337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43200"/>
        <c:crosses val="autoZero"/>
        <c:crossBetween val="midCat"/>
      </c:valAx>
      <c:valAx>
        <c:axId val="14464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79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0520504836139797E-2"/>
          <c:y val="6.2777854522570675E-2"/>
          <c:w val="0.7236605248021577"/>
          <c:h val="0.9134306457306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'SA1'!$D$68</c:f>
              <c:strCache>
                <c:ptCount val="1"/>
                <c:pt idx="0">
                  <c:v>Revenue (± 10%)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'SA1'!$C$69:$C$89</c:f>
              <c:numCache>
                <c:formatCode>0%</c:formatCode>
                <c:ptCount val="21"/>
                <c:pt idx="0">
                  <c:v>-0.5</c:v>
                </c:pt>
                <c:pt idx="1">
                  <c:v>-0.4</c:v>
                </c:pt>
                <c:pt idx="2">
                  <c:v>-0.3</c:v>
                </c:pt>
                <c:pt idx="3">
                  <c:v>-0.2</c:v>
                </c:pt>
                <c:pt idx="4">
                  <c:v>-0.15</c:v>
                </c:pt>
                <c:pt idx="5">
                  <c:v>-0.1</c:v>
                </c:pt>
                <c:pt idx="6">
                  <c:v>-0.08</c:v>
                </c:pt>
                <c:pt idx="7">
                  <c:v>-0.05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0.05</c:v>
                </c:pt>
                <c:pt idx="14">
                  <c:v>0.08</c:v>
                </c:pt>
                <c:pt idx="15">
                  <c:v>0.1</c:v>
                </c:pt>
                <c:pt idx="16">
                  <c:v>0.15</c:v>
                </c:pt>
                <c:pt idx="17">
                  <c:v>0.2</c:v>
                </c:pt>
                <c:pt idx="18">
                  <c:v>0.3</c:v>
                </c:pt>
                <c:pt idx="19">
                  <c:v>0.4</c:v>
                </c:pt>
                <c:pt idx="20">
                  <c:v>0.5</c:v>
                </c:pt>
              </c:numCache>
            </c:numRef>
          </c:xVal>
          <c:yVal>
            <c:numRef>
              <c:f>'SA1'!$D$69:$D$89</c:f>
              <c:numCache>
                <c:formatCode>"$"#,##0.00</c:formatCode>
                <c:ptCount val="21"/>
                <c:pt idx="0">
                  <c:v>-19.440860019788168</c:v>
                </c:pt>
                <c:pt idx="1">
                  <c:v>-14.667769277527841</c:v>
                </c:pt>
                <c:pt idx="2">
                  <c:v>-9.8946785352675217</c:v>
                </c:pt>
                <c:pt idx="3">
                  <c:v>-5.1215877930071887</c:v>
                </c:pt>
                <c:pt idx="4">
                  <c:v>-2.735042421877028</c:v>
                </c:pt>
                <c:pt idx="5">
                  <c:v>-0.3484970507468711</c:v>
                </c:pt>
                <c:pt idx="6">
                  <c:v>0.60612109770519906</c:v>
                </c:pt>
                <c:pt idx="7">
                  <c:v>2.03804832038329</c:v>
                </c:pt>
                <c:pt idx="8">
                  <c:v>3.4699755430613952</c:v>
                </c:pt>
                <c:pt idx="9">
                  <c:v>3.9472846172874161</c:v>
                </c:pt>
                <c:pt idx="10">
                  <c:v>4.4245936915134507</c:v>
                </c:pt>
                <c:pt idx="11">
                  <c:v>4.9019027657394858</c:v>
                </c:pt>
                <c:pt idx="12">
                  <c:v>5.3792118399655138</c:v>
                </c:pt>
                <c:pt idx="13">
                  <c:v>6.8111390626436199</c:v>
                </c:pt>
                <c:pt idx="14">
                  <c:v>8.2430662853217189</c:v>
                </c:pt>
                <c:pt idx="15">
                  <c:v>9.1976844337737749</c:v>
                </c:pt>
                <c:pt idx="16">
                  <c:v>11.584229804903936</c:v>
                </c:pt>
                <c:pt idx="17">
                  <c:v>13.970775176034111</c:v>
                </c:pt>
                <c:pt idx="18">
                  <c:v>18.743865918294432</c:v>
                </c:pt>
                <c:pt idx="19">
                  <c:v>23.516956660554754</c:v>
                </c:pt>
                <c:pt idx="20">
                  <c:v>28.290047402815077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E-4F07-9551-74CFF1B9FF69}"/>
            </c:ext>
          </c:extLst>
        </c:ser>
        <c:ser>
          <c:idx val="1"/>
          <c:order val="1"/>
          <c:tx>
            <c:strRef>
              <c:f>'SA1'!$E$68</c:f>
              <c:strCache>
                <c:ptCount val="1"/>
                <c:pt idx="0">
                  <c:v>O&amp;M Cost (± 8%)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'SA1'!$C$69:$C$89</c:f>
              <c:numCache>
                <c:formatCode>0%</c:formatCode>
                <c:ptCount val="21"/>
                <c:pt idx="0">
                  <c:v>-0.5</c:v>
                </c:pt>
                <c:pt idx="1">
                  <c:v>-0.4</c:v>
                </c:pt>
                <c:pt idx="2">
                  <c:v>-0.3</c:v>
                </c:pt>
                <c:pt idx="3">
                  <c:v>-0.2</c:v>
                </c:pt>
                <c:pt idx="4">
                  <c:v>-0.15</c:v>
                </c:pt>
                <c:pt idx="5">
                  <c:v>-0.1</c:v>
                </c:pt>
                <c:pt idx="6">
                  <c:v>-0.08</c:v>
                </c:pt>
                <c:pt idx="7">
                  <c:v>-0.05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0.05</c:v>
                </c:pt>
                <c:pt idx="14">
                  <c:v>0.08</c:v>
                </c:pt>
                <c:pt idx="15">
                  <c:v>0.1</c:v>
                </c:pt>
                <c:pt idx="16">
                  <c:v>0.15</c:v>
                </c:pt>
                <c:pt idx="17">
                  <c:v>0.2</c:v>
                </c:pt>
                <c:pt idx="18">
                  <c:v>0.3</c:v>
                </c:pt>
                <c:pt idx="19">
                  <c:v>0.4</c:v>
                </c:pt>
                <c:pt idx="20">
                  <c:v>0.5</c:v>
                </c:pt>
              </c:numCache>
            </c:numRef>
          </c:xVal>
          <c:yVal>
            <c:numRef>
              <c:f>'SA1'!$E$69:$E$89</c:f>
              <c:numCache>
                <c:formatCode>"$"#,##0.00</c:formatCode>
                <c:ptCount val="21"/>
                <c:pt idx="0">
                  <c:v>9.9931995574838286</c:v>
                </c:pt>
                <c:pt idx="1">
                  <c:v>8.8794783842897633</c:v>
                </c:pt>
                <c:pt idx="2">
                  <c:v>7.7657572110956838</c:v>
                </c:pt>
                <c:pt idx="3">
                  <c:v>6.6520360379016106</c:v>
                </c:pt>
                <c:pt idx="4">
                  <c:v>6.0951754513045708</c:v>
                </c:pt>
                <c:pt idx="5">
                  <c:v>5.5383148647075311</c:v>
                </c:pt>
                <c:pt idx="6">
                  <c:v>5.3155706300687129</c:v>
                </c:pt>
                <c:pt idx="7">
                  <c:v>4.9814542781104976</c:v>
                </c:pt>
                <c:pt idx="8">
                  <c:v>4.647337926152268</c:v>
                </c:pt>
                <c:pt idx="9">
                  <c:v>4.5359658088328629</c:v>
                </c:pt>
                <c:pt idx="10">
                  <c:v>4.4245936915134507</c:v>
                </c:pt>
                <c:pt idx="11">
                  <c:v>4.3132215741940456</c:v>
                </c:pt>
                <c:pt idx="12">
                  <c:v>4.2018494568746405</c:v>
                </c:pt>
                <c:pt idx="13">
                  <c:v>3.8677331049164185</c:v>
                </c:pt>
                <c:pt idx="14">
                  <c:v>3.5336167529581961</c:v>
                </c:pt>
                <c:pt idx="15">
                  <c:v>3.3108725183193859</c:v>
                </c:pt>
                <c:pt idx="16">
                  <c:v>2.754011931722339</c:v>
                </c:pt>
                <c:pt idx="17">
                  <c:v>2.1971513451253064</c:v>
                </c:pt>
                <c:pt idx="18">
                  <c:v>1.0834301719312269</c:v>
                </c:pt>
                <c:pt idx="19">
                  <c:v>-3.0291001262845341E-2</c:v>
                </c:pt>
                <c:pt idx="20">
                  <c:v>-1.1440121744569214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CE-4F07-9551-74CFF1B9FF69}"/>
            </c:ext>
          </c:extLst>
        </c:ser>
        <c:ser>
          <c:idx val="2"/>
          <c:order val="2"/>
          <c:tx>
            <c:strRef>
              <c:f>'SA1'!$F$68</c:f>
              <c:strCache>
                <c:ptCount val="1"/>
                <c:pt idx="0">
                  <c:v>Overhaul Cost (± 5%)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'SA1'!$C$69:$C$89</c:f>
              <c:numCache>
                <c:formatCode>0%</c:formatCode>
                <c:ptCount val="21"/>
                <c:pt idx="0">
                  <c:v>-0.5</c:v>
                </c:pt>
                <c:pt idx="1">
                  <c:v>-0.4</c:v>
                </c:pt>
                <c:pt idx="2">
                  <c:v>-0.3</c:v>
                </c:pt>
                <c:pt idx="3">
                  <c:v>-0.2</c:v>
                </c:pt>
                <c:pt idx="4">
                  <c:v>-0.15</c:v>
                </c:pt>
                <c:pt idx="5">
                  <c:v>-0.1</c:v>
                </c:pt>
                <c:pt idx="6">
                  <c:v>-0.08</c:v>
                </c:pt>
                <c:pt idx="7">
                  <c:v>-0.05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0.05</c:v>
                </c:pt>
                <c:pt idx="14">
                  <c:v>0.08</c:v>
                </c:pt>
                <c:pt idx="15">
                  <c:v>0.1</c:v>
                </c:pt>
                <c:pt idx="16">
                  <c:v>0.15</c:v>
                </c:pt>
                <c:pt idx="17">
                  <c:v>0.2</c:v>
                </c:pt>
                <c:pt idx="18">
                  <c:v>0.3</c:v>
                </c:pt>
                <c:pt idx="19">
                  <c:v>0.4</c:v>
                </c:pt>
                <c:pt idx="20">
                  <c:v>0.5</c:v>
                </c:pt>
              </c:numCache>
            </c:numRef>
          </c:xVal>
          <c:yVal>
            <c:numRef>
              <c:f>'SA1'!$F$69:$F$89</c:f>
              <c:numCache>
                <c:formatCode>"$"#,##0.00</c:formatCode>
                <c:ptCount val="21"/>
                <c:pt idx="0">
                  <c:v>5.0581596313161938</c:v>
                </c:pt>
                <c:pt idx="1">
                  <c:v>4.9314464433556449</c:v>
                </c:pt>
                <c:pt idx="2">
                  <c:v>4.8047332553950977</c:v>
                </c:pt>
                <c:pt idx="3">
                  <c:v>4.6780200674345487</c:v>
                </c:pt>
                <c:pt idx="4">
                  <c:v>4.6146634734542733</c:v>
                </c:pt>
                <c:pt idx="5">
                  <c:v>4.5513068794739997</c:v>
                </c:pt>
                <c:pt idx="6">
                  <c:v>4.5259642418818888</c:v>
                </c:pt>
                <c:pt idx="7">
                  <c:v>4.4879502854937243</c:v>
                </c:pt>
                <c:pt idx="8">
                  <c:v>4.4499363291055616</c:v>
                </c:pt>
                <c:pt idx="9">
                  <c:v>4.4372650103095062</c:v>
                </c:pt>
                <c:pt idx="10">
                  <c:v>4.4245936915134507</c:v>
                </c:pt>
                <c:pt idx="11">
                  <c:v>4.4119223727173971</c:v>
                </c:pt>
                <c:pt idx="12">
                  <c:v>4.3992510539213416</c:v>
                </c:pt>
                <c:pt idx="13">
                  <c:v>4.3612370975331789</c:v>
                </c:pt>
                <c:pt idx="14">
                  <c:v>4.3232231411450144</c:v>
                </c:pt>
                <c:pt idx="15">
                  <c:v>4.2978805035529053</c:v>
                </c:pt>
                <c:pt idx="16">
                  <c:v>4.2345239095726299</c:v>
                </c:pt>
                <c:pt idx="17">
                  <c:v>4.1711673155923563</c:v>
                </c:pt>
                <c:pt idx="18">
                  <c:v>4.0444541276318073</c:v>
                </c:pt>
                <c:pt idx="19">
                  <c:v>3.9177409396712588</c:v>
                </c:pt>
                <c:pt idx="20">
                  <c:v>3.7910277517107098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CE-4F07-9551-74CFF1B9FF69}"/>
            </c:ext>
          </c:extLst>
        </c:ser>
        <c:ser>
          <c:idx val="3"/>
          <c:order val="3"/>
          <c:tx>
            <c:strRef>
              <c:f>'SA1'!$G$68</c:f>
              <c:strCache>
                <c:ptCount val="1"/>
                <c:pt idx="0">
                  <c:v>MARR (± 30%)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'SA1'!$C$69:$C$89</c:f>
              <c:numCache>
                <c:formatCode>0%</c:formatCode>
                <c:ptCount val="21"/>
                <c:pt idx="0">
                  <c:v>-0.5</c:v>
                </c:pt>
                <c:pt idx="1">
                  <c:v>-0.4</c:v>
                </c:pt>
                <c:pt idx="2">
                  <c:v>-0.3</c:v>
                </c:pt>
                <c:pt idx="3">
                  <c:v>-0.2</c:v>
                </c:pt>
                <c:pt idx="4">
                  <c:v>-0.15</c:v>
                </c:pt>
                <c:pt idx="5">
                  <c:v>-0.1</c:v>
                </c:pt>
                <c:pt idx="6">
                  <c:v>-0.08</c:v>
                </c:pt>
                <c:pt idx="7">
                  <c:v>-0.05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0.05</c:v>
                </c:pt>
                <c:pt idx="14">
                  <c:v>0.08</c:v>
                </c:pt>
                <c:pt idx="15">
                  <c:v>0.1</c:v>
                </c:pt>
                <c:pt idx="16">
                  <c:v>0.15</c:v>
                </c:pt>
                <c:pt idx="17">
                  <c:v>0.2</c:v>
                </c:pt>
                <c:pt idx="18">
                  <c:v>0.3</c:v>
                </c:pt>
                <c:pt idx="19">
                  <c:v>0.4</c:v>
                </c:pt>
                <c:pt idx="20">
                  <c:v>0.5</c:v>
                </c:pt>
              </c:numCache>
            </c:numRef>
          </c:xVal>
          <c:yVal>
            <c:numRef>
              <c:f>'SA1'!$G$69:$G$89</c:f>
              <c:numCache>
                <c:formatCode>"$"#,##0.00</c:formatCode>
                <c:ptCount val="21"/>
                <c:pt idx="0">
                  <c:v>13.562419006390924</c:v>
                </c:pt>
                <c:pt idx="1">
                  <c:v>11.382304892358871</c:v>
                </c:pt>
                <c:pt idx="2">
                  <c:v>9.3978317493402468</c:v>
                </c:pt>
                <c:pt idx="3">
                  <c:v>7.5884782625468219</c:v>
                </c:pt>
                <c:pt idx="4">
                  <c:v>6.7437144466212864</c:v>
                </c:pt>
                <c:pt idx="5">
                  <c:v>5.9360916599244682</c:v>
                </c:pt>
                <c:pt idx="6">
                  <c:v>5.6230019624007923</c:v>
                </c:pt>
                <c:pt idx="7">
                  <c:v>5.1636626703797885</c:v>
                </c:pt>
                <c:pt idx="8">
                  <c:v>4.7163309425601811</c:v>
                </c:pt>
                <c:pt idx="9">
                  <c:v>4.5698230816598855</c:v>
                </c:pt>
                <c:pt idx="10">
                  <c:v>4.4245936915134507</c:v>
                </c:pt>
                <c:pt idx="11">
                  <c:v>4.280629283345994</c:v>
                </c:pt>
                <c:pt idx="12">
                  <c:v>4.1379165276544096</c:v>
                </c:pt>
                <c:pt idx="13">
                  <c:v>3.7171572267040021</c:v>
                </c:pt>
                <c:pt idx="14">
                  <c:v>3.3071978017734942</c:v>
                </c:pt>
                <c:pt idx="15">
                  <c:v>3.0397253956466614</c:v>
                </c:pt>
                <c:pt idx="16">
                  <c:v>2.3907637086093283</c:v>
                </c:pt>
                <c:pt idx="17">
                  <c:v>1.7688252566426108</c:v>
                </c:pt>
                <c:pt idx="18">
                  <c:v>0.6006361455535778</c:v>
                </c:pt>
                <c:pt idx="19">
                  <c:v>-0.47486289737091675</c:v>
                </c:pt>
                <c:pt idx="20">
                  <c:v>-1.4666034135854762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CE-4F07-9551-74CFF1B9FF69}"/>
            </c:ext>
          </c:extLst>
        </c:ser>
        <c:ser>
          <c:idx val="4"/>
          <c:order val="4"/>
          <c:tx>
            <c:strRef>
              <c:f>'SA1'!$H$68</c:f>
              <c:strCache>
                <c:ptCount val="1"/>
                <c:pt idx="0">
                  <c:v>Salvage value (± 15%)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'SA1'!$C$69:$C$89</c:f>
              <c:numCache>
                <c:formatCode>0%</c:formatCode>
                <c:ptCount val="21"/>
                <c:pt idx="0">
                  <c:v>-0.5</c:v>
                </c:pt>
                <c:pt idx="1">
                  <c:v>-0.4</c:v>
                </c:pt>
                <c:pt idx="2">
                  <c:v>-0.3</c:v>
                </c:pt>
                <c:pt idx="3">
                  <c:v>-0.2</c:v>
                </c:pt>
                <c:pt idx="4">
                  <c:v>-0.15</c:v>
                </c:pt>
                <c:pt idx="5">
                  <c:v>-0.1</c:v>
                </c:pt>
                <c:pt idx="6">
                  <c:v>-0.08</c:v>
                </c:pt>
                <c:pt idx="7">
                  <c:v>-0.05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0.05</c:v>
                </c:pt>
                <c:pt idx="14">
                  <c:v>0.08</c:v>
                </c:pt>
                <c:pt idx="15">
                  <c:v>0.1</c:v>
                </c:pt>
                <c:pt idx="16">
                  <c:v>0.15</c:v>
                </c:pt>
                <c:pt idx="17">
                  <c:v>0.2</c:v>
                </c:pt>
                <c:pt idx="18">
                  <c:v>0.3</c:v>
                </c:pt>
                <c:pt idx="19">
                  <c:v>0.4</c:v>
                </c:pt>
                <c:pt idx="20">
                  <c:v>0.5</c:v>
                </c:pt>
              </c:numCache>
            </c:numRef>
          </c:xVal>
          <c:yVal>
            <c:numRef>
              <c:f>'SA1'!$H$69:$H$89</c:f>
              <c:numCache>
                <c:formatCode>"$"#,##0.00</c:formatCode>
                <c:ptCount val="21"/>
                <c:pt idx="0">
                  <c:v>4.3782212198343942</c:v>
                </c:pt>
                <c:pt idx="1">
                  <c:v>4.3874957141702069</c:v>
                </c:pt>
                <c:pt idx="2">
                  <c:v>4.3967702085060196</c:v>
                </c:pt>
                <c:pt idx="3">
                  <c:v>4.4060447028418324</c:v>
                </c:pt>
                <c:pt idx="4">
                  <c:v>4.4106819500097316</c:v>
                </c:pt>
                <c:pt idx="5">
                  <c:v>4.415319197177638</c:v>
                </c:pt>
                <c:pt idx="6">
                  <c:v>4.4171740960448034</c:v>
                </c:pt>
                <c:pt idx="7">
                  <c:v>4.4199564443455444</c:v>
                </c:pt>
                <c:pt idx="8">
                  <c:v>4.4227387926462924</c:v>
                </c:pt>
                <c:pt idx="9">
                  <c:v>4.423666242079868</c:v>
                </c:pt>
                <c:pt idx="10">
                  <c:v>4.4245936915134507</c:v>
                </c:pt>
                <c:pt idx="11">
                  <c:v>4.4255211409470334</c:v>
                </c:pt>
                <c:pt idx="12">
                  <c:v>4.4264485903806161</c:v>
                </c:pt>
                <c:pt idx="13">
                  <c:v>4.4292309386813571</c:v>
                </c:pt>
                <c:pt idx="14">
                  <c:v>4.4320132869820981</c:v>
                </c:pt>
                <c:pt idx="15">
                  <c:v>4.4338681858492635</c:v>
                </c:pt>
                <c:pt idx="16">
                  <c:v>4.4385054330171698</c:v>
                </c:pt>
                <c:pt idx="17">
                  <c:v>4.4431426801850762</c:v>
                </c:pt>
                <c:pt idx="18">
                  <c:v>4.4524171745208889</c:v>
                </c:pt>
                <c:pt idx="19">
                  <c:v>4.4616916688567017</c:v>
                </c:pt>
                <c:pt idx="20">
                  <c:v>4.4709661631925144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9CE-4F07-9551-74CFF1B9FF69}"/>
            </c:ext>
          </c:extLst>
        </c:ser>
        <c:ser>
          <c:idx val="5"/>
          <c:order val="5"/>
          <c:tx>
            <c:strRef>
              <c:f>'SA1'!$I$68</c:f>
              <c:strCache>
                <c:ptCount val="1"/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'SA1'!$C$69:$C$89</c:f>
              <c:numCache>
                <c:formatCode>0%</c:formatCode>
                <c:ptCount val="21"/>
                <c:pt idx="0">
                  <c:v>-0.5</c:v>
                </c:pt>
                <c:pt idx="1">
                  <c:v>-0.4</c:v>
                </c:pt>
                <c:pt idx="2">
                  <c:v>-0.3</c:v>
                </c:pt>
                <c:pt idx="3">
                  <c:v>-0.2</c:v>
                </c:pt>
                <c:pt idx="4">
                  <c:v>-0.15</c:v>
                </c:pt>
                <c:pt idx="5">
                  <c:v>-0.1</c:v>
                </c:pt>
                <c:pt idx="6">
                  <c:v>-0.08</c:v>
                </c:pt>
                <c:pt idx="7">
                  <c:v>-0.05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0.05</c:v>
                </c:pt>
                <c:pt idx="14">
                  <c:v>0.08</c:v>
                </c:pt>
                <c:pt idx="15">
                  <c:v>0.1</c:v>
                </c:pt>
                <c:pt idx="16">
                  <c:v>0.15</c:v>
                </c:pt>
                <c:pt idx="17">
                  <c:v>0.2</c:v>
                </c:pt>
                <c:pt idx="18">
                  <c:v>0.3</c:v>
                </c:pt>
                <c:pt idx="19">
                  <c:v>0.4</c:v>
                </c:pt>
                <c:pt idx="20">
                  <c:v>0.5</c:v>
                </c:pt>
              </c:numCache>
            </c:numRef>
          </c:xVal>
          <c:yVal>
            <c:numRef>
              <c:f>'SA1'!$I$69:$I$89</c:f>
              <c:numCache>
                <c:formatCode>"$"#,##0.00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9CE-4F07-9551-74CFF1B9F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142336"/>
        <c:axId val="146143872"/>
      </c:scatterChart>
      <c:valAx>
        <c:axId val="14614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43872"/>
        <c:crosses val="autoZero"/>
        <c:crossBetween val="midCat"/>
      </c:valAx>
      <c:valAx>
        <c:axId val="14614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4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1695266557408686"/>
          <c:y val="0.11753535353535356"/>
          <c:w val="0.6596565030825049"/>
          <c:h val="0.6018646305575441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'SA1'!$C$94</c:f>
              <c:strCache>
                <c:ptCount val="1"/>
                <c:pt idx="0">
                  <c:v>-50%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'SA1'!$D$93:$H$93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'SA1'!$D$94:$H$94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824D-4090-A69B-59B078F6BF2F}"/>
            </c:ext>
          </c:extLst>
        </c:ser>
        <c:ser>
          <c:idx val="1"/>
          <c:order val="1"/>
          <c:tx>
            <c:strRef>
              <c:f>'SA1'!$C$95</c:f>
              <c:strCache>
                <c:ptCount val="1"/>
                <c:pt idx="0">
                  <c:v>-40%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'SA1'!$D$93:$H$93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'SA1'!$D$95:$H$95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824D-4090-A69B-59B078F6BF2F}"/>
            </c:ext>
          </c:extLst>
        </c:ser>
        <c:ser>
          <c:idx val="2"/>
          <c:order val="2"/>
          <c:tx>
            <c:strRef>
              <c:f>'SA1'!$C$96</c:f>
              <c:strCache>
                <c:ptCount val="1"/>
                <c:pt idx="0">
                  <c:v>-30%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'SA1'!$D$93:$H$93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'SA1'!$D$96:$H$96</c:f>
              <c:numCache>
                <c:formatCode>General</c:formatCode>
                <c:ptCount val="5"/>
                <c:pt idx="3" formatCode="&quot;$&quot;#,##0.00">
                  <c:v>9.3978317493402468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4D-4090-A69B-59B078F6BF2F}"/>
            </c:ext>
          </c:extLst>
        </c:ser>
        <c:ser>
          <c:idx val="3"/>
          <c:order val="3"/>
          <c:tx>
            <c:strRef>
              <c:f>'SA1'!$C$97</c:f>
              <c:strCache>
                <c:ptCount val="1"/>
                <c:pt idx="0">
                  <c:v>-20%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'SA1'!$D$93:$H$93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'SA1'!$D$97:$H$97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824D-4090-A69B-59B078F6BF2F}"/>
            </c:ext>
          </c:extLst>
        </c:ser>
        <c:ser>
          <c:idx val="4"/>
          <c:order val="4"/>
          <c:tx>
            <c:strRef>
              <c:f>'SA1'!$C$98</c:f>
              <c:strCache>
                <c:ptCount val="1"/>
                <c:pt idx="0">
                  <c:v>-15%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'SA1'!$D$93:$H$93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'SA1'!$D$98:$H$98</c:f>
              <c:numCache>
                <c:formatCode>General</c:formatCode>
                <c:ptCount val="5"/>
                <c:pt idx="4" formatCode="&quot;$&quot;#,##0.00">
                  <c:v>4.4106819500097316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4D-4090-A69B-59B078F6BF2F}"/>
            </c:ext>
          </c:extLst>
        </c:ser>
        <c:ser>
          <c:idx val="5"/>
          <c:order val="5"/>
          <c:tx>
            <c:strRef>
              <c:f>'SA1'!$C$99</c:f>
              <c:strCache>
                <c:ptCount val="1"/>
                <c:pt idx="0">
                  <c:v>-10%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'SA1'!$D$93:$H$93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'SA1'!$D$99:$H$99</c:f>
              <c:numCache>
                <c:formatCode>General</c:formatCode>
                <c:ptCount val="5"/>
                <c:pt idx="0" formatCode="&quot;$&quot;#,##0.00">
                  <c:v>-0.3484970507468711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24D-4090-A69B-59B078F6BF2F}"/>
            </c:ext>
          </c:extLst>
        </c:ser>
        <c:ser>
          <c:idx val="6"/>
          <c:order val="6"/>
          <c:tx>
            <c:strRef>
              <c:f>'SA1'!$C$100</c:f>
              <c:strCache>
                <c:ptCount val="1"/>
                <c:pt idx="0">
                  <c:v>-8%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'SA1'!$D$93:$H$93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'SA1'!$D$100:$H$100</c:f>
              <c:numCache>
                <c:formatCode>"$"#,##0.00</c:formatCode>
                <c:ptCount val="5"/>
                <c:pt idx="1">
                  <c:v>5.3155706300687129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24D-4090-A69B-59B078F6BF2F}"/>
            </c:ext>
          </c:extLst>
        </c:ser>
        <c:ser>
          <c:idx val="7"/>
          <c:order val="7"/>
          <c:tx>
            <c:strRef>
              <c:f>'SA1'!$C$101</c:f>
              <c:strCache>
                <c:ptCount val="1"/>
                <c:pt idx="0">
                  <c:v>-5%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'SA1'!$D$93:$H$93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'SA1'!$D$101:$H$101</c:f>
              <c:numCache>
                <c:formatCode>General</c:formatCode>
                <c:ptCount val="5"/>
                <c:pt idx="2" formatCode="&quot;$&quot;#,##0.00">
                  <c:v>4.4879502854937243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24D-4090-A69B-59B078F6BF2F}"/>
            </c:ext>
          </c:extLst>
        </c:ser>
        <c:ser>
          <c:idx val="8"/>
          <c:order val="8"/>
          <c:tx>
            <c:strRef>
              <c:f>'SA1'!$C$102</c:f>
              <c:strCache>
                <c:ptCount val="1"/>
                <c:pt idx="0">
                  <c:v>-2%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'SA1'!$D$93:$H$93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'SA1'!$D$102:$H$102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8-824D-4090-A69B-59B078F6BF2F}"/>
            </c:ext>
          </c:extLst>
        </c:ser>
        <c:ser>
          <c:idx val="9"/>
          <c:order val="9"/>
          <c:tx>
            <c:strRef>
              <c:f>'SA1'!$C$103</c:f>
              <c:strCache>
                <c:ptCount val="1"/>
                <c:pt idx="0">
                  <c:v>-1%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'SA1'!$D$93:$H$93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'SA1'!$D$103:$H$103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9-824D-4090-A69B-59B078F6BF2F}"/>
            </c:ext>
          </c:extLst>
        </c:ser>
        <c:ser>
          <c:idx val="10"/>
          <c:order val="10"/>
          <c:tx>
            <c:strRef>
              <c:f>'SA1'!$C$104</c:f>
              <c:strCache>
                <c:ptCount val="1"/>
                <c:pt idx="0">
                  <c:v>0%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'SA1'!$D$93:$H$93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'SA1'!$D$104:$H$104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A-824D-4090-A69B-59B078F6BF2F}"/>
            </c:ext>
          </c:extLst>
        </c:ser>
        <c:ser>
          <c:idx val="11"/>
          <c:order val="11"/>
          <c:tx>
            <c:strRef>
              <c:f>'SA1'!$C$105</c:f>
              <c:strCache>
                <c:ptCount val="1"/>
                <c:pt idx="0">
                  <c:v>1%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'SA1'!$D$93:$H$93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'SA1'!$D$105:$H$105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B-824D-4090-A69B-59B078F6BF2F}"/>
            </c:ext>
          </c:extLst>
        </c:ser>
        <c:ser>
          <c:idx val="12"/>
          <c:order val="12"/>
          <c:tx>
            <c:strRef>
              <c:f>'SA1'!$C$106</c:f>
              <c:strCache>
                <c:ptCount val="1"/>
                <c:pt idx="0">
                  <c:v>2%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'SA1'!$D$93:$H$93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'SA1'!$D$106:$H$106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C-824D-4090-A69B-59B078F6BF2F}"/>
            </c:ext>
          </c:extLst>
        </c:ser>
        <c:ser>
          <c:idx val="13"/>
          <c:order val="13"/>
          <c:tx>
            <c:strRef>
              <c:f>'SA1'!$C$107</c:f>
              <c:strCache>
                <c:ptCount val="1"/>
                <c:pt idx="0">
                  <c:v>5%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'SA1'!$D$93:$H$93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'SA1'!$D$107:$H$107</c:f>
              <c:numCache>
                <c:formatCode>General</c:formatCode>
                <c:ptCount val="5"/>
                <c:pt idx="2" formatCode="&quot;$&quot;#,##0.00">
                  <c:v>4.3612370975331789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24D-4090-A69B-59B078F6BF2F}"/>
            </c:ext>
          </c:extLst>
        </c:ser>
        <c:ser>
          <c:idx val="14"/>
          <c:order val="14"/>
          <c:tx>
            <c:strRef>
              <c:f>'SA1'!$C$108</c:f>
              <c:strCache>
                <c:ptCount val="1"/>
                <c:pt idx="0">
                  <c:v>8%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'SA1'!$D$93:$H$93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'SA1'!$D$108:$H$108</c:f>
              <c:numCache>
                <c:formatCode>"$"#,##0.00</c:formatCode>
                <c:ptCount val="5"/>
                <c:pt idx="1">
                  <c:v>3.5336167529581961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24D-4090-A69B-59B078F6BF2F}"/>
            </c:ext>
          </c:extLst>
        </c:ser>
        <c:ser>
          <c:idx val="15"/>
          <c:order val="15"/>
          <c:tx>
            <c:strRef>
              <c:f>'SA1'!$C$109</c:f>
              <c:strCache>
                <c:ptCount val="1"/>
                <c:pt idx="0">
                  <c:v>10%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'SA1'!$D$93:$H$93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'SA1'!$D$109:$H$109</c:f>
              <c:numCache>
                <c:formatCode>General</c:formatCode>
                <c:ptCount val="5"/>
                <c:pt idx="0" formatCode="&quot;$&quot;#,##0.00">
                  <c:v>9.1976844337737749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24D-4090-A69B-59B078F6BF2F}"/>
            </c:ext>
          </c:extLst>
        </c:ser>
        <c:ser>
          <c:idx val="16"/>
          <c:order val="16"/>
          <c:tx>
            <c:strRef>
              <c:f>'SA1'!$C$110</c:f>
              <c:strCache>
                <c:ptCount val="1"/>
                <c:pt idx="0">
                  <c:v>15%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'SA1'!$D$93:$H$93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'SA1'!$D$110:$H$110</c:f>
              <c:numCache>
                <c:formatCode>General</c:formatCode>
                <c:ptCount val="5"/>
                <c:pt idx="4" formatCode="&quot;$&quot;#,##0.00">
                  <c:v>4.4385054330171698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24D-4090-A69B-59B078F6BF2F}"/>
            </c:ext>
          </c:extLst>
        </c:ser>
        <c:ser>
          <c:idx val="17"/>
          <c:order val="17"/>
          <c:tx>
            <c:strRef>
              <c:f>'SA1'!$C$111</c:f>
              <c:strCache>
                <c:ptCount val="1"/>
                <c:pt idx="0">
                  <c:v>20%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'SA1'!$D$93:$H$93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'SA1'!$D$111:$H$111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11-824D-4090-A69B-59B078F6BF2F}"/>
            </c:ext>
          </c:extLst>
        </c:ser>
        <c:ser>
          <c:idx val="18"/>
          <c:order val="18"/>
          <c:tx>
            <c:strRef>
              <c:f>'SA1'!$C$112</c:f>
              <c:strCache>
                <c:ptCount val="1"/>
                <c:pt idx="0">
                  <c:v>30%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'SA1'!$D$93:$H$93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'SA1'!$D$112:$H$112</c:f>
              <c:numCache>
                <c:formatCode>General</c:formatCode>
                <c:ptCount val="5"/>
                <c:pt idx="3" formatCode="&quot;$&quot;#,##0.00">
                  <c:v>0.6006361455535778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24D-4090-A69B-59B078F6BF2F}"/>
            </c:ext>
          </c:extLst>
        </c:ser>
        <c:ser>
          <c:idx val="19"/>
          <c:order val="19"/>
          <c:tx>
            <c:strRef>
              <c:f>'SA1'!$C$113</c:f>
              <c:strCache>
                <c:ptCount val="1"/>
                <c:pt idx="0">
                  <c:v>40%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'SA1'!$D$93:$H$93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'SA1'!$D$113:$H$113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13-824D-4090-A69B-59B078F6BF2F}"/>
            </c:ext>
          </c:extLst>
        </c:ser>
        <c:ser>
          <c:idx val="20"/>
          <c:order val="20"/>
          <c:tx>
            <c:strRef>
              <c:f>'SA1'!$C$114</c:f>
              <c:strCache>
                <c:ptCount val="1"/>
                <c:pt idx="0">
                  <c:v>50%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'SA1'!$D$93:$H$93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'SA1'!$D$114:$H$114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14-824D-4090-A69B-59B078F6B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2"/>
        <c:overlap val="100"/>
        <c:axId val="146286080"/>
        <c:axId val="146287616"/>
      </c:barChart>
      <c:catAx>
        <c:axId val="146286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>
            <a:glow>
              <a:schemeClr val="accent1">
                <a:alpha val="40000"/>
              </a:schemeClr>
            </a:glow>
            <a:softEdge rad="0"/>
          </a:effectLst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87616"/>
        <c:crossesAt val="4"/>
        <c:auto val="1"/>
        <c:lblAlgn val="ctr"/>
        <c:lblOffset val="100"/>
        <c:noMultiLvlLbl val="0"/>
      </c:catAx>
      <c:valAx>
        <c:axId val="14628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>
              <a:softEdge rad="0"/>
            </a:effectLst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86080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'SA2'!$D$68</c:f>
              <c:strCache>
                <c:ptCount val="1"/>
                <c:pt idx="0">
                  <c:v>Revenue (± 10%)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'SA2'!$C$69:$C$89</c:f>
              <c:numCache>
                <c:formatCode>0%</c:formatCode>
                <c:ptCount val="21"/>
                <c:pt idx="0">
                  <c:v>-0.5</c:v>
                </c:pt>
                <c:pt idx="1">
                  <c:v>-0.4</c:v>
                </c:pt>
                <c:pt idx="2">
                  <c:v>-0.3</c:v>
                </c:pt>
                <c:pt idx="3">
                  <c:v>-0.2</c:v>
                </c:pt>
                <c:pt idx="4">
                  <c:v>-0.15</c:v>
                </c:pt>
                <c:pt idx="5">
                  <c:v>-0.1</c:v>
                </c:pt>
                <c:pt idx="6">
                  <c:v>-0.08</c:v>
                </c:pt>
                <c:pt idx="7">
                  <c:v>-0.05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0.05</c:v>
                </c:pt>
                <c:pt idx="14">
                  <c:v>0.08</c:v>
                </c:pt>
                <c:pt idx="15">
                  <c:v>0.1</c:v>
                </c:pt>
                <c:pt idx="16">
                  <c:v>0.15</c:v>
                </c:pt>
                <c:pt idx="17">
                  <c:v>0.2</c:v>
                </c:pt>
                <c:pt idx="18">
                  <c:v>0.3</c:v>
                </c:pt>
                <c:pt idx="19">
                  <c:v>0.4</c:v>
                </c:pt>
                <c:pt idx="20">
                  <c:v>0.5</c:v>
                </c:pt>
              </c:numCache>
            </c:numRef>
          </c:xVal>
          <c:yVal>
            <c:numRef>
              <c:f>'SA2'!$D$69:$D$89</c:f>
              <c:numCache>
                <c:formatCode>"$"#,##0.00</c:formatCode>
                <c:ptCount val="21"/>
                <c:pt idx="0">
                  <c:v>-14.144290733802878</c:v>
                </c:pt>
                <c:pt idx="1">
                  <c:v>-10.36858405670092</c:v>
                </c:pt>
                <c:pt idx="2">
                  <c:v>-6.5928773795989626</c:v>
                </c:pt>
                <c:pt idx="3">
                  <c:v>-2.8171707024970023</c:v>
                </c:pt>
                <c:pt idx="4">
                  <c:v>-0.9293173639460236</c:v>
                </c:pt>
                <c:pt idx="5">
                  <c:v>0.95853597460495943</c:v>
                </c:pt>
                <c:pt idx="6">
                  <c:v>1.7136773100253495</c:v>
                </c:pt>
                <c:pt idx="7">
                  <c:v>2.8463893131559348</c:v>
                </c:pt>
                <c:pt idx="8">
                  <c:v>3.9791013162865263</c:v>
                </c:pt>
                <c:pt idx="9">
                  <c:v>4.356671983996721</c:v>
                </c:pt>
                <c:pt idx="10">
                  <c:v>4.734242651706916</c:v>
                </c:pt>
                <c:pt idx="11">
                  <c:v>5.1118133194171111</c:v>
                </c:pt>
                <c:pt idx="12">
                  <c:v>5.489383987127316</c:v>
                </c:pt>
                <c:pt idx="13">
                  <c:v>6.6220959902578977</c:v>
                </c:pt>
                <c:pt idx="14">
                  <c:v>7.7548079933884946</c:v>
                </c:pt>
                <c:pt idx="15">
                  <c:v>8.5099493288088848</c:v>
                </c:pt>
                <c:pt idx="16">
                  <c:v>10.39780266735986</c:v>
                </c:pt>
                <c:pt idx="17">
                  <c:v>12.285656005910843</c:v>
                </c:pt>
                <c:pt idx="18">
                  <c:v>16.061362683012799</c:v>
                </c:pt>
                <c:pt idx="19">
                  <c:v>19.837069360114757</c:v>
                </c:pt>
                <c:pt idx="20">
                  <c:v>23.612776037216722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CF-457A-A972-21EE0116E152}"/>
            </c:ext>
          </c:extLst>
        </c:ser>
        <c:ser>
          <c:idx val="1"/>
          <c:order val="1"/>
          <c:tx>
            <c:strRef>
              <c:f>'SA2'!$E$68</c:f>
              <c:strCache>
                <c:ptCount val="1"/>
                <c:pt idx="0">
                  <c:v>O&amp;M Cost (± 8%)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'SA2'!$C$69:$C$89</c:f>
              <c:numCache>
                <c:formatCode>0%</c:formatCode>
                <c:ptCount val="21"/>
                <c:pt idx="0">
                  <c:v>-0.5</c:v>
                </c:pt>
                <c:pt idx="1">
                  <c:v>-0.4</c:v>
                </c:pt>
                <c:pt idx="2">
                  <c:v>-0.3</c:v>
                </c:pt>
                <c:pt idx="3">
                  <c:v>-0.2</c:v>
                </c:pt>
                <c:pt idx="4">
                  <c:v>-0.15</c:v>
                </c:pt>
                <c:pt idx="5">
                  <c:v>-0.1</c:v>
                </c:pt>
                <c:pt idx="6">
                  <c:v>-0.08</c:v>
                </c:pt>
                <c:pt idx="7">
                  <c:v>-0.05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0.05</c:v>
                </c:pt>
                <c:pt idx="14">
                  <c:v>0.08</c:v>
                </c:pt>
                <c:pt idx="15">
                  <c:v>0.1</c:v>
                </c:pt>
                <c:pt idx="16">
                  <c:v>0.15</c:v>
                </c:pt>
                <c:pt idx="17">
                  <c:v>0.2</c:v>
                </c:pt>
                <c:pt idx="18">
                  <c:v>0.3</c:v>
                </c:pt>
                <c:pt idx="19">
                  <c:v>0.4</c:v>
                </c:pt>
                <c:pt idx="20">
                  <c:v>0.5</c:v>
                </c:pt>
              </c:numCache>
            </c:numRef>
          </c:xVal>
          <c:yVal>
            <c:numRef>
              <c:f>'SA2'!$E$69:$E$89</c:f>
              <c:numCache>
                <c:formatCode>"$"#,##0.00</c:formatCode>
                <c:ptCount val="21"/>
                <c:pt idx="0">
                  <c:v>10.415282790864962</c:v>
                </c:pt>
                <c:pt idx="1">
                  <c:v>9.2790747630333552</c:v>
                </c:pt>
                <c:pt idx="2">
                  <c:v>8.1428667352017445</c:v>
                </c:pt>
                <c:pt idx="3">
                  <c:v>7.0066587073701365</c:v>
                </c:pt>
                <c:pt idx="4">
                  <c:v>6.438554693454333</c:v>
                </c:pt>
                <c:pt idx="5">
                  <c:v>5.8704506795385258</c:v>
                </c:pt>
                <c:pt idx="6">
                  <c:v>5.6432090739722058</c:v>
                </c:pt>
                <c:pt idx="7">
                  <c:v>5.3023466656227232</c:v>
                </c:pt>
                <c:pt idx="8">
                  <c:v>4.9614842572732396</c:v>
                </c:pt>
                <c:pt idx="9">
                  <c:v>4.8478634544900832</c:v>
                </c:pt>
                <c:pt idx="10">
                  <c:v>4.734242651706916</c:v>
                </c:pt>
                <c:pt idx="11">
                  <c:v>4.6206218489237596</c:v>
                </c:pt>
                <c:pt idx="12">
                  <c:v>4.5070010461405996</c:v>
                </c:pt>
                <c:pt idx="13">
                  <c:v>4.1661386377911125</c:v>
                </c:pt>
                <c:pt idx="14">
                  <c:v>3.8252762294416329</c:v>
                </c:pt>
                <c:pt idx="15">
                  <c:v>3.5980346238753165</c:v>
                </c:pt>
                <c:pt idx="16">
                  <c:v>3.0299306099595102</c:v>
                </c:pt>
                <c:pt idx="17">
                  <c:v>2.4618265960437067</c:v>
                </c:pt>
                <c:pt idx="18">
                  <c:v>1.325618568212096</c:v>
                </c:pt>
                <c:pt idx="19">
                  <c:v>0.1894105403804921</c:v>
                </c:pt>
                <c:pt idx="20">
                  <c:v>-0.94679748745112213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BCF-457A-A972-21EE0116E152}"/>
            </c:ext>
          </c:extLst>
        </c:ser>
        <c:ser>
          <c:idx val="2"/>
          <c:order val="2"/>
          <c:tx>
            <c:strRef>
              <c:f>'SA2'!$F$68</c:f>
              <c:strCache>
                <c:ptCount val="1"/>
                <c:pt idx="0">
                  <c:v>Overhaul Cost (± 5%)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'SA2'!$C$69:$C$89</c:f>
              <c:numCache>
                <c:formatCode>0%</c:formatCode>
                <c:ptCount val="21"/>
                <c:pt idx="0">
                  <c:v>-0.5</c:v>
                </c:pt>
                <c:pt idx="1">
                  <c:v>-0.4</c:v>
                </c:pt>
                <c:pt idx="2">
                  <c:v>-0.3</c:v>
                </c:pt>
                <c:pt idx="3">
                  <c:v>-0.2</c:v>
                </c:pt>
                <c:pt idx="4">
                  <c:v>-0.15</c:v>
                </c:pt>
                <c:pt idx="5">
                  <c:v>-0.1</c:v>
                </c:pt>
                <c:pt idx="6">
                  <c:v>-0.08</c:v>
                </c:pt>
                <c:pt idx="7">
                  <c:v>-0.05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0.05</c:v>
                </c:pt>
                <c:pt idx="14">
                  <c:v>0.08</c:v>
                </c:pt>
                <c:pt idx="15">
                  <c:v>0.1</c:v>
                </c:pt>
                <c:pt idx="16">
                  <c:v>0.15</c:v>
                </c:pt>
                <c:pt idx="17">
                  <c:v>0.2</c:v>
                </c:pt>
                <c:pt idx="18">
                  <c:v>0.3</c:v>
                </c:pt>
                <c:pt idx="19">
                  <c:v>0.4</c:v>
                </c:pt>
                <c:pt idx="20">
                  <c:v>0.5</c:v>
                </c:pt>
              </c:numCache>
            </c:numRef>
          </c:xVal>
          <c:yVal>
            <c:numRef>
              <c:f>'SA2'!$F$69:$F$89</c:f>
              <c:numCache>
                <c:formatCode>"$"#,##0.00</c:formatCode>
                <c:ptCount val="21"/>
                <c:pt idx="0">
                  <c:v>5.4651245088590708</c:v>
                </c:pt>
                <c:pt idx="1">
                  <c:v>5.3189481374286416</c:v>
                </c:pt>
                <c:pt idx="2">
                  <c:v>5.1727717659982098</c:v>
                </c:pt>
                <c:pt idx="3">
                  <c:v>5.0265953945677797</c:v>
                </c:pt>
                <c:pt idx="4">
                  <c:v>4.9535072088525638</c:v>
                </c:pt>
                <c:pt idx="5">
                  <c:v>4.8804190231373461</c:v>
                </c:pt>
                <c:pt idx="6">
                  <c:v>4.8511837488512608</c:v>
                </c:pt>
                <c:pt idx="7">
                  <c:v>4.807330837422132</c:v>
                </c:pt>
                <c:pt idx="8">
                  <c:v>4.7634779259930013</c:v>
                </c:pt>
                <c:pt idx="9">
                  <c:v>4.7488602888499596</c:v>
                </c:pt>
                <c:pt idx="10">
                  <c:v>4.734242651706916</c:v>
                </c:pt>
                <c:pt idx="11">
                  <c:v>4.7196250145638743</c:v>
                </c:pt>
                <c:pt idx="12">
                  <c:v>4.7050073774208307</c:v>
                </c:pt>
                <c:pt idx="13">
                  <c:v>4.6611544659917001</c:v>
                </c:pt>
                <c:pt idx="14">
                  <c:v>4.6173015545625731</c:v>
                </c:pt>
                <c:pt idx="15">
                  <c:v>4.588066280276486</c:v>
                </c:pt>
                <c:pt idx="16">
                  <c:v>4.5149780945612701</c:v>
                </c:pt>
                <c:pt idx="17">
                  <c:v>4.4418899088460542</c:v>
                </c:pt>
                <c:pt idx="18">
                  <c:v>4.2957135374156241</c:v>
                </c:pt>
                <c:pt idx="19">
                  <c:v>4.1495371659851914</c:v>
                </c:pt>
                <c:pt idx="20">
                  <c:v>4.0033607945547613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BCF-457A-A972-21EE0116E152}"/>
            </c:ext>
          </c:extLst>
        </c:ser>
        <c:ser>
          <c:idx val="3"/>
          <c:order val="3"/>
          <c:tx>
            <c:strRef>
              <c:f>'SA2'!$G$68</c:f>
              <c:strCache>
                <c:ptCount val="1"/>
                <c:pt idx="0">
                  <c:v>MARR (± 30%)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'SA2'!$C$69:$C$89</c:f>
              <c:numCache>
                <c:formatCode>0%</c:formatCode>
                <c:ptCount val="21"/>
                <c:pt idx="0">
                  <c:v>-0.5</c:v>
                </c:pt>
                <c:pt idx="1">
                  <c:v>-0.4</c:v>
                </c:pt>
                <c:pt idx="2">
                  <c:v>-0.3</c:v>
                </c:pt>
                <c:pt idx="3">
                  <c:v>-0.2</c:v>
                </c:pt>
                <c:pt idx="4">
                  <c:v>-0.15</c:v>
                </c:pt>
                <c:pt idx="5">
                  <c:v>-0.1</c:v>
                </c:pt>
                <c:pt idx="6">
                  <c:v>-0.08</c:v>
                </c:pt>
                <c:pt idx="7">
                  <c:v>-0.05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0.05</c:v>
                </c:pt>
                <c:pt idx="14">
                  <c:v>0.08</c:v>
                </c:pt>
                <c:pt idx="15">
                  <c:v>0.1</c:v>
                </c:pt>
                <c:pt idx="16">
                  <c:v>0.15</c:v>
                </c:pt>
                <c:pt idx="17">
                  <c:v>0.2</c:v>
                </c:pt>
                <c:pt idx="18">
                  <c:v>0.3</c:v>
                </c:pt>
                <c:pt idx="19">
                  <c:v>0.4</c:v>
                </c:pt>
                <c:pt idx="20">
                  <c:v>0.5</c:v>
                </c:pt>
              </c:numCache>
            </c:numRef>
          </c:xVal>
          <c:yVal>
            <c:numRef>
              <c:f>'SA2'!$G$69:$G$89</c:f>
              <c:numCache>
                <c:formatCode>"$"#,##0.00</c:formatCode>
                <c:ptCount val="21"/>
                <c:pt idx="0">
                  <c:v>11.526062411459746</c:v>
                </c:pt>
                <c:pt idx="1">
                  <c:v>9.9231684551790629</c:v>
                </c:pt>
                <c:pt idx="2">
                  <c:v>8.4553190198443566</c:v>
                </c:pt>
                <c:pt idx="3">
                  <c:v>7.1089997641208118</c:v>
                </c:pt>
                <c:pt idx="4">
                  <c:v>6.4776076560699423</c:v>
                </c:pt>
                <c:pt idx="5">
                  <c:v>5.8722023432049539</c:v>
                </c:pt>
                <c:pt idx="6">
                  <c:v>5.6370238272997444</c:v>
                </c:pt>
                <c:pt idx="7">
                  <c:v>5.2914882850983114</c:v>
                </c:pt>
                <c:pt idx="8">
                  <c:v>4.9544000659225214</c:v>
                </c:pt>
                <c:pt idx="9">
                  <c:v>4.8438706724061191</c:v>
                </c:pt>
                <c:pt idx="10">
                  <c:v>4.734242651706916</c:v>
                </c:pt>
                <c:pt idx="11">
                  <c:v>4.6255069801138626</c:v>
                </c:pt>
                <c:pt idx="12">
                  <c:v>4.5176547364033315</c:v>
                </c:pt>
                <c:pt idx="13">
                  <c:v>4.1993108709445721</c:v>
                </c:pt>
                <c:pt idx="14">
                  <c:v>3.888606266338039</c:v>
                </c:pt>
                <c:pt idx="15">
                  <c:v>3.6856024687958326</c:v>
                </c:pt>
                <c:pt idx="16">
                  <c:v>3.1920871815612077</c:v>
                </c:pt>
                <c:pt idx="17">
                  <c:v>2.7177913213237526</c:v>
                </c:pt>
                <c:pt idx="18">
                  <c:v>1.8232258355287281</c:v>
                </c:pt>
                <c:pt idx="19">
                  <c:v>0.99512423491515256</c:v>
                </c:pt>
                <c:pt idx="20">
                  <c:v>0.22741397155729531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BCF-457A-A972-21EE0116E152}"/>
            </c:ext>
          </c:extLst>
        </c:ser>
        <c:ser>
          <c:idx val="4"/>
          <c:order val="4"/>
          <c:tx>
            <c:strRef>
              <c:f>'SA2'!$H$68</c:f>
              <c:strCache>
                <c:ptCount val="1"/>
                <c:pt idx="0">
                  <c:v>Salvage value (± 15%)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'SA2'!$C$69:$C$89</c:f>
              <c:numCache>
                <c:formatCode>0%</c:formatCode>
                <c:ptCount val="21"/>
                <c:pt idx="0">
                  <c:v>-0.5</c:v>
                </c:pt>
                <c:pt idx="1">
                  <c:v>-0.4</c:v>
                </c:pt>
                <c:pt idx="2">
                  <c:v>-0.3</c:v>
                </c:pt>
                <c:pt idx="3">
                  <c:v>-0.2</c:v>
                </c:pt>
                <c:pt idx="4">
                  <c:v>-0.15</c:v>
                </c:pt>
                <c:pt idx="5">
                  <c:v>-0.1</c:v>
                </c:pt>
                <c:pt idx="6">
                  <c:v>-0.08</c:v>
                </c:pt>
                <c:pt idx="7">
                  <c:v>-0.05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0.05</c:v>
                </c:pt>
                <c:pt idx="14">
                  <c:v>0.08</c:v>
                </c:pt>
                <c:pt idx="15">
                  <c:v>0.1</c:v>
                </c:pt>
                <c:pt idx="16">
                  <c:v>0.15</c:v>
                </c:pt>
                <c:pt idx="17">
                  <c:v>0.2</c:v>
                </c:pt>
                <c:pt idx="18">
                  <c:v>0.3</c:v>
                </c:pt>
                <c:pt idx="19">
                  <c:v>0.4</c:v>
                </c:pt>
                <c:pt idx="20">
                  <c:v>0.5</c:v>
                </c:pt>
              </c:numCache>
            </c:numRef>
          </c:xVal>
          <c:yVal>
            <c:numRef>
              <c:f>'SA2'!$H$69:$H$89</c:f>
              <c:numCache>
                <c:formatCode>"$"#,##0.00</c:formatCode>
                <c:ptCount val="21"/>
                <c:pt idx="0">
                  <c:v>4.6967116275740235</c:v>
                </c:pt>
                <c:pt idx="1">
                  <c:v>4.7042178324005999</c:v>
                </c:pt>
                <c:pt idx="2">
                  <c:v>4.7117240372271834</c:v>
                </c:pt>
                <c:pt idx="3">
                  <c:v>4.7192302420537597</c:v>
                </c:pt>
                <c:pt idx="4">
                  <c:v>4.7229833444670479</c:v>
                </c:pt>
                <c:pt idx="5">
                  <c:v>4.7267364468803397</c:v>
                </c:pt>
                <c:pt idx="6">
                  <c:v>4.7282376878456542</c:v>
                </c:pt>
                <c:pt idx="7">
                  <c:v>4.7304895492936314</c:v>
                </c:pt>
                <c:pt idx="8">
                  <c:v>4.7327414107416015</c:v>
                </c:pt>
                <c:pt idx="9">
                  <c:v>4.7334920312242605</c:v>
                </c:pt>
                <c:pt idx="10">
                  <c:v>4.734242651706916</c:v>
                </c:pt>
                <c:pt idx="11">
                  <c:v>4.7349932721895751</c:v>
                </c:pt>
                <c:pt idx="12">
                  <c:v>4.7357438926722306</c:v>
                </c:pt>
                <c:pt idx="13">
                  <c:v>4.7379957541202078</c:v>
                </c:pt>
                <c:pt idx="14">
                  <c:v>4.7402476155681814</c:v>
                </c:pt>
                <c:pt idx="15">
                  <c:v>4.741748856533496</c:v>
                </c:pt>
                <c:pt idx="16">
                  <c:v>4.7455019589467877</c:v>
                </c:pt>
                <c:pt idx="17">
                  <c:v>4.7492550613600759</c:v>
                </c:pt>
                <c:pt idx="18">
                  <c:v>4.7567612661866558</c:v>
                </c:pt>
                <c:pt idx="19">
                  <c:v>4.7642674710132322</c:v>
                </c:pt>
                <c:pt idx="20">
                  <c:v>4.7717736758398122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BCF-457A-A972-21EE0116E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66240"/>
        <c:axId val="146667776"/>
      </c:scatterChart>
      <c:valAx>
        <c:axId val="14666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67776"/>
        <c:crosses val="autoZero"/>
        <c:crossBetween val="midCat"/>
      </c:valAx>
      <c:valAx>
        <c:axId val="14666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66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'SA2'!$C$94</c:f>
              <c:strCache>
                <c:ptCount val="1"/>
                <c:pt idx="0">
                  <c:v>-50%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'SA2'!$D$93:$H$93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'SA2'!$D$94:$H$94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8148-4BEA-AE2D-BEC3C31FDD5B}"/>
            </c:ext>
          </c:extLst>
        </c:ser>
        <c:ser>
          <c:idx val="1"/>
          <c:order val="1"/>
          <c:tx>
            <c:strRef>
              <c:f>'SA2'!$C$95</c:f>
              <c:strCache>
                <c:ptCount val="1"/>
                <c:pt idx="0">
                  <c:v>-40%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'SA2'!$D$93:$H$93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'SA2'!$D$95:$H$95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8148-4BEA-AE2D-BEC3C31FDD5B}"/>
            </c:ext>
          </c:extLst>
        </c:ser>
        <c:ser>
          <c:idx val="2"/>
          <c:order val="2"/>
          <c:tx>
            <c:strRef>
              <c:f>'SA2'!$C$96</c:f>
              <c:strCache>
                <c:ptCount val="1"/>
                <c:pt idx="0">
                  <c:v>-30%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'SA2'!$D$93:$H$93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'SA2'!$D$96:$H$96</c:f>
              <c:numCache>
                <c:formatCode>General</c:formatCode>
                <c:ptCount val="5"/>
                <c:pt idx="3" formatCode="&quot;$&quot;#,##0.00">
                  <c:v>8.4553190198443566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48-4BEA-AE2D-BEC3C31FDD5B}"/>
            </c:ext>
          </c:extLst>
        </c:ser>
        <c:ser>
          <c:idx val="3"/>
          <c:order val="3"/>
          <c:tx>
            <c:strRef>
              <c:f>'SA2'!$C$97</c:f>
              <c:strCache>
                <c:ptCount val="1"/>
                <c:pt idx="0">
                  <c:v>-20%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'SA2'!$D$93:$H$93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'SA2'!$D$97:$H$97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8148-4BEA-AE2D-BEC3C31FDD5B}"/>
            </c:ext>
          </c:extLst>
        </c:ser>
        <c:ser>
          <c:idx val="4"/>
          <c:order val="4"/>
          <c:tx>
            <c:strRef>
              <c:f>'SA2'!$C$98</c:f>
              <c:strCache>
                <c:ptCount val="1"/>
                <c:pt idx="0">
                  <c:v>-15%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'SA2'!$D$93:$H$93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'SA2'!$D$98:$H$98</c:f>
              <c:numCache>
                <c:formatCode>General</c:formatCode>
                <c:ptCount val="5"/>
                <c:pt idx="4" formatCode="&quot;$&quot;#,##0.00">
                  <c:v>4.7229833444670479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48-4BEA-AE2D-BEC3C31FDD5B}"/>
            </c:ext>
          </c:extLst>
        </c:ser>
        <c:ser>
          <c:idx val="5"/>
          <c:order val="5"/>
          <c:tx>
            <c:strRef>
              <c:f>'SA2'!$C$99</c:f>
              <c:strCache>
                <c:ptCount val="1"/>
                <c:pt idx="0">
                  <c:v>-10%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'SA2'!$D$93:$H$93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'SA2'!$D$99:$H$99</c:f>
              <c:numCache>
                <c:formatCode>General</c:formatCode>
                <c:ptCount val="5"/>
                <c:pt idx="0" formatCode="&quot;$&quot;#,##0.00">
                  <c:v>0.95853597460495943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48-4BEA-AE2D-BEC3C31FDD5B}"/>
            </c:ext>
          </c:extLst>
        </c:ser>
        <c:ser>
          <c:idx val="6"/>
          <c:order val="6"/>
          <c:tx>
            <c:strRef>
              <c:f>'SA2'!$C$100</c:f>
              <c:strCache>
                <c:ptCount val="1"/>
                <c:pt idx="0">
                  <c:v>-8%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'SA2'!$D$93:$H$93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'SA2'!$D$100:$H$100</c:f>
              <c:numCache>
                <c:formatCode>"$"#,##0.00</c:formatCode>
                <c:ptCount val="5"/>
                <c:pt idx="1">
                  <c:v>5.6432090739722058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48-4BEA-AE2D-BEC3C31FDD5B}"/>
            </c:ext>
          </c:extLst>
        </c:ser>
        <c:ser>
          <c:idx val="7"/>
          <c:order val="7"/>
          <c:tx>
            <c:strRef>
              <c:f>'SA2'!$C$101</c:f>
              <c:strCache>
                <c:ptCount val="1"/>
                <c:pt idx="0">
                  <c:v>-5%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'SA2'!$D$93:$H$93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'SA2'!$D$101:$H$101</c:f>
              <c:numCache>
                <c:formatCode>General</c:formatCode>
                <c:ptCount val="5"/>
                <c:pt idx="2" formatCode="&quot;$&quot;#,##0.00">
                  <c:v>4.807330837422132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148-4BEA-AE2D-BEC3C31FDD5B}"/>
            </c:ext>
          </c:extLst>
        </c:ser>
        <c:ser>
          <c:idx val="8"/>
          <c:order val="8"/>
          <c:tx>
            <c:strRef>
              <c:f>'SA2'!$C$102</c:f>
              <c:strCache>
                <c:ptCount val="1"/>
                <c:pt idx="0">
                  <c:v>-2%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'SA2'!$D$93:$H$93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'SA2'!$D$102:$H$102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8-8148-4BEA-AE2D-BEC3C31FDD5B}"/>
            </c:ext>
          </c:extLst>
        </c:ser>
        <c:ser>
          <c:idx val="9"/>
          <c:order val="9"/>
          <c:tx>
            <c:strRef>
              <c:f>'SA2'!$C$103</c:f>
              <c:strCache>
                <c:ptCount val="1"/>
                <c:pt idx="0">
                  <c:v>-1%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'SA2'!$D$93:$H$93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'SA2'!$D$103:$H$103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9-8148-4BEA-AE2D-BEC3C31FDD5B}"/>
            </c:ext>
          </c:extLst>
        </c:ser>
        <c:ser>
          <c:idx val="10"/>
          <c:order val="10"/>
          <c:tx>
            <c:strRef>
              <c:f>'SA2'!$C$104</c:f>
              <c:strCache>
                <c:ptCount val="1"/>
                <c:pt idx="0">
                  <c:v>0%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'SA2'!$D$93:$H$93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'SA2'!$D$104:$H$104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A-8148-4BEA-AE2D-BEC3C31FDD5B}"/>
            </c:ext>
          </c:extLst>
        </c:ser>
        <c:ser>
          <c:idx val="11"/>
          <c:order val="11"/>
          <c:tx>
            <c:strRef>
              <c:f>'SA2'!$C$105</c:f>
              <c:strCache>
                <c:ptCount val="1"/>
                <c:pt idx="0">
                  <c:v>1%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'SA2'!$D$93:$H$93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'SA2'!$D$105:$H$105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B-8148-4BEA-AE2D-BEC3C31FDD5B}"/>
            </c:ext>
          </c:extLst>
        </c:ser>
        <c:ser>
          <c:idx val="12"/>
          <c:order val="12"/>
          <c:tx>
            <c:strRef>
              <c:f>'SA2'!$C$106</c:f>
              <c:strCache>
                <c:ptCount val="1"/>
                <c:pt idx="0">
                  <c:v>2%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'SA2'!$D$93:$H$93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'SA2'!$D$106:$H$106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C-8148-4BEA-AE2D-BEC3C31FDD5B}"/>
            </c:ext>
          </c:extLst>
        </c:ser>
        <c:ser>
          <c:idx val="13"/>
          <c:order val="13"/>
          <c:tx>
            <c:strRef>
              <c:f>'SA2'!$C$107</c:f>
              <c:strCache>
                <c:ptCount val="1"/>
                <c:pt idx="0">
                  <c:v>5%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'SA2'!$D$93:$H$93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'SA2'!$D$107:$H$107</c:f>
              <c:numCache>
                <c:formatCode>General</c:formatCode>
                <c:ptCount val="5"/>
                <c:pt idx="2" formatCode="&quot;$&quot;#,##0.00">
                  <c:v>4.6611544659917001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148-4BEA-AE2D-BEC3C31FDD5B}"/>
            </c:ext>
          </c:extLst>
        </c:ser>
        <c:ser>
          <c:idx val="14"/>
          <c:order val="14"/>
          <c:tx>
            <c:strRef>
              <c:f>'SA2'!$C$108</c:f>
              <c:strCache>
                <c:ptCount val="1"/>
                <c:pt idx="0">
                  <c:v>8%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'SA2'!$D$93:$H$93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'SA2'!$D$108:$H$108</c:f>
              <c:numCache>
                <c:formatCode>"$"#,##0.00</c:formatCode>
                <c:ptCount val="5"/>
                <c:pt idx="1">
                  <c:v>3.8252762294416329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148-4BEA-AE2D-BEC3C31FDD5B}"/>
            </c:ext>
          </c:extLst>
        </c:ser>
        <c:ser>
          <c:idx val="15"/>
          <c:order val="15"/>
          <c:tx>
            <c:strRef>
              <c:f>'SA2'!$C$109</c:f>
              <c:strCache>
                <c:ptCount val="1"/>
                <c:pt idx="0">
                  <c:v>10%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'SA2'!$D$93:$H$93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'SA2'!$D$109:$H$109</c:f>
              <c:numCache>
                <c:formatCode>General</c:formatCode>
                <c:ptCount val="5"/>
                <c:pt idx="0" formatCode="&quot;$&quot;#,##0.00">
                  <c:v>8.5099493288088848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148-4BEA-AE2D-BEC3C31FDD5B}"/>
            </c:ext>
          </c:extLst>
        </c:ser>
        <c:ser>
          <c:idx val="16"/>
          <c:order val="16"/>
          <c:tx>
            <c:strRef>
              <c:f>'SA2'!$C$110</c:f>
              <c:strCache>
                <c:ptCount val="1"/>
                <c:pt idx="0">
                  <c:v>15%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'SA2'!$D$93:$H$93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'SA2'!$D$110:$H$110</c:f>
              <c:numCache>
                <c:formatCode>General</c:formatCode>
                <c:ptCount val="5"/>
                <c:pt idx="4" formatCode="&quot;$&quot;#,##0.00">
                  <c:v>4.7455019589467877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148-4BEA-AE2D-BEC3C31FDD5B}"/>
            </c:ext>
          </c:extLst>
        </c:ser>
        <c:ser>
          <c:idx val="17"/>
          <c:order val="17"/>
          <c:tx>
            <c:strRef>
              <c:f>'SA2'!$C$111</c:f>
              <c:strCache>
                <c:ptCount val="1"/>
                <c:pt idx="0">
                  <c:v>20%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'SA2'!$D$93:$H$93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'SA2'!$D$111:$H$111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11-8148-4BEA-AE2D-BEC3C31FDD5B}"/>
            </c:ext>
          </c:extLst>
        </c:ser>
        <c:ser>
          <c:idx val="18"/>
          <c:order val="18"/>
          <c:tx>
            <c:strRef>
              <c:f>'SA2'!$C$112</c:f>
              <c:strCache>
                <c:ptCount val="1"/>
                <c:pt idx="0">
                  <c:v>30%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'SA2'!$D$93:$H$93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'SA2'!$D$112:$H$112</c:f>
              <c:numCache>
                <c:formatCode>General</c:formatCode>
                <c:ptCount val="5"/>
                <c:pt idx="3" formatCode="&quot;$&quot;#,##0.00">
                  <c:v>1.8232258355287281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148-4BEA-AE2D-BEC3C31FDD5B}"/>
            </c:ext>
          </c:extLst>
        </c:ser>
        <c:ser>
          <c:idx val="19"/>
          <c:order val="19"/>
          <c:tx>
            <c:strRef>
              <c:f>'SA2'!$C$113</c:f>
              <c:strCache>
                <c:ptCount val="1"/>
                <c:pt idx="0">
                  <c:v>40%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'SA2'!$D$93:$H$93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'SA2'!$D$113:$H$113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13-8148-4BEA-AE2D-BEC3C31FD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2"/>
        <c:overlap val="100"/>
        <c:axId val="146871424"/>
        <c:axId val="146872960"/>
      </c:barChart>
      <c:catAx>
        <c:axId val="146871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72960"/>
        <c:crossesAt val="4"/>
        <c:auto val="1"/>
        <c:lblAlgn val="ctr"/>
        <c:lblOffset val="1000"/>
        <c:tickLblSkip val="1"/>
        <c:noMultiLvlLbl val="0"/>
      </c:catAx>
      <c:valAx>
        <c:axId val="14687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71424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'SA3'!$D$68</c:f>
              <c:strCache>
                <c:ptCount val="1"/>
                <c:pt idx="0">
                  <c:v>Revenue (± 10%)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'SA3'!$C$69:$C$89</c:f>
              <c:numCache>
                <c:formatCode>0%</c:formatCode>
                <c:ptCount val="21"/>
                <c:pt idx="0">
                  <c:v>-0.5</c:v>
                </c:pt>
                <c:pt idx="1">
                  <c:v>-0.4</c:v>
                </c:pt>
                <c:pt idx="2">
                  <c:v>-0.3</c:v>
                </c:pt>
                <c:pt idx="3">
                  <c:v>-0.2</c:v>
                </c:pt>
                <c:pt idx="4">
                  <c:v>-0.15</c:v>
                </c:pt>
                <c:pt idx="5">
                  <c:v>-0.1</c:v>
                </c:pt>
                <c:pt idx="6">
                  <c:v>-0.08</c:v>
                </c:pt>
                <c:pt idx="7">
                  <c:v>-0.05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0.05</c:v>
                </c:pt>
                <c:pt idx="14">
                  <c:v>0.08</c:v>
                </c:pt>
                <c:pt idx="15">
                  <c:v>0.1</c:v>
                </c:pt>
                <c:pt idx="16">
                  <c:v>0.15</c:v>
                </c:pt>
                <c:pt idx="17">
                  <c:v>0.2</c:v>
                </c:pt>
                <c:pt idx="18">
                  <c:v>0.3</c:v>
                </c:pt>
                <c:pt idx="19">
                  <c:v>0.4</c:v>
                </c:pt>
                <c:pt idx="20">
                  <c:v>0.5</c:v>
                </c:pt>
              </c:numCache>
            </c:numRef>
          </c:xVal>
          <c:yVal>
            <c:numRef>
              <c:f>'SA3'!$D$69:$D$89</c:f>
              <c:numCache>
                <c:formatCode>"$"#,##0.00</c:formatCode>
                <c:ptCount val="21"/>
                <c:pt idx="0">
                  <c:v>-18.774119870559446</c:v>
                </c:pt>
                <c:pt idx="1">
                  <c:v>-13.976302699050084</c:v>
                </c:pt>
                <c:pt idx="2">
                  <c:v>-9.1784855275407278</c:v>
                </c:pt>
                <c:pt idx="3">
                  <c:v>-4.3806683560313635</c:v>
                </c:pt>
                <c:pt idx="4">
                  <c:v>-1.9817597702766876</c:v>
                </c:pt>
                <c:pt idx="5">
                  <c:v>0.4171488154780022</c:v>
                </c:pt>
                <c:pt idx="6">
                  <c:v>1.3767122497798678</c:v>
                </c:pt>
                <c:pt idx="7">
                  <c:v>2.8160574012326731</c:v>
                </c:pt>
                <c:pt idx="8">
                  <c:v>4.2554025526854709</c:v>
                </c:pt>
                <c:pt idx="9">
                  <c:v>4.7351842698364131</c:v>
                </c:pt>
                <c:pt idx="10">
                  <c:v>5.2149659869873481</c:v>
                </c:pt>
                <c:pt idx="11">
                  <c:v>5.6947477041382841</c:v>
                </c:pt>
                <c:pt idx="12">
                  <c:v>6.1745294212892263</c:v>
                </c:pt>
                <c:pt idx="13">
                  <c:v>7.6138745727420325</c:v>
                </c:pt>
                <c:pt idx="14">
                  <c:v>9.0532197241948378</c:v>
                </c:pt>
                <c:pt idx="15">
                  <c:v>10.012783158496715</c:v>
                </c:pt>
                <c:pt idx="16">
                  <c:v>12.411691744251383</c:v>
                </c:pt>
                <c:pt idx="17">
                  <c:v>14.810600330006059</c:v>
                </c:pt>
                <c:pt idx="18">
                  <c:v>19.608417501515429</c:v>
                </c:pt>
                <c:pt idx="19">
                  <c:v>24.406234673024787</c:v>
                </c:pt>
                <c:pt idx="20">
                  <c:v>29.204051844534149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83-438D-A589-591928E8FC29}"/>
            </c:ext>
          </c:extLst>
        </c:ser>
        <c:ser>
          <c:idx val="1"/>
          <c:order val="1"/>
          <c:tx>
            <c:strRef>
              <c:f>'SA3'!$E$68</c:f>
              <c:strCache>
                <c:ptCount val="1"/>
                <c:pt idx="0">
                  <c:v>O&amp;M Cost (± 8%)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'SA3'!$C$69:$C$89</c:f>
              <c:numCache>
                <c:formatCode>0%</c:formatCode>
                <c:ptCount val="21"/>
                <c:pt idx="0">
                  <c:v>-0.5</c:v>
                </c:pt>
                <c:pt idx="1">
                  <c:v>-0.4</c:v>
                </c:pt>
                <c:pt idx="2">
                  <c:v>-0.3</c:v>
                </c:pt>
                <c:pt idx="3">
                  <c:v>-0.2</c:v>
                </c:pt>
                <c:pt idx="4">
                  <c:v>-0.15</c:v>
                </c:pt>
                <c:pt idx="5">
                  <c:v>-0.1</c:v>
                </c:pt>
                <c:pt idx="6">
                  <c:v>-0.08</c:v>
                </c:pt>
                <c:pt idx="7">
                  <c:v>-0.05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0.05</c:v>
                </c:pt>
                <c:pt idx="14">
                  <c:v>0.08</c:v>
                </c:pt>
                <c:pt idx="15">
                  <c:v>0.1</c:v>
                </c:pt>
                <c:pt idx="16">
                  <c:v>0.15</c:v>
                </c:pt>
                <c:pt idx="17">
                  <c:v>0.2</c:v>
                </c:pt>
                <c:pt idx="18">
                  <c:v>0.3</c:v>
                </c:pt>
                <c:pt idx="19">
                  <c:v>0.4</c:v>
                </c:pt>
                <c:pt idx="20">
                  <c:v>0.5</c:v>
                </c:pt>
              </c:numCache>
            </c:numRef>
          </c:xVal>
          <c:yVal>
            <c:numRef>
              <c:f>'SA3'!$E$69:$E$89</c:f>
              <c:numCache>
                <c:formatCode>"$"#,##0.00</c:formatCode>
                <c:ptCount val="21"/>
                <c:pt idx="0">
                  <c:v>11.712010073406274</c:v>
                </c:pt>
                <c:pt idx="1">
                  <c:v>10.412601256122491</c:v>
                </c:pt>
                <c:pt idx="2">
                  <c:v>9.1131924388387073</c:v>
                </c:pt>
                <c:pt idx="3">
                  <c:v>7.8137836215549168</c:v>
                </c:pt>
                <c:pt idx="4">
                  <c:v>7.1640792129130206</c:v>
                </c:pt>
                <c:pt idx="5">
                  <c:v>6.5143748042711325</c:v>
                </c:pt>
                <c:pt idx="6">
                  <c:v>6.2544930408143786</c:v>
                </c:pt>
                <c:pt idx="7">
                  <c:v>5.8646703956292372</c:v>
                </c:pt>
                <c:pt idx="8">
                  <c:v>5.47484775044411</c:v>
                </c:pt>
                <c:pt idx="9">
                  <c:v>5.3449068687157286</c:v>
                </c:pt>
                <c:pt idx="10">
                  <c:v>5.2149659869873481</c:v>
                </c:pt>
                <c:pt idx="11">
                  <c:v>5.0850251052589677</c:v>
                </c:pt>
                <c:pt idx="12">
                  <c:v>4.9550842235305943</c:v>
                </c:pt>
                <c:pt idx="13">
                  <c:v>4.56526157834546</c:v>
                </c:pt>
                <c:pt idx="14">
                  <c:v>4.1754389331603186</c:v>
                </c:pt>
                <c:pt idx="15">
                  <c:v>3.915557169703558</c:v>
                </c:pt>
                <c:pt idx="16">
                  <c:v>3.265852761061677</c:v>
                </c:pt>
                <c:pt idx="17">
                  <c:v>2.6161483524197817</c:v>
                </c:pt>
                <c:pt idx="18">
                  <c:v>1.3167395351359947</c:v>
                </c:pt>
                <c:pt idx="19">
                  <c:v>1.7330717852215849E-2</c:v>
                </c:pt>
                <c:pt idx="20">
                  <c:v>-1.2820780994315712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83-438D-A589-591928E8FC29}"/>
            </c:ext>
          </c:extLst>
        </c:ser>
        <c:ser>
          <c:idx val="2"/>
          <c:order val="2"/>
          <c:tx>
            <c:strRef>
              <c:f>'SA3'!$F$68</c:f>
              <c:strCache>
                <c:ptCount val="1"/>
                <c:pt idx="0">
                  <c:v>Overhaul Cost (± 5%)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'SA3'!$C$69:$C$89</c:f>
              <c:numCache>
                <c:formatCode>0%</c:formatCode>
                <c:ptCount val="21"/>
                <c:pt idx="0">
                  <c:v>-0.5</c:v>
                </c:pt>
                <c:pt idx="1">
                  <c:v>-0.4</c:v>
                </c:pt>
                <c:pt idx="2">
                  <c:v>-0.3</c:v>
                </c:pt>
                <c:pt idx="3">
                  <c:v>-0.2</c:v>
                </c:pt>
                <c:pt idx="4">
                  <c:v>-0.15</c:v>
                </c:pt>
                <c:pt idx="5">
                  <c:v>-0.1</c:v>
                </c:pt>
                <c:pt idx="6">
                  <c:v>-0.08</c:v>
                </c:pt>
                <c:pt idx="7">
                  <c:v>-0.05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0.05</c:v>
                </c:pt>
                <c:pt idx="14">
                  <c:v>0.08</c:v>
                </c:pt>
                <c:pt idx="15">
                  <c:v>0.1</c:v>
                </c:pt>
                <c:pt idx="16">
                  <c:v>0.15</c:v>
                </c:pt>
                <c:pt idx="17">
                  <c:v>0.2</c:v>
                </c:pt>
                <c:pt idx="18">
                  <c:v>0.3</c:v>
                </c:pt>
                <c:pt idx="19">
                  <c:v>0.4</c:v>
                </c:pt>
                <c:pt idx="20">
                  <c:v>0.5</c:v>
                </c:pt>
              </c:numCache>
            </c:numRef>
          </c:xVal>
          <c:yVal>
            <c:numRef>
              <c:f>'SA3'!$F$69:$F$89</c:f>
              <c:numCache>
                <c:formatCode>"$"#,##0.00</c:formatCode>
                <c:ptCount val="21"/>
                <c:pt idx="0">
                  <c:v>5.7622606473896179</c:v>
                </c:pt>
                <c:pt idx="1">
                  <c:v>5.6528017153091641</c:v>
                </c:pt>
                <c:pt idx="2">
                  <c:v>5.5433427832287103</c:v>
                </c:pt>
                <c:pt idx="3">
                  <c:v>5.4338838511482566</c:v>
                </c:pt>
                <c:pt idx="4">
                  <c:v>5.3791543851080288</c:v>
                </c:pt>
                <c:pt idx="5">
                  <c:v>5.3244249190678019</c:v>
                </c:pt>
                <c:pt idx="6">
                  <c:v>5.3025331326517122</c:v>
                </c:pt>
                <c:pt idx="7">
                  <c:v>5.269695453027575</c:v>
                </c:pt>
                <c:pt idx="8">
                  <c:v>5.2368577734034396</c:v>
                </c:pt>
                <c:pt idx="9">
                  <c:v>5.2259118801953957</c:v>
                </c:pt>
                <c:pt idx="10">
                  <c:v>5.2149659869873481</c:v>
                </c:pt>
                <c:pt idx="11">
                  <c:v>5.2040200937793024</c:v>
                </c:pt>
                <c:pt idx="12">
                  <c:v>5.1930742005712585</c:v>
                </c:pt>
                <c:pt idx="13">
                  <c:v>5.160236520947123</c:v>
                </c:pt>
                <c:pt idx="14">
                  <c:v>5.1273988413229858</c:v>
                </c:pt>
                <c:pt idx="15">
                  <c:v>5.1055070549068962</c:v>
                </c:pt>
                <c:pt idx="16">
                  <c:v>5.0507775888666693</c:v>
                </c:pt>
                <c:pt idx="17">
                  <c:v>4.9960481228264424</c:v>
                </c:pt>
                <c:pt idx="18">
                  <c:v>4.8865891907459886</c:v>
                </c:pt>
                <c:pt idx="19">
                  <c:v>4.7771302586655349</c:v>
                </c:pt>
                <c:pt idx="20">
                  <c:v>4.6676713265850793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83-438D-A589-591928E8FC29}"/>
            </c:ext>
          </c:extLst>
        </c:ser>
        <c:ser>
          <c:idx val="3"/>
          <c:order val="3"/>
          <c:tx>
            <c:strRef>
              <c:f>'SA3'!$G$68</c:f>
              <c:strCache>
                <c:ptCount val="1"/>
                <c:pt idx="0">
                  <c:v>MARR (± 30%)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'SA3'!$C$69:$C$89</c:f>
              <c:numCache>
                <c:formatCode>0%</c:formatCode>
                <c:ptCount val="21"/>
                <c:pt idx="0">
                  <c:v>-0.5</c:v>
                </c:pt>
                <c:pt idx="1">
                  <c:v>-0.4</c:v>
                </c:pt>
                <c:pt idx="2">
                  <c:v>-0.3</c:v>
                </c:pt>
                <c:pt idx="3">
                  <c:v>-0.2</c:v>
                </c:pt>
                <c:pt idx="4">
                  <c:v>-0.15</c:v>
                </c:pt>
                <c:pt idx="5">
                  <c:v>-0.1</c:v>
                </c:pt>
                <c:pt idx="6">
                  <c:v>-0.08</c:v>
                </c:pt>
                <c:pt idx="7">
                  <c:v>-0.05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0.05</c:v>
                </c:pt>
                <c:pt idx="14">
                  <c:v>0.08</c:v>
                </c:pt>
                <c:pt idx="15">
                  <c:v>0.1</c:v>
                </c:pt>
                <c:pt idx="16">
                  <c:v>0.15</c:v>
                </c:pt>
                <c:pt idx="17">
                  <c:v>0.2</c:v>
                </c:pt>
                <c:pt idx="18">
                  <c:v>0.3</c:v>
                </c:pt>
                <c:pt idx="19">
                  <c:v>0.4</c:v>
                </c:pt>
                <c:pt idx="20">
                  <c:v>0.5</c:v>
                </c:pt>
              </c:numCache>
            </c:numRef>
          </c:xVal>
          <c:yVal>
            <c:numRef>
              <c:f>'SA3'!$G$69:$G$89</c:f>
              <c:numCache>
                <c:formatCode>"$"#,##0.00</c:formatCode>
                <c:ptCount val="21"/>
                <c:pt idx="0">
                  <c:v>14.60242201952371</c:v>
                </c:pt>
                <c:pt idx="1">
                  <c:v>12.366388087817406</c:v>
                </c:pt>
                <c:pt idx="2">
                  <c:v>10.32918566980878</c:v>
                </c:pt>
                <c:pt idx="3">
                  <c:v>8.4700928657221155</c:v>
                </c:pt>
                <c:pt idx="4">
                  <c:v>7.6015217892142681</c:v>
                </c:pt>
                <c:pt idx="5">
                  <c:v>6.7707702823138671</c:v>
                </c:pt>
                <c:pt idx="6">
                  <c:v>6.4486142882231245</c:v>
                </c:pt>
                <c:pt idx="7">
                  <c:v>5.9758697989388327</c:v>
                </c:pt>
                <c:pt idx="8">
                  <c:v>5.5153620579008331</c:v>
                </c:pt>
                <c:pt idx="9">
                  <c:v>5.3645123736234268</c:v>
                </c:pt>
                <c:pt idx="10">
                  <c:v>5.2149659869873481</c:v>
                </c:pt>
                <c:pt idx="11">
                  <c:v>5.0667092527219983</c:v>
                </c:pt>
                <c:pt idx="12">
                  <c:v>4.919728685936855</c:v>
                </c:pt>
                <c:pt idx="13">
                  <c:v>4.4863115043031119</c:v>
                </c:pt>
                <c:pt idx="14">
                  <c:v>4.0639093443983896</c:v>
                </c:pt>
                <c:pt idx="15">
                  <c:v>3.788259317886074</c:v>
                </c:pt>
                <c:pt idx="16">
                  <c:v>3.1192564519024417</c:v>
                </c:pt>
                <c:pt idx="17">
                  <c:v>2.4778381526314099</c:v>
                </c:pt>
                <c:pt idx="18">
                  <c:v>1.2723050245145249</c:v>
                </c:pt>
                <c:pt idx="19">
                  <c:v>0.16150814157166088</c:v>
                </c:pt>
                <c:pt idx="20">
                  <c:v>-0.86360607004229095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83-438D-A589-591928E8FC29}"/>
            </c:ext>
          </c:extLst>
        </c:ser>
        <c:ser>
          <c:idx val="4"/>
          <c:order val="4"/>
          <c:tx>
            <c:strRef>
              <c:f>'SA3'!$H$68</c:f>
              <c:strCache>
                <c:ptCount val="1"/>
                <c:pt idx="0">
                  <c:v>Salvage value (± 15%)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'SA3'!$C$69:$C$89</c:f>
              <c:numCache>
                <c:formatCode>0%</c:formatCode>
                <c:ptCount val="21"/>
                <c:pt idx="0">
                  <c:v>-0.5</c:v>
                </c:pt>
                <c:pt idx="1">
                  <c:v>-0.4</c:v>
                </c:pt>
                <c:pt idx="2">
                  <c:v>-0.3</c:v>
                </c:pt>
                <c:pt idx="3">
                  <c:v>-0.2</c:v>
                </c:pt>
                <c:pt idx="4">
                  <c:v>-0.15</c:v>
                </c:pt>
                <c:pt idx="5">
                  <c:v>-0.1</c:v>
                </c:pt>
                <c:pt idx="6">
                  <c:v>-0.08</c:v>
                </c:pt>
                <c:pt idx="7">
                  <c:v>-0.05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0.05</c:v>
                </c:pt>
                <c:pt idx="14">
                  <c:v>0.08</c:v>
                </c:pt>
                <c:pt idx="15">
                  <c:v>0.1</c:v>
                </c:pt>
                <c:pt idx="16">
                  <c:v>0.15</c:v>
                </c:pt>
                <c:pt idx="17">
                  <c:v>0.2</c:v>
                </c:pt>
                <c:pt idx="18">
                  <c:v>0.3</c:v>
                </c:pt>
                <c:pt idx="19">
                  <c:v>0.4</c:v>
                </c:pt>
                <c:pt idx="20">
                  <c:v>0.5</c:v>
                </c:pt>
              </c:numCache>
            </c:numRef>
          </c:xVal>
          <c:yVal>
            <c:numRef>
              <c:f>'SA3'!$H$69:$H$89</c:f>
              <c:numCache>
                <c:formatCode>"$"#,##0.00</c:formatCode>
                <c:ptCount val="21"/>
                <c:pt idx="0">
                  <c:v>5.1717161735959003</c:v>
                </c:pt>
                <c:pt idx="1">
                  <c:v>5.1803661362741842</c:v>
                </c:pt>
                <c:pt idx="2">
                  <c:v>5.1890160989524823</c:v>
                </c:pt>
                <c:pt idx="3">
                  <c:v>5.1976660616307662</c:v>
                </c:pt>
                <c:pt idx="4">
                  <c:v>5.2019910429699117</c:v>
                </c:pt>
                <c:pt idx="5">
                  <c:v>5.2063160243090572</c:v>
                </c:pt>
                <c:pt idx="6">
                  <c:v>5.2080460168447154</c:v>
                </c:pt>
                <c:pt idx="7">
                  <c:v>5.2106410056482027</c:v>
                </c:pt>
                <c:pt idx="8">
                  <c:v>5.2132359944516899</c:v>
                </c:pt>
                <c:pt idx="9">
                  <c:v>5.214100990719519</c:v>
                </c:pt>
                <c:pt idx="10">
                  <c:v>5.2149659869873481</c:v>
                </c:pt>
                <c:pt idx="11">
                  <c:v>5.2158309832551701</c:v>
                </c:pt>
                <c:pt idx="12">
                  <c:v>5.2166959795230063</c:v>
                </c:pt>
                <c:pt idx="13">
                  <c:v>5.2192909683264936</c:v>
                </c:pt>
                <c:pt idx="14">
                  <c:v>5.2218859571299809</c:v>
                </c:pt>
                <c:pt idx="15">
                  <c:v>5.2236159496656391</c:v>
                </c:pt>
                <c:pt idx="16">
                  <c:v>5.2279409310047846</c:v>
                </c:pt>
                <c:pt idx="17">
                  <c:v>5.2322659123439301</c:v>
                </c:pt>
                <c:pt idx="18">
                  <c:v>5.240915875022214</c:v>
                </c:pt>
                <c:pt idx="19">
                  <c:v>5.249565837700505</c:v>
                </c:pt>
                <c:pt idx="20">
                  <c:v>5.2582158003788031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683-438D-A589-591928E8F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46784"/>
        <c:axId val="147048320"/>
      </c:scatterChart>
      <c:valAx>
        <c:axId val="14704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48320"/>
        <c:crosses val="autoZero"/>
        <c:crossBetween val="midCat"/>
      </c:valAx>
      <c:valAx>
        <c:axId val="14704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46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'SA3'!$C$94</c:f>
              <c:strCache>
                <c:ptCount val="1"/>
                <c:pt idx="0">
                  <c:v>-50%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'SA3'!$D$93:$H$93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'SA3'!$D$94:$H$94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9AFC-43A3-8121-7AE83D954933}"/>
            </c:ext>
          </c:extLst>
        </c:ser>
        <c:ser>
          <c:idx val="1"/>
          <c:order val="1"/>
          <c:tx>
            <c:strRef>
              <c:f>'SA3'!$C$95</c:f>
              <c:strCache>
                <c:ptCount val="1"/>
                <c:pt idx="0">
                  <c:v>-40%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'SA3'!$D$93:$H$93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'SA3'!$D$95:$H$95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9AFC-43A3-8121-7AE83D954933}"/>
            </c:ext>
          </c:extLst>
        </c:ser>
        <c:ser>
          <c:idx val="2"/>
          <c:order val="2"/>
          <c:tx>
            <c:strRef>
              <c:f>'SA3'!$C$96</c:f>
              <c:strCache>
                <c:ptCount val="1"/>
                <c:pt idx="0">
                  <c:v>-30%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'SA3'!$D$93:$H$93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'SA3'!$D$96:$H$96</c:f>
              <c:numCache>
                <c:formatCode>General</c:formatCode>
                <c:ptCount val="5"/>
                <c:pt idx="3" formatCode="&quot;$&quot;#,##0.00">
                  <c:v>10.32918566980878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FC-43A3-8121-7AE83D954933}"/>
            </c:ext>
          </c:extLst>
        </c:ser>
        <c:ser>
          <c:idx val="3"/>
          <c:order val="3"/>
          <c:tx>
            <c:strRef>
              <c:f>'SA3'!$C$97</c:f>
              <c:strCache>
                <c:ptCount val="1"/>
                <c:pt idx="0">
                  <c:v>-20%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'SA3'!$D$93:$H$93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'SA3'!$D$97:$H$97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9AFC-43A3-8121-7AE83D954933}"/>
            </c:ext>
          </c:extLst>
        </c:ser>
        <c:ser>
          <c:idx val="4"/>
          <c:order val="4"/>
          <c:tx>
            <c:strRef>
              <c:f>'SA3'!$C$98</c:f>
              <c:strCache>
                <c:ptCount val="1"/>
                <c:pt idx="0">
                  <c:v>-15%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'SA3'!$D$93:$H$93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'SA3'!$D$98:$H$98</c:f>
              <c:numCache>
                <c:formatCode>General</c:formatCode>
                <c:ptCount val="5"/>
                <c:pt idx="4" formatCode="&quot;$&quot;#,##0.00">
                  <c:v>5.2019910429699117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FC-43A3-8121-7AE83D954933}"/>
            </c:ext>
          </c:extLst>
        </c:ser>
        <c:ser>
          <c:idx val="5"/>
          <c:order val="5"/>
          <c:tx>
            <c:strRef>
              <c:f>'SA3'!$C$99</c:f>
              <c:strCache>
                <c:ptCount val="1"/>
                <c:pt idx="0">
                  <c:v>-10%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'SA3'!$D$93:$H$93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'SA3'!$D$99:$H$99</c:f>
              <c:numCache>
                <c:formatCode>General</c:formatCode>
                <c:ptCount val="5"/>
                <c:pt idx="0" formatCode="&quot;$&quot;#,##0.00">
                  <c:v>0.4171488154780022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FC-43A3-8121-7AE83D954933}"/>
            </c:ext>
          </c:extLst>
        </c:ser>
        <c:ser>
          <c:idx val="6"/>
          <c:order val="6"/>
          <c:tx>
            <c:strRef>
              <c:f>'SA3'!$C$100</c:f>
              <c:strCache>
                <c:ptCount val="1"/>
                <c:pt idx="0">
                  <c:v>-8%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'SA3'!$D$93:$H$93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'SA3'!$D$100:$H$100</c:f>
              <c:numCache>
                <c:formatCode>"$"#,##0.00</c:formatCode>
                <c:ptCount val="5"/>
                <c:pt idx="1">
                  <c:v>6.2544930408143786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FC-43A3-8121-7AE83D954933}"/>
            </c:ext>
          </c:extLst>
        </c:ser>
        <c:ser>
          <c:idx val="7"/>
          <c:order val="7"/>
          <c:tx>
            <c:strRef>
              <c:f>'SA3'!$C$101</c:f>
              <c:strCache>
                <c:ptCount val="1"/>
                <c:pt idx="0">
                  <c:v>-5%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'SA3'!$D$93:$H$93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'SA3'!$D$101:$H$101</c:f>
              <c:numCache>
                <c:formatCode>General</c:formatCode>
                <c:ptCount val="5"/>
                <c:pt idx="2" formatCode="&quot;$&quot;#,##0.00">
                  <c:v>5.269695453027575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AFC-43A3-8121-7AE83D954933}"/>
            </c:ext>
          </c:extLst>
        </c:ser>
        <c:ser>
          <c:idx val="8"/>
          <c:order val="8"/>
          <c:tx>
            <c:strRef>
              <c:f>'SA3'!$C$102</c:f>
              <c:strCache>
                <c:ptCount val="1"/>
                <c:pt idx="0">
                  <c:v>-2%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'SA3'!$D$93:$H$93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'SA3'!$D$102:$H$102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8-9AFC-43A3-8121-7AE83D954933}"/>
            </c:ext>
          </c:extLst>
        </c:ser>
        <c:ser>
          <c:idx val="9"/>
          <c:order val="9"/>
          <c:tx>
            <c:strRef>
              <c:f>'SA3'!$C$103</c:f>
              <c:strCache>
                <c:ptCount val="1"/>
                <c:pt idx="0">
                  <c:v>-1%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'SA3'!$D$93:$H$93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'SA3'!$D$103:$H$103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9-9AFC-43A3-8121-7AE83D954933}"/>
            </c:ext>
          </c:extLst>
        </c:ser>
        <c:ser>
          <c:idx val="10"/>
          <c:order val="10"/>
          <c:tx>
            <c:strRef>
              <c:f>'SA3'!$C$104</c:f>
              <c:strCache>
                <c:ptCount val="1"/>
                <c:pt idx="0">
                  <c:v>0%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'SA3'!$D$93:$H$93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'SA3'!$D$104:$H$104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A-9AFC-43A3-8121-7AE83D954933}"/>
            </c:ext>
          </c:extLst>
        </c:ser>
        <c:ser>
          <c:idx val="11"/>
          <c:order val="11"/>
          <c:tx>
            <c:strRef>
              <c:f>'SA3'!$C$105</c:f>
              <c:strCache>
                <c:ptCount val="1"/>
                <c:pt idx="0">
                  <c:v>1%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'SA3'!$D$93:$H$93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'SA3'!$D$105:$H$105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B-9AFC-43A3-8121-7AE83D954933}"/>
            </c:ext>
          </c:extLst>
        </c:ser>
        <c:ser>
          <c:idx val="12"/>
          <c:order val="12"/>
          <c:tx>
            <c:strRef>
              <c:f>'SA3'!$C$106</c:f>
              <c:strCache>
                <c:ptCount val="1"/>
                <c:pt idx="0">
                  <c:v>2%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'SA3'!$D$93:$H$93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'SA3'!$D$106:$H$106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C-9AFC-43A3-8121-7AE83D954933}"/>
            </c:ext>
          </c:extLst>
        </c:ser>
        <c:ser>
          <c:idx val="13"/>
          <c:order val="13"/>
          <c:tx>
            <c:strRef>
              <c:f>'SA3'!$C$107</c:f>
              <c:strCache>
                <c:ptCount val="1"/>
                <c:pt idx="0">
                  <c:v>5%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'SA3'!$D$93:$H$93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'SA3'!$D$107:$H$107</c:f>
              <c:numCache>
                <c:formatCode>General</c:formatCode>
                <c:ptCount val="5"/>
                <c:pt idx="2" formatCode="&quot;$&quot;#,##0.00">
                  <c:v>5.160236520947123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AFC-43A3-8121-7AE83D954933}"/>
            </c:ext>
          </c:extLst>
        </c:ser>
        <c:ser>
          <c:idx val="14"/>
          <c:order val="14"/>
          <c:tx>
            <c:strRef>
              <c:f>'SA3'!$C$108</c:f>
              <c:strCache>
                <c:ptCount val="1"/>
                <c:pt idx="0">
                  <c:v>8%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'SA3'!$D$93:$H$93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'SA3'!$D$108:$H$108</c:f>
              <c:numCache>
                <c:formatCode>"$"#,##0.00</c:formatCode>
                <c:ptCount val="5"/>
                <c:pt idx="1">
                  <c:v>4.1754389331603186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AFC-43A3-8121-7AE83D954933}"/>
            </c:ext>
          </c:extLst>
        </c:ser>
        <c:ser>
          <c:idx val="15"/>
          <c:order val="15"/>
          <c:tx>
            <c:strRef>
              <c:f>'SA3'!$C$109</c:f>
              <c:strCache>
                <c:ptCount val="1"/>
                <c:pt idx="0">
                  <c:v>10%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'SA3'!$D$93:$H$93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'SA3'!$D$109:$H$109</c:f>
              <c:numCache>
                <c:formatCode>General</c:formatCode>
                <c:ptCount val="5"/>
                <c:pt idx="0" formatCode="&quot;$&quot;#,##0.00">
                  <c:v>10.012783158496715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AFC-43A3-8121-7AE83D954933}"/>
            </c:ext>
          </c:extLst>
        </c:ser>
        <c:ser>
          <c:idx val="16"/>
          <c:order val="16"/>
          <c:tx>
            <c:strRef>
              <c:f>'SA3'!$C$110</c:f>
              <c:strCache>
                <c:ptCount val="1"/>
                <c:pt idx="0">
                  <c:v>15%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'SA3'!$D$93:$H$93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'SA3'!$D$110:$H$110</c:f>
              <c:numCache>
                <c:formatCode>General</c:formatCode>
                <c:ptCount val="5"/>
                <c:pt idx="4" formatCode="&quot;$&quot;#,##0.00">
                  <c:v>5.2279409310047846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AFC-43A3-8121-7AE83D954933}"/>
            </c:ext>
          </c:extLst>
        </c:ser>
        <c:ser>
          <c:idx val="17"/>
          <c:order val="17"/>
          <c:tx>
            <c:strRef>
              <c:f>'SA3'!$C$111</c:f>
              <c:strCache>
                <c:ptCount val="1"/>
                <c:pt idx="0">
                  <c:v>20%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'SA3'!$D$93:$H$93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'SA3'!$D$111:$H$111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11-9AFC-43A3-8121-7AE83D954933}"/>
            </c:ext>
          </c:extLst>
        </c:ser>
        <c:ser>
          <c:idx val="18"/>
          <c:order val="18"/>
          <c:tx>
            <c:strRef>
              <c:f>'SA3'!$C$112</c:f>
              <c:strCache>
                <c:ptCount val="1"/>
                <c:pt idx="0">
                  <c:v>30%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'SA3'!$D$93:$H$93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'SA3'!$D$112:$H$112</c:f>
              <c:numCache>
                <c:formatCode>General</c:formatCode>
                <c:ptCount val="5"/>
                <c:pt idx="3" formatCode="&quot;$&quot;#,##0.00">
                  <c:v>1.2723050245145249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AFC-43A3-8121-7AE83D954933}"/>
            </c:ext>
          </c:extLst>
        </c:ser>
        <c:ser>
          <c:idx val="19"/>
          <c:order val="19"/>
          <c:tx>
            <c:strRef>
              <c:f>'SA3'!$C$113</c:f>
              <c:strCache>
                <c:ptCount val="1"/>
                <c:pt idx="0">
                  <c:v>40%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'SA3'!$D$93:$H$93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'SA3'!$D$113:$H$113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13-9AFC-43A3-8121-7AE83D954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2"/>
        <c:overlap val="100"/>
        <c:axId val="147272448"/>
        <c:axId val="147273984"/>
      </c:barChart>
      <c:catAx>
        <c:axId val="147272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73984"/>
        <c:crossesAt val="4"/>
        <c:auto val="1"/>
        <c:lblAlgn val="ctr"/>
        <c:lblOffset val="100"/>
        <c:noMultiLvlLbl val="0"/>
      </c:catAx>
      <c:valAx>
        <c:axId val="14727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7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'SA4'!$D$68</c:f>
              <c:strCache>
                <c:ptCount val="1"/>
                <c:pt idx="0">
                  <c:v>Revenue (± 10%)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'SA4'!$C$69:$C$89</c:f>
              <c:numCache>
                <c:formatCode>0%</c:formatCode>
                <c:ptCount val="21"/>
                <c:pt idx="0">
                  <c:v>-0.5</c:v>
                </c:pt>
                <c:pt idx="1">
                  <c:v>-0.4</c:v>
                </c:pt>
                <c:pt idx="2">
                  <c:v>-0.3</c:v>
                </c:pt>
                <c:pt idx="3">
                  <c:v>-0.2</c:v>
                </c:pt>
                <c:pt idx="4">
                  <c:v>-0.15</c:v>
                </c:pt>
                <c:pt idx="5">
                  <c:v>-0.1</c:v>
                </c:pt>
                <c:pt idx="6">
                  <c:v>-0.08</c:v>
                </c:pt>
                <c:pt idx="7">
                  <c:v>-0.05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0.05</c:v>
                </c:pt>
                <c:pt idx="14">
                  <c:v>0.08</c:v>
                </c:pt>
                <c:pt idx="15">
                  <c:v>0.1</c:v>
                </c:pt>
                <c:pt idx="16">
                  <c:v>0.15</c:v>
                </c:pt>
                <c:pt idx="17">
                  <c:v>0.2</c:v>
                </c:pt>
                <c:pt idx="18">
                  <c:v>0.3</c:v>
                </c:pt>
                <c:pt idx="19">
                  <c:v>0.4</c:v>
                </c:pt>
                <c:pt idx="20">
                  <c:v>0.5</c:v>
                </c:pt>
              </c:numCache>
            </c:numRef>
          </c:xVal>
          <c:yVal>
            <c:numRef>
              <c:f>'SA4'!$D$69:$D$89</c:f>
              <c:numCache>
                <c:formatCode>"$"#,##0.00</c:formatCode>
                <c:ptCount val="21"/>
                <c:pt idx="0">
                  <c:v>-12.940922953922287</c:v>
                </c:pt>
                <c:pt idx="1">
                  <c:v>-9.6046347996958481</c:v>
                </c:pt>
                <c:pt idx="2">
                  <c:v>-6.2683466454694088</c:v>
                </c:pt>
                <c:pt idx="3">
                  <c:v>-2.9320584912429637</c:v>
                </c:pt>
                <c:pt idx="4">
                  <c:v>-1.263914414129748</c:v>
                </c:pt>
                <c:pt idx="5">
                  <c:v>0.40422966298347085</c:v>
                </c:pt>
                <c:pt idx="6">
                  <c:v>1.0714872938287625</c:v>
                </c:pt>
                <c:pt idx="7">
                  <c:v>2.0723737400966935</c:v>
                </c:pt>
                <c:pt idx="8">
                  <c:v>3.0732601863646258</c:v>
                </c:pt>
                <c:pt idx="9">
                  <c:v>3.4068890017872682</c:v>
                </c:pt>
                <c:pt idx="10">
                  <c:v>3.7405178172099141</c:v>
                </c:pt>
                <c:pt idx="11">
                  <c:v>4.0741466326325559</c:v>
                </c:pt>
                <c:pt idx="12">
                  <c:v>4.4077754480552018</c:v>
                </c:pt>
                <c:pt idx="13">
                  <c:v>5.4086618943231324</c:v>
                </c:pt>
                <c:pt idx="14">
                  <c:v>6.4095483405910665</c:v>
                </c:pt>
                <c:pt idx="15">
                  <c:v>7.0768059714363547</c:v>
                </c:pt>
                <c:pt idx="16">
                  <c:v>8.7449500485495708</c:v>
                </c:pt>
                <c:pt idx="17">
                  <c:v>10.413094125662797</c:v>
                </c:pt>
                <c:pt idx="18">
                  <c:v>13.749382279889234</c:v>
                </c:pt>
                <c:pt idx="19">
                  <c:v>17.085670434115677</c:v>
                </c:pt>
                <c:pt idx="20">
                  <c:v>20.421958588342122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7A-4ABF-BC72-EC68CA34118D}"/>
            </c:ext>
          </c:extLst>
        </c:ser>
        <c:ser>
          <c:idx val="1"/>
          <c:order val="1"/>
          <c:tx>
            <c:strRef>
              <c:f>'SA4'!$E$68</c:f>
              <c:strCache>
                <c:ptCount val="1"/>
                <c:pt idx="0">
                  <c:v>O&amp;M Cost (± 8%)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'SA4'!$C$69:$C$89</c:f>
              <c:numCache>
                <c:formatCode>0%</c:formatCode>
                <c:ptCount val="21"/>
                <c:pt idx="0">
                  <c:v>-0.5</c:v>
                </c:pt>
                <c:pt idx="1">
                  <c:v>-0.4</c:v>
                </c:pt>
                <c:pt idx="2">
                  <c:v>-0.3</c:v>
                </c:pt>
                <c:pt idx="3">
                  <c:v>-0.2</c:v>
                </c:pt>
                <c:pt idx="4">
                  <c:v>-0.15</c:v>
                </c:pt>
                <c:pt idx="5">
                  <c:v>-0.1</c:v>
                </c:pt>
                <c:pt idx="6">
                  <c:v>-0.08</c:v>
                </c:pt>
                <c:pt idx="7">
                  <c:v>-0.05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0.05</c:v>
                </c:pt>
                <c:pt idx="14">
                  <c:v>0.08</c:v>
                </c:pt>
                <c:pt idx="15">
                  <c:v>0.1</c:v>
                </c:pt>
                <c:pt idx="16">
                  <c:v>0.15</c:v>
                </c:pt>
                <c:pt idx="17">
                  <c:v>0.2</c:v>
                </c:pt>
                <c:pt idx="18">
                  <c:v>0.3</c:v>
                </c:pt>
                <c:pt idx="19">
                  <c:v>0.4</c:v>
                </c:pt>
                <c:pt idx="20">
                  <c:v>0.5</c:v>
                </c:pt>
              </c:numCache>
            </c:numRef>
          </c:xVal>
          <c:yVal>
            <c:numRef>
              <c:f>'SA4'!$E$69:$E$89</c:f>
              <c:numCache>
                <c:formatCode>"$"#,##0.00</c:formatCode>
                <c:ptCount val="21"/>
                <c:pt idx="0">
                  <c:v>6.5207579457319449</c:v>
                </c:pt>
                <c:pt idx="1">
                  <c:v>5.9647099200275351</c:v>
                </c:pt>
                <c:pt idx="2">
                  <c:v>5.4086618943231324</c:v>
                </c:pt>
                <c:pt idx="3">
                  <c:v>4.8526138686187226</c:v>
                </c:pt>
                <c:pt idx="4">
                  <c:v>4.5745898557665194</c:v>
                </c:pt>
                <c:pt idx="5">
                  <c:v>4.2965658429143199</c:v>
                </c:pt>
                <c:pt idx="6">
                  <c:v>4.1853562377734379</c:v>
                </c:pt>
                <c:pt idx="7">
                  <c:v>4.0185418300621167</c:v>
                </c:pt>
                <c:pt idx="8">
                  <c:v>3.8517274223507889</c:v>
                </c:pt>
                <c:pt idx="9">
                  <c:v>3.7961226197803533</c:v>
                </c:pt>
                <c:pt idx="10">
                  <c:v>3.7405178172099141</c:v>
                </c:pt>
                <c:pt idx="11">
                  <c:v>3.6849130146394713</c:v>
                </c:pt>
                <c:pt idx="12">
                  <c:v>3.6293082120690356</c:v>
                </c:pt>
                <c:pt idx="13">
                  <c:v>3.4624938043577074</c:v>
                </c:pt>
                <c:pt idx="14">
                  <c:v>3.2956793966463862</c:v>
                </c:pt>
                <c:pt idx="15">
                  <c:v>3.1844697915055042</c:v>
                </c:pt>
                <c:pt idx="16">
                  <c:v>2.9064457786533047</c:v>
                </c:pt>
                <c:pt idx="17">
                  <c:v>2.6284217658011015</c:v>
                </c:pt>
                <c:pt idx="18">
                  <c:v>2.0723737400966935</c:v>
                </c:pt>
                <c:pt idx="19">
                  <c:v>1.5163257143922908</c:v>
                </c:pt>
                <c:pt idx="20">
                  <c:v>0.96027768868788421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87A-4ABF-BC72-EC68CA34118D}"/>
            </c:ext>
          </c:extLst>
        </c:ser>
        <c:ser>
          <c:idx val="2"/>
          <c:order val="2"/>
          <c:tx>
            <c:strRef>
              <c:f>'SA4'!$F$68</c:f>
              <c:strCache>
                <c:ptCount val="1"/>
                <c:pt idx="0">
                  <c:v>Overhaul Cost (± 5%)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'SA4'!$C$69:$C$89</c:f>
              <c:numCache>
                <c:formatCode>0%</c:formatCode>
                <c:ptCount val="21"/>
                <c:pt idx="0">
                  <c:v>-0.5</c:v>
                </c:pt>
                <c:pt idx="1">
                  <c:v>-0.4</c:v>
                </c:pt>
                <c:pt idx="2">
                  <c:v>-0.3</c:v>
                </c:pt>
                <c:pt idx="3">
                  <c:v>-0.2</c:v>
                </c:pt>
                <c:pt idx="4">
                  <c:v>-0.15</c:v>
                </c:pt>
                <c:pt idx="5">
                  <c:v>-0.1</c:v>
                </c:pt>
                <c:pt idx="6">
                  <c:v>-0.08</c:v>
                </c:pt>
                <c:pt idx="7">
                  <c:v>-0.05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0.05</c:v>
                </c:pt>
                <c:pt idx="14">
                  <c:v>0.08</c:v>
                </c:pt>
                <c:pt idx="15">
                  <c:v>0.1</c:v>
                </c:pt>
                <c:pt idx="16">
                  <c:v>0.15</c:v>
                </c:pt>
                <c:pt idx="17">
                  <c:v>0.2</c:v>
                </c:pt>
                <c:pt idx="18">
                  <c:v>0.3</c:v>
                </c:pt>
                <c:pt idx="19">
                  <c:v>0.4</c:v>
                </c:pt>
                <c:pt idx="20">
                  <c:v>0.5</c:v>
                </c:pt>
              </c:numCache>
            </c:numRef>
          </c:xVal>
          <c:yVal>
            <c:numRef>
              <c:f>'SA4'!$F$69:$F$89</c:f>
              <c:numCache>
                <c:formatCode>"$"#,##0.00</c:formatCode>
                <c:ptCount val="21"/>
                <c:pt idx="0">
                  <c:v>3.885499041327479</c:v>
                </c:pt>
                <c:pt idx="1">
                  <c:v>3.8565027965039671</c:v>
                </c:pt>
                <c:pt idx="2">
                  <c:v>3.8275065516804552</c:v>
                </c:pt>
                <c:pt idx="3">
                  <c:v>3.7985103068569415</c:v>
                </c:pt>
                <c:pt idx="4">
                  <c:v>3.7840121844451846</c:v>
                </c:pt>
                <c:pt idx="5">
                  <c:v>3.7695140620334278</c:v>
                </c:pt>
                <c:pt idx="6">
                  <c:v>3.763714813068725</c:v>
                </c:pt>
                <c:pt idx="7">
                  <c:v>3.7550159396216709</c:v>
                </c:pt>
                <c:pt idx="8">
                  <c:v>3.7463170661746168</c:v>
                </c:pt>
                <c:pt idx="9">
                  <c:v>3.7434174416922672</c:v>
                </c:pt>
                <c:pt idx="10">
                  <c:v>3.7405178172099141</c:v>
                </c:pt>
                <c:pt idx="11">
                  <c:v>3.7376181927275627</c:v>
                </c:pt>
                <c:pt idx="12">
                  <c:v>3.7347185682452113</c:v>
                </c:pt>
                <c:pt idx="13">
                  <c:v>3.726019694798159</c:v>
                </c:pt>
                <c:pt idx="14">
                  <c:v>3.7173208213511031</c:v>
                </c:pt>
                <c:pt idx="15">
                  <c:v>3.7115215723864021</c:v>
                </c:pt>
                <c:pt idx="16">
                  <c:v>3.6970234499746453</c:v>
                </c:pt>
                <c:pt idx="17">
                  <c:v>3.6825253275628884</c:v>
                </c:pt>
                <c:pt idx="18">
                  <c:v>3.6535290827393747</c:v>
                </c:pt>
                <c:pt idx="19">
                  <c:v>3.624532837915861</c:v>
                </c:pt>
                <c:pt idx="20">
                  <c:v>3.5955365930923491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87A-4ABF-BC72-EC68CA34118D}"/>
            </c:ext>
          </c:extLst>
        </c:ser>
        <c:ser>
          <c:idx val="3"/>
          <c:order val="3"/>
          <c:tx>
            <c:strRef>
              <c:f>'SA4'!$G$68</c:f>
              <c:strCache>
                <c:ptCount val="1"/>
                <c:pt idx="0">
                  <c:v>MARR (± 30%)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'SA4'!$C$69:$C$89</c:f>
              <c:numCache>
                <c:formatCode>0%</c:formatCode>
                <c:ptCount val="21"/>
                <c:pt idx="0">
                  <c:v>-0.5</c:v>
                </c:pt>
                <c:pt idx="1">
                  <c:v>-0.4</c:v>
                </c:pt>
                <c:pt idx="2">
                  <c:v>-0.3</c:v>
                </c:pt>
                <c:pt idx="3">
                  <c:v>-0.2</c:v>
                </c:pt>
                <c:pt idx="4">
                  <c:v>-0.15</c:v>
                </c:pt>
                <c:pt idx="5">
                  <c:v>-0.1</c:v>
                </c:pt>
                <c:pt idx="6">
                  <c:v>-0.08</c:v>
                </c:pt>
                <c:pt idx="7">
                  <c:v>-0.05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0.05</c:v>
                </c:pt>
                <c:pt idx="14">
                  <c:v>0.08</c:v>
                </c:pt>
                <c:pt idx="15">
                  <c:v>0.1</c:v>
                </c:pt>
                <c:pt idx="16">
                  <c:v>0.15</c:v>
                </c:pt>
                <c:pt idx="17">
                  <c:v>0.2</c:v>
                </c:pt>
                <c:pt idx="18">
                  <c:v>0.3</c:v>
                </c:pt>
                <c:pt idx="19">
                  <c:v>0.4</c:v>
                </c:pt>
                <c:pt idx="20">
                  <c:v>0.5</c:v>
                </c:pt>
              </c:numCache>
            </c:numRef>
          </c:xVal>
          <c:yVal>
            <c:numRef>
              <c:f>'SA4'!$G$69:$G$89</c:f>
              <c:numCache>
                <c:formatCode>"$"#,##0.00</c:formatCode>
                <c:ptCount val="21"/>
                <c:pt idx="0">
                  <c:v>11.234765423780884</c:v>
                </c:pt>
                <c:pt idx="1">
                  <c:v>9.4575599311248215</c:v>
                </c:pt>
                <c:pt idx="2">
                  <c:v>7.8343988225449159</c:v>
                </c:pt>
                <c:pt idx="3">
                  <c:v>6.3495473344903726</c:v>
                </c:pt>
                <c:pt idx="4">
                  <c:v>5.6545635116147395</c:v>
                </c:pt>
                <c:pt idx="5">
                  <c:v>4.9890509206621658</c:v>
                </c:pt>
                <c:pt idx="6">
                  <c:v>4.7307584845423811</c:v>
                </c:pt>
                <c:pt idx="7">
                  <c:v>4.3515077418880814</c:v>
                </c:pt>
                <c:pt idx="8">
                  <c:v>3.9818146288200511</c:v>
                </c:pt>
                <c:pt idx="9">
                  <c:v>3.8606567766693853</c:v>
                </c:pt>
                <c:pt idx="10">
                  <c:v>3.7405178172099141</c:v>
                </c:pt>
                <c:pt idx="11">
                  <c:v>3.6213873144590938</c:v>
                </c:pt>
                <c:pt idx="12">
                  <c:v>3.5032549529745691</c:v>
                </c:pt>
                <c:pt idx="13">
                  <c:v>3.154745337984902</c:v>
                </c:pt>
                <c:pt idx="14">
                  <c:v>2.814858894775166</c:v>
                </c:pt>
                <c:pt idx="15">
                  <c:v>2.5929298855102885</c:v>
                </c:pt>
                <c:pt idx="16">
                  <c:v>2.053881799409794</c:v>
                </c:pt>
                <c:pt idx="17">
                  <c:v>1.5364778509112234</c:v>
                </c:pt>
                <c:pt idx="18">
                  <c:v>0.56241761476234142</c:v>
                </c:pt>
                <c:pt idx="19">
                  <c:v>-0.33705520804623051</c:v>
                </c:pt>
                <c:pt idx="20">
                  <c:v>-1.168914969810801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87A-4ABF-BC72-EC68CA34118D}"/>
            </c:ext>
          </c:extLst>
        </c:ser>
        <c:ser>
          <c:idx val="4"/>
          <c:order val="4"/>
          <c:tx>
            <c:strRef>
              <c:f>'SA4'!$H$68</c:f>
              <c:strCache>
                <c:ptCount val="1"/>
                <c:pt idx="0">
                  <c:v>Salvage value (± 15%)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'SA4'!$C$69:$C$89</c:f>
              <c:numCache>
                <c:formatCode>0%</c:formatCode>
                <c:ptCount val="21"/>
                <c:pt idx="0">
                  <c:v>-0.5</c:v>
                </c:pt>
                <c:pt idx="1">
                  <c:v>-0.4</c:v>
                </c:pt>
                <c:pt idx="2">
                  <c:v>-0.3</c:v>
                </c:pt>
                <c:pt idx="3">
                  <c:v>-0.2</c:v>
                </c:pt>
                <c:pt idx="4">
                  <c:v>-0.15</c:v>
                </c:pt>
                <c:pt idx="5">
                  <c:v>-0.1</c:v>
                </c:pt>
                <c:pt idx="6">
                  <c:v>-0.08</c:v>
                </c:pt>
                <c:pt idx="7">
                  <c:v>-0.05</c:v>
                </c:pt>
                <c:pt idx="8">
                  <c:v>-0.02</c:v>
                </c:pt>
                <c:pt idx="9">
                  <c:v>-0.01</c:v>
                </c:pt>
                <c:pt idx="10">
                  <c:v>0</c:v>
                </c:pt>
                <c:pt idx="11">
                  <c:v>0.01</c:v>
                </c:pt>
                <c:pt idx="12">
                  <c:v>0.02</c:v>
                </c:pt>
                <c:pt idx="13">
                  <c:v>0.05</c:v>
                </c:pt>
                <c:pt idx="14">
                  <c:v>0.08</c:v>
                </c:pt>
                <c:pt idx="15">
                  <c:v>0.1</c:v>
                </c:pt>
                <c:pt idx="16">
                  <c:v>0.15</c:v>
                </c:pt>
                <c:pt idx="17">
                  <c:v>0.2</c:v>
                </c:pt>
                <c:pt idx="18">
                  <c:v>0.3</c:v>
                </c:pt>
                <c:pt idx="19">
                  <c:v>0.4</c:v>
                </c:pt>
                <c:pt idx="20">
                  <c:v>0.5</c:v>
                </c:pt>
              </c:numCache>
            </c:numRef>
          </c:xVal>
          <c:yVal>
            <c:numRef>
              <c:f>'SA4'!$H$69:$H$89</c:f>
              <c:numCache>
                <c:formatCode>"$"#,##0.00</c:formatCode>
                <c:ptCount val="21"/>
                <c:pt idx="0">
                  <c:v>3.7013886082945908</c:v>
                </c:pt>
                <c:pt idx="1">
                  <c:v>3.709214450077654</c:v>
                </c:pt>
                <c:pt idx="2">
                  <c:v>3.7170402918607208</c:v>
                </c:pt>
                <c:pt idx="3">
                  <c:v>3.724866133643784</c:v>
                </c:pt>
                <c:pt idx="4">
                  <c:v>3.7287790545353139</c:v>
                </c:pt>
                <c:pt idx="5">
                  <c:v>3.7326919754268473</c:v>
                </c:pt>
                <c:pt idx="6">
                  <c:v>3.7342571437834642</c:v>
                </c:pt>
                <c:pt idx="7">
                  <c:v>3.7366048963183807</c:v>
                </c:pt>
                <c:pt idx="8">
                  <c:v>3.7389526488533007</c:v>
                </c:pt>
                <c:pt idx="9">
                  <c:v>3.7397352330316074</c:v>
                </c:pt>
                <c:pt idx="10">
                  <c:v>3.7405178172099141</c:v>
                </c:pt>
                <c:pt idx="11">
                  <c:v>3.7413004013882172</c:v>
                </c:pt>
                <c:pt idx="12">
                  <c:v>3.7420829855665274</c:v>
                </c:pt>
                <c:pt idx="13">
                  <c:v>3.7444307381014474</c:v>
                </c:pt>
                <c:pt idx="14">
                  <c:v>3.7467784906363675</c:v>
                </c:pt>
                <c:pt idx="15">
                  <c:v>3.7483436589929773</c:v>
                </c:pt>
                <c:pt idx="16">
                  <c:v>3.7522565798845107</c:v>
                </c:pt>
                <c:pt idx="17">
                  <c:v>3.7561695007760405</c:v>
                </c:pt>
                <c:pt idx="18">
                  <c:v>3.7639953425591108</c:v>
                </c:pt>
                <c:pt idx="19">
                  <c:v>3.7718211843421741</c:v>
                </c:pt>
                <c:pt idx="20">
                  <c:v>3.7796470261252373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87A-4ABF-BC72-EC68CA341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374080"/>
        <c:axId val="147375616"/>
      </c:scatterChart>
      <c:valAx>
        <c:axId val="14737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75616"/>
        <c:crosses val="autoZero"/>
        <c:crossBetween val="midCat"/>
      </c:valAx>
      <c:valAx>
        <c:axId val="147375616"/>
        <c:scaling>
          <c:orientation val="minMax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7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'SA4'!$C$94</c:f>
              <c:strCache>
                <c:ptCount val="1"/>
                <c:pt idx="0">
                  <c:v>-50%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'SA4'!$D$93:$H$93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'SA4'!$D$94:$H$94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F818-4722-BEE7-D06BBAD27B0F}"/>
            </c:ext>
          </c:extLst>
        </c:ser>
        <c:ser>
          <c:idx val="1"/>
          <c:order val="1"/>
          <c:tx>
            <c:strRef>
              <c:f>'SA4'!$C$95</c:f>
              <c:strCache>
                <c:ptCount val="1"/>
                <c:pt idx="0">
                  <c:v>-40%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'SA4'!$D$93:$H$93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'SA4'!$D$95:$H$95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F818-4722-BEE7-D06BBAD27B0F}"/>
            </c:ext>
          </c:extLst>
        </c:ser>
        <c:ser>
          <c:idx val="2"/>
          <c:order val="2"/>
          <c:tx>
            <c:strRef>
              <c:f>'SA4'!$C$96</c:f>
              <c:strCache>
                <c:ptCount val="1"/>
                <c:pt idx="0">
                  <c:v>-30%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'SA4'!$D$93:$H$93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'SA4'!$D$96:$H$96</c:f>
              <c:numCache>
                <c:formatCode>General</c:formatCode>
                <c:ptCount val="5"/>
                <c:pt idx="3" formatCode="&quot;$&quot;#,##0.00">
                  <c:v>7.8343988225449159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18-4722-BEE7-D06BBAD27B0F}"/>
            </c:ext>
          </c:extLst>
        </c:ser>
        <c:ser>
          <c:idx val="3"/>
          <c:order val="3"/>
          <c:tx>
            <c:strRef>
              <c:f>'SA4'!$C$97</c:f>
              <c:strCache>
                <c:ptCount val="1"/>
                <c:pt idx="0">
                  <c:v>-20%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'SA4'!$D$93:$H$93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'SA4'!$D$97:$H$97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F818-4722-BEE7-D06BBAD27B0F}"/>
            </c:ext>
          </c:extLst>
        </c:ser>
        <c:ser>
          <c:idx val="4"/>
          <c:order val="4"/>
          <c:tx>
            <c:strRef>
              <c:f>'SA4'!$C$98</c:f>
              <c:strCache>
                <c:ptCount val="1"/>
                <c:pt idx="0">
                  <c:v>-15%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'SA4'!$D$93:$H$93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'SA4'!$D$98:$H$98</c:f>
              <c:numCache>
                <c:formatCode>General</c:formatCode>
                <c:ptCount val="5"/>
                <c:pt idx="4" formatCode="&quot;$&quot;#,##0.00">
                  <c:v>3.7287790545353139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18-4722-BEE7-D06BBAD27B0F}"/>
            </c:ext>
          </c:extLst>
        </c:ser>
        <c:ser>
          <c:idx val="5"/>
          <c:order val="5"/>
          <c:tx>
            <c:strRef>
              <c:f>'SA4'!$C$99</c:f>
              <c:strCache>
                <c:ptCount val="1"/>
                <c:pt idx="0">
                  <c:v>-10%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'SA4'!$D$93:$H$93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'SA4'!$D$99:$H$99</c:f>
              <c:numCache>
                <c:formatCode>General</c:formatCode>
                <c:ptCount val="5"/>
                <c:pt idx="0" formatCode="&quot;$&quot;#,##0.00">
                  <c:v>0.40422966298347085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818-4722-BEE7-D06BBAD27B0F}"/>
            </c:ext>
          </c:extLst>
        </c:ser>
        <c:ser>
          <c:idx val="6"/>
          <c:order val="6"/>
          <c:tx>
            <c:strRef>
              <c:f>'SA4'!$C$100</c:f>
              <c:strCache>
                <c:ptCount val="1"/>
                <c:pt idx="0">
                  <c:v>-8%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'SA4'!$D$93:$H$93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'SA4'!$D$100:$H$100</c:f>
              <c:numCache>
                <c:formatCode>"$"#,##0.00</c:formatCode>
                <c:ptCount val="5"/>
                <c:pt idx="1">
                  <c:v>4.1853562377734379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818-4722-BEE7-D06BBAD27B0F}"/>
            </c:ext>
          </c:extLst>
        </c:ser>
        <c:ser>
          <c:idx val="7"/>
          <c:order val="7"/>
          <c:tx>
            <c:strRef>
              <c:f>'SA4'!$C$101</c:f>
              <c:strCache>
                <c:ptCount val="1"/>
                <c:pt idx="0">
                  <c:v>-5%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'SA4'!$D$93:$H$93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'SA4'!$D$101:$H$101</c:f>
              <c:numCache>
                <c:formatCode>General</c:formatCode>
                <c:ptCount val="5"/>
                <c:pt idx="2" formatCode="&quot;$&quot;#,##0.00">
                  <c:v>3.7550159396216709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818-4722-BEE7-D06BBAD27B0F}"/>
            </c:ext>
          </c:extLst>
        </c:ser>
        <c:ser>
          <c:idx val="8"/>
          <c:order val="8"/>
          <c:tx>
            <c:strRef>
              <c:f>'SA4'!$C$102</c:f>
              <c:strCache>
                <c:ptCount val="1"/>
                <c:pt idx="0">
                  <c:v>-2%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'SA4'!$D$93:$H$93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'SA4'!$D$102:$H$102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8-F818-4722-BEE7-D06BBAD27B0F}"/>
            </c:ext>
          </c:extLst>
        </c:ser>
        <c:ser>
          <c:idx val="9"/>
          <c:order val="9"/>
          <c:tx>
            <c:strRef>
              <c:f>'SA4'!$C$103</c:f>
              <c:strCache>
                <c:ptCount val="1"/>
                <c:pt idx="0">
                  <c:v>-1%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'SA4'!$D$93:$H$93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'SA4'!$D$103:$H$103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9-F818-4722-BEE7-D06BBAD27B0F}"/>
            </c:ext>
          </c:extLst>
        </c:ser>
        <c:ser>
          <c:idx val="10"/>
          <c:order val="10"/>
          <c:tx>
            <c:strRef>
              <c:f>'SA4'!$C$104</c:f>
              <c:strCache>
                <c:ptCount val="1"/>
                <c:pt idx="0">
                  <c:v>0%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'SA4'!$D$93:$H$93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'SA4'!$D$104:$H$104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A-F818-4722-BEE7-D06BBAD27B0F}"/>
            </c:ext>
          </c:extLst>
        </c:ser>
        <c:ser>
          <c:idx val="11"/>
          <c:order val="11"/>
          <c:tx>
            <c:strRef>
              <c:f>'SA4'!$C$105</c:f>
              <c:strCache>
                <c:ptCount val="1"/>
                <c:pt idx="0">
                  <c:v>1%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'SA4'!$D$93:$H$93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'SA4'!$D$105:$H$105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B-F818-4722-BEE7-D06BBAD27B0F}"/>
            </c:ext>
          </c:extLst>
        </c:ser>
        <c:ser>
          <c:idx val="12"/>
          <c:order val="12"/>
          <c:tx>
            <c:strRef>
              <c:f>'SA4'!$C$106</c:f>
              <c:strCache>
                <c:ptCount val="1"/>
                <c:pt idx="0">
                  <c:v>2%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'SA4'!$D$93:$H$93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'SA4'!$D$106:$H$106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C-F818-4722-BEE7-D06BBAD27B0F}"/>
            </c:ext>
          </c:extLst>
        </c:ser>
        <c:ser>
          <c:idx val="13"/>
          <c:order val="13"/>
          <c:tx>
            <c:strRef>
              <c:f>'SA4'!$C$107</c:f>
              <c:strCache>
                <c:ptCount val="1"/>
                <c:pt idx="0">
                  <c:v>5%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'SA4'!$D$93:$H$93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'SA4'!$D$107:$H$107</c:f>
              <c:numCache>
                <c:formatCode>General</c:formatCode>
                <c:ptCount val="5"/>
                <c:pt idx="2" formatCode="&quot;$&quot;#,##0.00">
                  <c:v>3.726019694798159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818-4722-BEE7-D06BBAD27B0F}"/>
            </c:ext>
          </c:extLst>
        </c:ser>
        <c:ser>
          <c:idx val="14"/>
          <c:order val="14"/>
          <c:tx>
            <c:strRef>
              <c:f>'SA4'!$C$108</c:f>
              <c:strCache>
                <c:ptCount val="1"/>
                <c:pt idx="0">
                  <c:v>8%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'SA4'!$D$93:$H$93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'SA4'!$D$108:$H$108</c:f>
              <c:numCache>
                <c:formatCode>"$"#,##0.00</c:formatCode>
                <c:ptCount val="5"/>
                <c:pt idx="1">
                  <c:v>3.2956793966463862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818-4722-BEE7-D06BBAD27B0F}"/>
            </c:ext>
          </c:extLst>
        </c:ser>
        <c:ser>
          <c:idx val="15"/>
          <c:order val="15"/>
          <c:tx>
            <c:strRef>
              <c:f>'SA4'!$C$109</c:f>
              <c:strCache>
                <c:ptCount val="1"/>
                <c:pt idx="0">
                  <c:v>10%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'SA4'!$D$93:$H$93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'SA4'!$D$109:$H$109</c:f>
              <c:numCache>
                <c:formatCode>General</c:formatCode>
                <c:ptCount val="5"/>
                <c:pt idx="0" formatCode="&quot;$&quot;#,##0.00">
                  <c:v>7.0768059714363547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818-4722-BEE7-D06BBAD27B0F}"/>
            </c:ext>
          </c:extLst>
        </c:ser>
        <c:ser>
          <c:idx val="16"/>
          <c:order val="16"/>
          <c:tx>
            <c:strRef>
              <c:f>'SA4'!$C$110</c:f>
              <c:strCache>
                <c:ptCount val="1"/>
                <c:pt idx="0">
                  <c:v>15%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'SA4'!$D$93:$H$93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'SA4'!$D$110:$H$110</c:f>
              <c:numCache>
                <c:formatCode>General</c:formatCode>
                <c:ptCount val="5"/>
                <c:pt idx="4" formatCode="&quot;$&quot;#,##0.00">
                  <c:v>3.7522565798845107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818-4722-BEE7-D06BBAD27B0F}"/>
            </c:ext>
          </c:extLst>
        </c:ser>
        <c:ser>
          <c:idx val="17"/>
          <c:order val="17"/>
          <c:tx>
            <c:strRef>
              <c:f>'SA4'!$C$111</c:f>
              <c:strCache>
                <c:ptCount val="1"/>
                <c:pt idx="0">
                  <c:v>20%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'SA4'!$D$93:$H$93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'SA4'!$D$111:$H$111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11-F818-4722-BEE7-D06BBAD27B0F}"/>
            </c:ext>
          </c:extLst>
        </c:ser>
        <c:ser>
          <c:idx val="18"/>
          <c:order val="18"/>
          <c:tx>
            <c:strRef>
              <c:f>'SA4'!$C$112</c:f>
              <c:strCache>
                <c:ptCount val="1"/>
                <c:pt idx="0">
                  <c:v>30%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'SA4'!$D$93:$H$93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'SA4'!$D$112:$H$112</c:f>
              <c:numCache>
                <c:formatCode>General</c:formatCode>
                <c:ptCount val="5"/>
                <c:pt idx="3" formatCode="&quot;$&quot;#,##0.00">
                  <c:v>0.56241761476234142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818-4722-BEE7-D06BBAD27B0F}"/>
            </c:ext>
          </c:extLst>
        </c:ser>
        <c:ser>
          <c:idx val="19"/>
          <c:order val="19"/>
          <c:tx>
            <c:strRef>
              <c:f>'SA4'!$C$113</c:f>
              <c:strCache>
                <c:ptCount val="1"/>
                <c:pt idx="0">
                  <c:v>40%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'SA4'!$D$93:$H$93</c:f>
              <c:strCache>
                <c:ptCount val="5"/>
                <c:pt idx="0">
                  <c:v>Revenue (± 10%)</c:v>
                </c:pt>
                <c:pt idx="1">
                  <c:v>O&amp;M Cost (± 8%)</c:v>
                </c:pt>
                <c:pt idx="2">
                  <c:v>Overhaul Cost (± 5%)</c:v>
                </c:pt>
                <c:pt idx="3">
                  <c:v>MARR (± 30%)</c:v>
                </c:pt>
                <c:pt idx="4">
                  <c:v>Salvage value (± 15%)</c:v>
                </c:pt>
              </c:strCache>
            </c:strRef>
          </c:cat>
          <c:val>
            <c:numRef>
              <c:f>'SA4'!$D$113:$H$113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13-F818-4722-BEE7-D06BBAD27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2"/>
        <c:overlap val="100"/>
        <c:axId val="147661184"/>
        <c:axId val="147662720"/>
      </c:barChart>
      <c:catAx>
        <c:axId val="147661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62720"/>
        <c:crossesAt val="4"/>
        <c:auto val="1"/>
        <c:lblAlgn val="ctr"/>
        <c:lblOffset val="100"/>
        <c:noMultiLvlLbl val="0"/>
      </c:catAx>
      <c:valAx>
        <c:axId val="14766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6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526256</xdr:colOff>
      <xdr:row>33</xdr:row>
      <xdr:rowOff>157163</xdr:rowOff>
    </xdr:from>
    <xdr:to>
      <xdr:col>33</xdr:col>
      <xdr:colOff>511968</xdr:colOff>
      <xdr:row>62</xdr:row>
      <xdr:rowOff>147638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67</xdr:row>
      <xdr:rowOff>619125</xdr:rowOff>
    </xdr:from>
    <xdr:to>
      <xdr:col>22</xdr:col>
      <xdr:colOff>266700</xdr:colOff>
      <xdr:row>88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</xdr:colOff>
      <xdr:row>95</xdr:row>
      <xdr:rowOff>28575</xdr:rowOff>
    </xdr:from>
    <xdr:to>
      <xdr:col>19</xdr:col>
      <xdr:colOff>304800</xdr:colOff>
      <xdr:row>111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299358</xdr:colOff>
      <xdr:row>70</xdr:row>
      <xdr:rowOff>82664</xdr:rowOff>
    </xdr:from>
    <xdr:to>
      <xdr:col>15</xdr:col>
      <xdr:colOff>585108</xdr:colOff>
      <xdr:row>85</xdr:row>
      <xdr:rowOff>19391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146276</xdr:colOff>
      <xdr:row>96</xdr:row>
      <xdr:rowOff>159203</xdr:rowOff>
    </xdr:from>
    <xdr:to>
      <xdr:col>17</xdr:col>
      <xdr:colOff>432026</xdr:colOff>
      <xdr:row>111</xdr:row>
      <xdr:rowOff>95930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69</xdr:row>
      <xdr:rowOff>133350</xdr:rowOff>
    </xdr:from>
    <xdr:to>
      <xdr:col>15</xdr:col>
      <xdr:colOff>285750</xdr:colOff>
      <xdr:row>84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597957</xdr:colOff>
      <xdr:row>96</xdr:row>
      <xdr:rowOff>14817</xdr:rowOff>
    </xdr:from>
    <xdr:to>
      <xdr:col>16</xdr:col>
      <xdr:colOff>15874</xdr:colOff>
      <xdr:row>110</xdr:row>
      <xdr:rowOff>91017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68</xdr:row>
      <xdr:rowOff>9525</xdr:rowOff>
    </xdr:from>
    <xdr:to>
      <xdr:col>16</xdr:col>
      <xdr:colOff>485775</xdr:colOff>
      <xdr:row>84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371475</xdr:colOff>
      <xdr:row>97</xdr:row>
      <xdr:rowOff>133350</xdr:rowOff>
    </xdr:from>
    <xdr:to>
      <xdr:col>15</xdr:col>
      <xdr:colOff>447675</xdr:colOff>
      <xdr:row>112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J38"/>
  <sheetViews>
    <sheetView workbookViewId="0" xr3:uid="{AEA406A1-0E4B-5B11-9CD5-51D6E497D94C}">
      <selection activeCell="G7" sqref="G7"/>
    </sheetView>
  </sheetViews>
  <sheetFormatPr defaultRowHeight="15"/>
  <cols>
    <col min="1" max="1" width="18.85546875" customWidth="1"/>
    <col min="2" max="2" width="34.28515625" style="1" customWidth="1"/>
    <col min="3" max="3" width="14.85546875" style="2" customWidth="1"/>
    <col min="4" max="4" width="8.28515625" style="2" bestFit="1" customWidth="1"/>
    <col min="5" max="5" width="14.140625" style="2" customWidth="1"/>
    <col min="6" max="6" width="8.28515625" style="2" customWidth="1"/>
    <col min="7" max="7" width="14.140625" style="2" customWidth="1"/>
    <col min="8" max="8" width="8.28515625" style="2" customWidth="1"/>
    <col min="9" max="9" width="12.85546875" customWidth="1"/>
    <col min="10" max="10" width="8.28515625" customWidth="1"/>
  </cols>
  <sheetData>
    <row r="5" spans="2:10" ht="30.75" customHeight="1">
      <c r="B5" s="7"/>
      <c r="C5" s="10" t="s">
        <v>0</v>
      </c>
      <c r="D5" s="10" t="s">
        <v>1</v>
      </c>
      <c r="E5" s="10" t="s">
        <v>2</v>
      </c>
      <c r="F5" s="10" t="s">
        <v>1</v>
      </c>
      <c r="G5" s="10" t="s">
        <v>3</v>
      </c>
      <c r="H5" s="10" t="s">
        <v>1</v>
      </c>
      <c r="I5" s="10" t="s">
        <v>4</v>
      </c>
      <c r="J5" s="11" t="s">
        <v>1</v>
      </c>
    </row>
    <row r="6" spans="2:10" ht="18" customHeight="1">
      <c r="B6" s="7" t="s">
        <v>5</v>
      </c>
      <c r="C6" s="7">
        <v>1962</v>
      </c>
      <c r="D6" s="7"/>
      <c r="E6" s="7">
        <v>1992</v>
      </c>
      <c r="F6" s="7"/>
      <c r="G6" s="7">
        <v>2010</v>
      </c>
      <c r="H6" s="7"/>
      <c r="I6" s="7">
        <v>2004</v>
      </c>
      <c r="J6" s="12"/>
    </row>
    <row r="7" spans="2:10" ht="18" customHeight="1">
      <c r="B7" s="7" t="s">
        <v>6</v>
      </c>
      <c r="C7" s="7" t="s">
        <v>7</v>
      </c>
      <c r="D7" s="7"/>
      <c r="E7" s="7" t="s">
        <v>8</v>
      </c>
      <c r="F7" s="7"/>
      <c r="G7" s="54" t="s">
        <v>9</v>
      </c>
      <c r="H7" s="7"/>
      <c r="I7" s="7" t="s">
        <v>8</v>
      </c>
      <c r="J7" s="12"/>
    </row>
    <row r="8" spans="2:10" ht="18" customHeight="1">
      <c r="B8" s="7" t="s">
        <v>10</v>
      </c>
      <c r="C8" s="10">
        <v>75091</v>
      </c>
      <c r="D8" s="7" t="s">
        <v>11</v>
      </c>
      <c r="E8" s="10">
        <v>165000</v>
      </c>
      <c r="F8" s="7" t="s">
        <v>11</v>
      </c>
      <c r="G8" s="10">
        <v>188700</v>
      </c>
      <c r="H8" s="7" t="s">
        <v>11</v>
      </c>
      <c r="I8" s="10">
        <v>52487</v>
      </c>
      <c r="J8" s="7" t="s">
        <v>11</v>
      </c>
    </row>
    <row r="9" spans="2:10" ht="18" customHeight="1">
      <c r="B9" s="7" t="s">
        <v>12</v>
      </c>
      <c r="C9" s="7">
        <v>7</v>
      </c>
      <c r="D9" s="7"/>
      <c r="E9" s="7">
        <v>10</v>
      </c>
      <c r="F9" s="7"/>
      <c r="G9" s="7">
        <v>17</v>
      </c>
      <c r="H9" s="7"/>
      <c r="I9" s="7">
        <v>4</v>
      </c>
      <c r="J9" s="12"/>
    </row>
    <row r="10" spans="2:10" ht="18" customHeight="1">
      <c r="B10" s="7" t="s">
        <v>13</v>
      </c>
      <c r="C10" s="7">
        <v>56</v>
      </c>
      <c r="D10" s="7"/>
      <c r="E10" s="7">
        <v>26</v>
      </c>
      <c r="F10" s="7"/>
      <c r="G10" s="7">
        <v>8</v>
      </c>
      <c r="H10" s="7"/>
      <c r="I10" s="7">
        <v>14</v>
      </c>
      <c r="J10" s="12"/>
    </row>
    <row r="11" spans="2:10" ht="18" customHeight="1">
      <c r="B11" s="7" t="s">
        <v>14</v>
      </c>
      <c r="C11" s="7">
        <v>80</v>
      </c>
      <c r="D11" s="7"/>
      <c r="E11" s="7">
        <v>85</v>
      </c>
      <c r="F11" s="7"/>
      <c r="G11" s="7">
        <v>85</v>
      </c>
      <c r="H11" s="7"/>
      <c r="I11" s="7">
        <v>85</v>
      </c>
      <c r="J11" s="12"/>
    </row>
    <row r="12" spans="2:10" ht="18" customHeight="1">
      <c r="B12" s="7" t="s">
        <v>15</v>
      </c>
      <c r="C12" s="7">
        <f>C11-C10</f>
        <v>24</v>
      </c>
      <c r="D12" s="7"/>
      <c r="E12" s="7">
        <f t="shared" ref="E12:I12" si="0">E11-E10</f>
        <v>59</v>
      </c>
      <c r="F12" s="7"/>
      <c r="G12" s="7">
        <f t="shared" si="0"/>
        <v>77</v>
      </c>
      <c r="H12" s="7"/>
      <c r="I12" s="7">
        <f t="shared" si="0"/>
        <v>71</v>
      </c>
      <c r="J12" s="7"/>
    </row>
    <row r="13" spans="2:10" ht="18" customHeight="1">
      <c r="B13" s="60" t="s">
        <v>16</v>
      </c>
      <c r="C13" s="61"/>
      <c r="D13" s="61"/>
      <c r="E13" s="61"/>
      <c r="F13" s="61"/>
      <c r="G13" s="61"/>
      <c r="H13" s="61"/>
      <c r="I13" s="61"/>
      <c r="J13" s="62"/>
    </row>
    <row r="14" spans="2:10" ht="18" customHeight="1">
      <c r="B14" s="7" t="s">
        <v>17</v>
      </c>
      <c r="C14" s="13">
        <f>(75091*299.6)/1000000</f>
        <v>22.4972636</v>
      </c>
      <c r="D14" s="8"/>
      <c r="E14" s="13">
        <f>(165000*100)/1000000</f>
        <v>16.5</v>
      </c>
      <c r="F14" s="8"/>
      <c r="G14" s="13">
        <f>(188700*112.6)/1000000</f>
        <v>21.247620000000001</v>
      </c>
      <c r="H14" s="8"/>
      <c r="I14" s="13">
        <f>(52487*352.5)/1000000</f>
        <v>18.5016675</v>
      </c>
      <c r="J14" s="12"/>
    </row>
    <row r="15" spans="2:10" ht="18" customHeight="1">
      <c r="B15" s="7" t="s">
        <v>18</v>
      </c>
      <c r="C15" s="13">
        <f>(75091*14)/1000000</f>
        <v>1.051274</v>
      </c>
      <c r="D15" s="8"/>
      <c r="E15" s="13">
        <f>(165000*6.5)/1000000</f>
        <v>1.0725</v>
      </c>
      <c r="F15" s="8"/>
      <c r="G15" s="13">
        <f>(188700*6.5)/1000000</f>
        <v>1.22655</v>
      </c>
      <c r="H15" s="8"/>
      <c r="I15" s="13">
        <f>(52487*10)/1000000</f>
        <v>0.52486999999999995</v>
      </c>
      <c r="J15" s="7"/>
    </row>
    <row r="16" spans="2:10" ht="18" customHeight="1">
      <c r="B16" s="7" t="s">
        <v>19</v>
      </c>
      <c r="C16" s="13">
        <f>(75091*12)/1000000</f>
        <v>0.901092</v>
      </c>
      <c r="D16" s="8" t="s">
        <v>20</v>
      </c>
      <c r="E16" s="13">
        <f>(165000*6*1.05)/1000000</f>
        <v>1.0395000000000001</v>
      </c>
      <c r="F16" s="8" t="s">
        <v>20</v>
      </c>
      <c r="G16" s="13">
        <f>(188700*6*1.05)/1000000</f>
        <v>1.1888099999999999</v>
      </c>
      <c r="H16" s="8" t="s">
        <v>21</v>
      </c>
      <c r="I16" s="13">
        <f>(52487*6)/1000000</f>
        <v>0.31492199999999998</v>
      </c>
      <c r="J16" s="6" t="s">
        <v>21</v>
      </c>
    </row>
    <row r="17" spans="2:10" ht="18" customHeight="1">
      <c r="B17" s="60" t="s">
        <v>22</v>
      </c>
      <c r="C17" s="63"/>
      <c r="D17" s="63"/>
      <c r="E17" s="63"/>
      <c r="F17" s="63"/>
      <c r="G17" s="63"/>
      <c r="H17" s="63"/>
      <c r="I17" s="63"/>
      <c r="J17" s="64"/>
    </row>
    <row r="18" spans="2:10" ht="18" customHeight="1">
      <c r="B18" s="7" t="s">
        <v>23</v>
      </c>
      <c r="C18" s="13">
        <v>7.5</v>
      </c>
      <c r="D18" s="8"/>
      <c r="E18" s="13">
        <v>1.5</v>
      </c>
      <c r="F18" s="8"/>
      <c r="G18" s="13">
        <v>6.25</v>
      </c>
      <c r="H18" s="8"/>
      <c r="I18" s="13">
        <v>3.5</v>
      </c>
      <c r="J18" s="8"/>
    </row>
    <row r="19" spans="2:10" ht="18" customHeight="1">
      <c r="B19" s="7" t="s">
        <v>24</v>
      </c>
      <c r="C19" s="13">
        <f>-FV(0.03405,7,0,7.5)</f>
        <v>9.4809539255074906</v>
      </c>
      <c r="D19" s="8" t="s">
        <v>25</v>
      </c>
      <c r="E19" s="13">
        <f>-FV(0.03405,7,0,1.5)</f>
        <v>1.8961907851014981</v>
      </c>
      <c r="F19" s="8" t="s">
        <v>26</v>
      </c>
      <c r="G19" s="13">
        <f>-FV(0.03405,7,0,6.25)</f>
        <v>7.9007949379229085</v>
      </c>
      <c r="H19" s="8" t="s">
        <v>26</v>
      </c>
      <c r="I19" s="13">
        <f>-FV(0.03405,7,0,3.5)</f>
        <v>4.4244451652368291</v>
      </c>
      <c r="J19" s="8" t="s">
        <v>26</v>
      </c>
    </row>
    <row r="20" spans="2:10" ht="18" customHeight="1">
      <c r="B20" s="7" t="s">
        <v>27</v>
      </c>
      <c r="C20" s="13">
        <v>3</v>
      </c>
      <c r="D20" s="8"/>
      <c r="E20" s="13">
        <v>3</v>
      </c>
      <c r="F20" s="8"/>
      <c r="G20" s="13">
        <v>3</v>
      </c>
      <c r="H20" s="8"/>
      <c r="I20" s="13">
        <v>3</v>
      </c>
      <c r="J20" s="8"/>
    </row>
    <row r="21" spans="2:10" ht="18" customHeight="1">
      <c r="B21" s="7" t="s">
        <v>28</v>
      </c>
      <c r="C21" s="13">
        <f>(0.0572*3000000)/1000000</f>
        <v>0.1716</v>
      </c>
      <c r="D21" s="8" t="s">
        <v>29</v>
      </c>
      <c r="E21" s="13">
        <f>(0.0572*3000000)/1000000</f>
        <v>0.1716</v>
      </c>
      <c r="F21" s="8" t="s">
        <v>30</v>
      </c>
      <c r="G21" s="13">
        <f>(0.0572*3000000)/1000000</f>
        <v>0.1716</v>
      </c>
      <c r="H21" s="8" t="s">
        <v>30</v>
      </c>
      <c r="I21" s="13">
        <f>(0.0572*3000000)/1000000</f>
        <v>0.1716</v>
      </c>
      <c r="J21" s="8" t="s">
        <v>30</v>
      </c>
    </row>
    <row r="22" spans="2:10" ht="18" customHeight="1">
      <c r="B22" s="7" t="s">
        <v>31</v>
      </c>
      <c r="C22" s="13">
        <f>((0.0572*3000000)+3000000)/1000000</f>
        <v>3.1716000000000002</v>
      </c>
      <c r="D22" s="8" t="s">
        <v>32</v>
      </c>
      <c r="E22" s="13">
        <f>((0.0572*3000000)+3000000)/1000000</f>
        <v>3.1716000000000002</v>
      </c>
      <c r="F22" s="8" t="s">
        <v>32</v>
      </c>
      <c r="G22" s="13">
        <f>((0.0572*3000000)+3000000)/1000000</f>
        <v>3.1716000000000002</v>
      </c>
      <c r="H22" s="8" t="s">
        <v>32</v>
      </c>
      <c r="I22" s="13">
        <f>((0.0572*3000000)+3000000)/1000000</f>
        <v>3.1716000000000002</v>
      </c>
      <c r="J22" s="6" t="s">
        <v>32</v>
      </c>
    </row>
    <row r="23" spans="2:10" ht="18" customHeight="1">
      <c r="B23" s="60" t="s">
        <v>33</v>
      </c>
      <c r="C23" s="63"/>
      <c r="D23" s="63"/>
      <c r="E23" s="63"/>
      <c r="F23" s="63"/>
      <c r="G23" s="63"/>
      <c r="H23" s="63"/>
      <c r="I23" s="63"/>
      <c r="J23" s="64"/>
    </row>
    <row r="24" spans="2:10" ht="18" customHeight="1">
      <c r="B24" s="7" t="s">
        <v>34</v>
      </c>
      <c r="C24" s="13">
        <f>(75091*(5*12))/1000000</f>
        <v>4.5054600000000002</v>
      </c>
      <c r="D24" s="8" t="s">
        <v>29</v>
      </c>
      <c r="E24" s="13">
        <f>(165000*(1.8*12))/1000000</f>
        <v>3.5640000000000005</v>
      </c>
      <c r="F24" s="8" t="s">
        <v>29</v>
      </c>
      <c r="G24" s="13">
        <f>(188700*2*12)/1000000</f>
        <v>4.5288000000000004</v>
      </c>
      <c r="H24" s="8" t="s">
        <v>29</v>
      </c>
      <c r="I24" s="13">
        <f>(52487*(5*12))/1000000</f>
        <v>3.1492200000000001</v>
      </c>
      <c r="J24" s="8" t="s">
        <v>29</v>
      </c>
    </row>
    <row r="25" spans="2:10" ht="18" customHeight="1">
      <c r="B25" s="7" t="s">
        <v>35</v>
      </c>
      <c r="C25" s="14">
        <f>(C14*C27)*(1-C27)^19</f>
        <v>0.35889366628708519</v>
      </c>
      <c r="D25" s="7"/>
      <c r="E25" s="14">
        <f>(E14*E27)*(1-E27)^19</f>
        <v>0.2904664418965156</v>
      </c>
      <c r="F25" s="7"/>
      <c r="G25" s="14">
        <f>(G14*G27)*(1-G27)^19</f>
        <v>0.33472626177263981</v>
      </c>
      <c r="H25" s="7"/>
      <c r="I25" s="14">
        <f>(I14*I27)*(1-I27)^19</f>
        <v>0.30283538353801265</v>
      </c>
      <c r="J25" s="12"/>
    </row>
    <row r="26" spans="2:10" ht="18" customHeight="1">
      <c r="B26" s="7" t="s">
        <v>36</v>
      </c>
      <c r="C26" s="9">
        <v>0.05</v>
      </c>
      <c r="D26" s="9"/>
      <c r="E26" s="9">
        <v>0.06</v>
      </c>
      <c r="F26" s="9"/>
      <c r="G26" s="9">
        <v>0.06</v>
      </c>
      <c r="H26" s="9"/>
      <c r="I26" s="9">
        <v>0.06</v>
      </c>
      <c r="J26" s="12"/>
    </row>
    <row r="27" spans="2:10" ht="18" customHeight="1">
      <c r="B27" s="7" t="s">
        <v>37</v>
      </c>
      <c r="C27" s="42">
        <f>2/C12</f>
        <v>8.3333333333333329E-2</v>
      </c>
      <c r="D27" s="7"/>
      <c r="E27" s="42">
        <f>2/E12</f>
        <v>3.3898305084745763E-2</v>
      </c>
      <c r="F27" s="7"/>
      <c r="G27" s="42">
        <f>2/G12</f>
        <v>2.5974025974025976E-2</v>
      </c>
      <c r="H27" s="7"/>
      <c r="I27" s="42">
        <f>2/I12</f>
        <v>2.8169014084507043E-2</v>
      </c>
      <c r="J27" s="12"/>
    </row>
    <row r="28" spans="2:10">
      <c r="B28" s="56"/>
      <c r="G28" s="4"/>
      <c r="H28" s="4"/>
    </row>
    <row r="31" spans="2:10">
      <c r="B31" s="15" t="s">
        <v>38</v>
      </c>
      <c r="C31" s="6" t="s">
        <v>39</v>
      </c>
      <c r="D31" s="5"/>
    </row>
    <row r="32" spans="2:10">
      <c r="B32" s="15" t="s">
        <v>40</v>
      </c>
      <c r="C32" s="38">
        <v>3.4049999999999997E-2</v>
      </c>
      <c r="D32" s="5"/>
    </row>
    <row r="33" spans="2:4">
      <c r="B33" s="15" t="s">
        <v>41</v>
      </c>
      <c r="C33" s="38">
        <v>5.7200000000000001E-2</v>
      </c>
      <c r="D33" s="5"/>
    </row>
    <row r="34" spans="2:4">
      <c r="B34" s="15" t="s">
        <v>42</v>
      </c>
      <c r="C34" s="38">
        <f>((C18*C32)+(C20*C33))/(C18+C20)</f>
        <v>4.0664285714285715E-2</v>
      </c>
      <c r="D34" s="5"/>
    </row>
    <row r="35" spans="2:4">
      <c r="B35" s="15" t="s">
        <v>43</v>
      </c>
      <c r="C35" s="39">
        <v>7.0000000000000007E-2</v>
      </c>
      <c r="D35" s="5"/>
    </row>
    <row r="36" spans="2:4">
      <c r="B36" s="15" t="s">
        <v>44</v>
      </c>
      <c r="C36" s="40">
        <v>7.0000000000000007E-2</v>
      </c>
      <c r="D36" s="5"/>
    </row>
    <row r="37" spans="2:4">
      <c r="B37" s="15" t="s">
        <v>45</v>
      </c>
      <c r="C37" s="40">
        <v>0.38</v>
      </c>
      <c r="D37" s="5"/>
    </row>
    <row r="38" spans="2:4">
      <c r="B38" s="15" t="s">
        <v>46</v>
      </c>
      <c r="C38" s="41">
        <f>C36*(1-C37)</f>
        <v>4.3400000000000001E-2</v>
      </c>
      <c r="D38" s="5"/>
    </row>
  </sheetData>
  <mergeCells count="3">
    <mergeCell ref="B13:J13"/>
    <mergeCell ref="B17:J17"/>
    <mergeCell ref="B23:J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21"/>
  <sheetViews>
    <sheetView topLeftCell="A125" zoomScale="80" zoomScaleNormal="80" workbookViewId="0" xr3:uid="{958C4451-9541-5A59-BF78-D2F731DF1C81}">
      <selection activeCell="B85" sqref="B85"/>
    </sheetView>
  </sheetViews>
  <sheetFormatPr defaultRowHeight="15"/>
  <cols>
    <col min="1" max="1" width="6.5703125" style="20" customWidth="1"/>
    <col min="2" max="2" width="9.5703125" customWidth="1"/>
    <col min="3" max="3" width="19.42578125" customWidth="1"/>
    <col min="4" max="4" width="12.28515625" customWidth="1"/>
    <col min="5" max="5" width="13.5703125" customWidth="1"/>
    <col min="6" max="6" width="11.140625" customWidth="1"/>
    <col min="7" max="7" width="12.28515625" customWidth="1"/>
    <col min="8" max="8" width="8.85546875" customWidth="1"/>
    <col min="9" max="10" width="13.7109375" customWidth="1"/>
    <col min="11" max="11" width="10.7109375" customWidth="1"/>
    <col min="12" max="12" width="10.7109375" style="16" customWidth="1"/>
    <col min="13" max="13" width="10.7109375" customWidth="1"/>
    <col min="14" max="14" width="9.5703125" customWidth="1"/>
  </cols>
  <sheetData>
    <row r="1" spans="1:36">
      <c r="K1" s="65" t="s">
        <v>47</v>
      </c>
      <c r="L1" s="65"/>
      <c r="M1" s="65"/>
      <c r="N1" s="65"/>
      <c r="P1" s="22" t="s">
        <v>48</v>
      </c>
      <c r="Q1" s="22"/>
      <c r="R1" s="23"/>
      <c r="S1" s="23"/>
      <c r="T1" s="22" t="s">
        <v>48</v>
      </c>
      <c r="U1" s="22"/>
      <c r="V1" s="23"/>
      <c r="W1" s="23"/>
      <c r="X1" s="23"/>
      <c r="Y1" s="65" t="s">
        <v>49</v>
      </c>
      <c r="Z1" s="65"/>
      <c r="AA1" s="65"/>
      <c r="AB1" s="65"/>
      <c r="AC1" s="65"/>
      <c r="AD1" s="65"/>
      <c r="AE1" s="65"/>
      <c r="AF1" s="65"/>
    </row>
    <row r="2" spans="1:36">
      <c r="K2" s="16" t="s">
        <v>50</v>
      </c>
      <c r="L2" s="16" t="s">
        <v>51</v>
      </c>
      <c r="M2" t="s">
        <v>52</v>
      </c>
      <c r="N2" t="s">
        <v>53</v>
      </c>
      <c r="P2" s="67" t="s">
        <v>50</v>
      </c>
      <c r="Q2" s="67"/>
      <c r="R2" s="67" t="s">
        <v>51</v>
      </c>
      <c r="S2" s="67"/>
      <c r="T2" s="67" t="s">
        <v>52</v>
      </c>
      <c r="U2" s="67"/>
      <c r="V2" s="67" t="s">
        <v>53</v>
      </c>
      <c r="W2" s="67"/>
    </row>
    <row r="3" spans="1:36">
      <c r="A3" s="66" t="s">
        <v>54</v>
      </c>
      <c r="B3" s="66"/>
      <c r="C3" s="66"/>
      <c r="D3" s="66"/>
      <c r="E3" s="66"/>
      <c r="F3" s="66"/>
      <c r="G3" s="66"/>
      <c r="H3" s="66"/>
      <c r="I3" s="66"/>
      <c r="J3" s="58"/>
    </row>
    <row r="4" spans="1:36">
      <c r="A4" s="19" t="s">
        <v>55</v>
      </c>
      <c r="B4" s="18" t="s">
        <v>56</v>
      </c>
      <c r="C4" s="16" t="s">
        <v>57</v>
      </c>
      <c r="D4" s="18" t="s">
        <v>58</v>
      </c>
      <c r="E4" s="18" t="s">
        <v>59</v>
      </c>
      <c r="F4" s="18" t="s">
        <v>60</v>
      </c>
      <c r="G4" s="18" t="s">
        <v>61</v>
      </c>
      <c r="H4" s="18" t="s">
        <v>62</v>
      </c>
      <c r="I4" s="18" t="s">
        <v>63</v>
      </c>
      <c r="J4" s="18"/>
      <c r="K4" s="16" t="s">
        <v>64</v>
      </c>
      <c r="L4" s="16" t="s">
        <v>65</v>
      </c>
      <c r="M4" s="30" t="s">
        <v>66</v>
      </c>
      <c r="P4" s="57" t="s">
        <v>67</v>
      </c>
      <c r="Q4" s="57" t="s">
        <v>68</v>
      </c>
      <c r="R4" s="57" t="s">
        <v>67</v>
      </c>
      <c r="S4" s="57" t="s">
        <v>68</v>
      </c>
      <c r="T4" s="57" t="s">
        <v>67</v>
      </c>
      <c r="U4" s="57" t="s">
        <v>68</v>
      </c>
      <c r="V4" s="57" t="s">
        <v>67</v>
      </c>
      <c r="W4" s="57" t="s">
        <v>68</v>
      </c>
      <c r="Z4" s="57" t="s">
        <v>50</v>
      </c>
      <c r="AC4" s="57" t="s">
        <v>53</v>
      </c>
      <c r="AF4" s="57" t="s">
        <v>51</v>
      </c>
      <c r="AI4" s="3" t="s">
        <v>52</v>
      </c>
    </row>
    <row r="5" spans="1:36">
      <c r="A5" s="20">
        <v>0</v>
      </c>
      <c r="B5" s="16">
        <f>-Datasheet!C14</f>
        <v>-22.4972636</v>
      </c>
      <c r="C5" s="16"/>
      <c r="D5" s="16"/>
      <c r="E5" s="16"/>
      <c r="F5" s="16"/>
      <c r="G5" s="16"/>
      <c r="H5" s="16"/>
      <c r="I5" s="16">
        <f>B5+C5+D5+E5+F5+G5</f>
        <v>-22.4972636</v>
      </c>
      <c r="J5" s="16"/>
      <c r="K5" s="16">
        <f>I5-I61</f>
        <v>-1.2496435999999989</v>
      </c>
      <c r="L5" s="16">
        <f>I61-I89</f>
        <v>-2.7459525000000014</v>
      </c>
      <c r="M5" s="16">
        <f>I89-I33</f>
        <v>-2.0016674999999999</v>
      </c>
      <c r="P5" s="16">
        <f>B5+C5+D5+E5+F5</f>
        <v>-22.4972636</v>
      </c>
      <c r="Q5" s="16">
        <f>G5+H5</f>
        <v>0</v>
      </c>
      <c r="R5" s="16">
        <f>B61+C61+D61+E61+F61</f>
        <v>-21.247620000000001</v>
      </c>
      <c r="S5" s="16">
        <f>G61+H61</f>
        <v>0</v>
      </c>
      <c r="T5" s="16">
        <f>B89+C89+D89+E89+F89</f>
        <v>-18.5016675</v>
      </c>
      <c r="U5" s="16">
        <f>G89+H89</f>
        <v>0</v>
      </c>
      <c r="V5" s="16">
        <f>B33+C33+D33+E33+F33</f>
        <v>-16.5</v>
      </c>
      <c r="W5" s="16">
        <f>G33+H33</f>
        <v>0</v>
      </c>
      <c r="Y5">
        <v>0</v>
      </c>
    </row>
    <row r="6" spans="1:36">
      <c r="A6" s="20">
        <v>1</v>
      </c>
      <c r="B6" s="16"/>
      <c r="C6" s="16">
        <f>-Datasheet!C15</f>
        <v>-1.051274</v>
      </c>
      <c r="D6" s="16"/>
      <c r="E6" s="16"/>
      <c r="F6" s="16">
        <f>-Datasheet!C21</f>
        <v>-0.1716</v>
      </c>
      <c r="G6" s="16">
        <f>Datasheet!C24</f>
        <v>4.5054600000000002</v>
      </c>
      <c r="H6" s="16"/>
      <c r="I6" s="16">
        <f>B6+C6+D6+E6+F6+G6</f>
        <v>3.2825860000000002</v>
      </c>
      <c r="J6" s="16"/>
      <c r="K6" s="16">
        <f t="shared" ref="K6:K25" si="0">I6-I62</f>
        <v>0.15193600000000007</v>
      </c>
      <c r="L6" s="16">
        <f t="shared" ref="L6:L25" si="1">I62-I90</f>
        <v>0.67790000000000017</v>
      </c>
      <c r="M6" s="16">
        <f t="shared" ref="M6:M25" si="2">I90-I34</f>
        <v>0.13284999999999947</v>
      </c>
      <c r="P6" s="16">
        <f t="shared" ref="P6:P25" si="3">B6+C6+D6+E6+F6</f>
        <v>-1.222874</v>
      </c>
      <c r="Q6" s="16">
        <f t="shared" ref="Q6:Q25" si="4">G6+H6</f>
        <v>4.5054600000000002</v>
      </c>
      <c r="R6" s="16">
        <f t="shared" ref="R6:R25" si="5">B62+C62+D62+E62+F62</f>
        <v>-1.39815</v>
      </c>
      <c r="S6" s="16">
        <f t="shared" ref="S6:S25" si="6">G62+H62</f>
        <v>4.5288000000000004</v>
      </c>
      <c r="T6" s="16">
        <f t="shared" ref="T6:T25" si="7">B90+C90+D90+E90+F90</f>
        <v>-0.69646999999999992</v>
      </c>
      <c r="U6" s="16">
        <f t="shared" ref="U6:U25" si="8">G90+H90</f>
        <v>3.1492200000000001</v>
      </c>
      <c r="V6" s="16">
        <f t="shared" ref="V6:V25" si="9">B34+C34+D34+E34+F34</f>
        <v>-1.2441</v>
      </c>
      <c r="W6" s="16">
        <f t="shared" ref="W6:W25" si="10">G34+H34</f>
        <v>3.5640000000000005</v>
      </c>
      <c r="Y6">
        <v>1</v>
      </c>
      <c r="Z6" s="16">
        <f t="shared" ref="Z6:Z26" si="11">C6+D6+E6+F6+G6</f>
        <v>3.2825860000000002</v>
      </c>
      <c r="AA6" s="16">
        <f>Z6</f>
        <v>3.2825860000000002</v>
      </c>
      <c r="AB6" s="16"/>
      <c r="AC6" s="16">
        <f t="shared" ref="AC6:AC25" si="12">C34+D34+E34+F34+G34</f>
        <v>2.3199000000000005</v>
      </c>
      <c r="AD6" s="16">
        <f>AC6</f>
        <v>2.3199000000000005</v>
      </c>
      <c r="AE6" s="16"/>
      <c r="AF6" s="16">
        <f t="shared" ref="AF6:AF25" si="13">C62+D62+E62+F62+G62</f>
        <v>3.1306500000000002</v>
      </c>
      <c r="AG6" s="16">
        <f>AF6</f>
        <v>3.1306500000000002</v>
      </c>
      <c r="AI6" s="16">
        <f t="shared" ref="AI6:AI25" si="14">C90+D90+E90+F90+G90</f>
        <v>2.45275</v>
      </c>
      <c r="AJ6" s="16">
        <f>AI6</f>
        <v>2.45275</v>
      </c>
    </row>
    <row r="7" spans="1:36">
      <c r="A7" s="20">
        <v>2</v>
      </c>
      <c r="B7" s="16"/>
      <c r="C7" s="16">
        <f>$C$6</f>
        <v>-1.051274</v>
      </c>
      <c r="D7" s="16"/>
      <c r="E7" s="16"/>
      <c r="F7" s="16">
        <f>-Datasheet!C21</f>
        <v>-0.1716</v>
      </c>
      <c r="G7" s="16">
        <f>$G$6</f>
        <v>4.5054600000000002</v>
      </c>
      <c r="H7" s="16"/>
      <c r="I7" s="16">
        <f t="shared" ref="I7:I24" si="15">B7+C7+D7+E7+F7+G7</f>
        <v>3.2825860000000002</v>
      </c>
      <c r="J7" s="16"/>
      <c r="K7" s="16">
        <f t="shared" si="0"/>
        <v>0.15193600000000007</v>
      </c>
      <c r="L7" s="16">
        <f t="shared" si="1"/>
        <v>0.67790000000000017</v>
      </c>
      <c r="M7" s="16">
        <f t="shared" si="2"/>
        <v>0.13284999999999947</v>
      </c>
      <c r="P7" s="16">
        <f t="shared" si="3"/>
        <v>-1.222874</v>
      </c>
      <c r="Q7" s="16">
        <f t="shared" si="4"/>
        <v>4.5054600000000002</v>
      </c>
      <c r="R7" s="16">
        <f t="shared" si="5"/>
        <v>-1.39815</v>
      </c>
      <c r="S7" s="16">
        <f t="shared" si="6"/>
        <v>4.5288000000000004</v>
      </c>
      <c r="T7" s="16">
        <f t="shared" si="7"/>
        <v>-0.69646999999999992</v>
      </c>
      <c r="U7" s="16">
        <f t="shared" si="8"/>
        <v>3.1492200000000001</v>
      </c>
      <c r="V7" s="16">
        <f t="shared" si="9"/>
        <v>-1.2441</v>
      </c>
      <c r="W7" s="16">
        <f t="shared" si="10"/>
        <v>3.5640000000000005</v>
      </c>
      <c r="Y7">
        <v>2</v>
      </c>
      <c r="Z7" s="16">
        <f t="shared" si="11"/>
        <v>3.2825860000000002</v>
      </c>
      <c r="AA7" s="16">
        <f>AA6+Z7</f>
        <v>6.5651720000000005</v>
      </c>
      <c r="AB7" s="16"/>
      <c r="AC7" s="16">
        <f t="shared" si="12"/>
        <v>2.3199000000000005</v>
      </c>
      <c r="AD7" s="16">
        <f>AD6+AC7</f>
        <v>4.639800000000001</v>
      </c>
      <c r="AE7" s="16"/>
      <c r="AF7" s="16">
        <f t="shared" si="13"/>
        <v>3.1306500000000002</v>
      </c>
      <c r="AG7" s="16">
        <f>AG6+AF7</f>
        <v>6.2613000000000003</v>
      </c>
      <c r="AI7" s="16">
        <f t="shared" si="14"/>
        <v>2.45275</v>
      </c>
      <c r="AJ7" s="16">
        <f>AJ6+AI7</f>
        <v>4.9055</v>
      </c>
    </row>
    <row r="8" spans="1:36">
      <c r="A8" s="20">
        <v>3</v>
      </c>
      <c r="B8" s="16"/>
      <c r="C8" s="16">
        <f t="shared" ref="C8:C25" si="16">$C$6</f>
        <v>-1.051274</v>
      </c>
      <c r="D8" s="16"/>
      <c r="E8" s="16"/>
      <c r="F8" s="16">
        <f>-Datasheet!C21</f>
        <v>-0.1716</v>
      </c>
      <c r="G8" s="16">
        <f t="shared" ref="G8:G25" si="17">$G$6</f>
        <v>4.5054600000000002</v>
      </c>
      <c r="H8" s="16"/>
      <c r="I8" s="16">
        <f t="shared" si="15"/>
        <v>3.2825860000000002</v>
      </c>
      <c r="J8" s="16"/>
      <c r="K8" s="16">
        <f t="shared" si="0"/>
        <v>0.15193600000000007</v>
      </c>
      <c r="L8" s="16">
        <f t="shared" si="1"/>
        <v>0.67790000000000017</v>
      </c>
      <c r="M8" s="16">
        <f t="shared" si="2"/>
        <v>0.13284999999999947</v>
      </c>
      <c r="P8" s="16">
        <f t="shared" si="3"/>
        <v>-1.222874</v>
      </c>
      <c r="Q8" s="16">
        <f t="shared" si="4"/>
        <v>4.5054600000000002</v>
      </c>
      <c r="R8" s="16">
        <f t="shared" si="5"/>
        <v>-1.39815</v>
      </c>
      <c r="S8" s="16">
        <f t="shared" si="6"/>
        <v>4.5288000000000004</v>
      </c>
      <c r="T8" s="16">
        <f t="shared" si="7"/>
        <v>-0.69646999999999992</v>
      </c>
      <c r="U8" s="16">
        <f t="shared" si="8"/>
        <v>3.1492200000000001</v>
      </c>
      <c r="V8" s="16">
        <f t="shared" si="9"/>
        <v>-1.2441</v>
      </c>
      <c r="W8" s="16">
        <f t="shared" si="10"/>
        <v>3.5640000000000005</v>
      </c>
      <c r="Y8">
        <v>3</v>
      </c>
      <c r="Z8" s="16">
        <f t="shared" si="11"/>
        <v>3.2825860000000002</v>
      </c>
      <c r="AA8" s="16">
        <f t="shared" ref="AA8:AA15" si="18">AA7+Z8</f>
        <v>9.8477580000000007</v>
      </c>
      <c r="AB8" s="16"/>
      <c r="AC8" s="16">
        <f t="shared" si="12"/>
        <v>2.3199000000000005</v>
      </c>
      <c r="AD8" s="16">
        <f t="shared" ref="AD8:AD25" si="19">AD7+AC8</f>
        <v>6.9597000000000016</v>
      </c>
      <c r="AE8" s="16"/>
      <c r="AF8" s="16">
        <f t="shared" si="13"/>
        <v>3.1306500000000002</v>
      </c>
      <c r="AG8" s="16">
        <f t="shared" ref="AG8:AG25" si="20">AG7+AF8</f>
        <v>9.3919500000000014</v>
      </c>
      <c r="AI8" s="16">
        <f t="shared" si="14"/>
        <v>2.45275</v>
      </c>
      <c r="AJ8" s="16">
        <f t="shared" ref="AJ8:AJ25" si="21">AJ7+AI8</f>
        <v>7.35825</v>
      </c>
    </row>
    <row r="9" spans="1:36">
      <c r="A9" s="20">
        <v>4</v>
      </c>
      <c r="B9" s="16"/>
      <c r="C9" s="16">
        <f t="shared" si="16"/>
        <v>-1.051274</v>
      </c>
      <c r="D9" s="16"/>
      <c r="E9" s="16"/>
      <c r="F9" s="16">
        <f>-Datasheet!C21</f>
        <v>-0.1716</v>
      </c>
      <c r="G9" s="16">
        <f t="shared" si="17"/>
        <v>4.5054600000000002</v>
      </c>
      <c r="H9" s="16"/>
      <c r="I9" s="16">
        <f>B9+C9+D9+E9+F9+G9</f>
        <v>3.2825860000000002</v>
      </c>
      <c r="J9" s="16"/>
      <c r="K9" s="16">
        <f t="shared" si="0"/>
        <v>0.15193600000000007</v>
      </c>
      <c r="L9" s="16">
        <f t="shared" si="1"/>
        <v>0.67790000000000017</v>
      </c>
      <c r="M9" s="16">
        <f t="shared" si="2"/>
        <v>0.13284999999999947</v>
      </c>
      <c r="P9" s="16">
        <f t="shared" si="3"/>
        <v>-1.222874</v>
      </c>
      <c r="Q9" s="16">
        <f t="shared" si="4"/>
        <v>4.5054600000000002</v>
      </c>
      <c r="R9" s="16">
        <f t="shared" si="5"/>
        <v>-1.39815</v>
      </c>
      <c r="S9" s="16">
        <f t="shared" si="6"/>
        <v>4.5288000000000004</v>
      </c>
      <c r="T9" s="16">
        <f t="shared" si="7"/>
        <v>-0.69646999999999992</v>
      </c>
      <c r="U9" s="16">
        <f t="shared" si="8"/>
        <v>3.1492200000000001</v>
      </c>
      <c r="V9" s="16">
        <f t="shared" si="9"/>
        <v>-1.2441</v>
      </c>
      <c r="W9" s="16">
        <f t="shared" si="10"/>
        <v>3.5640000000000005</v>
      </c>
      <c r="Y9">
        <v>4</v>
      </c>
      <c r="Z9" s="16">
        <f t="shared" si="11"/>
        <v>3.2825860000000002</v>
      </c>
      <c r="AA9" s="16">
        <f t="shared" si="18"/>
        <v>13.130344000000001</v>
      </c>
      <c r="AB9" s="16"/>
      <c r="AC9" s="16">
        <f t="shared" si="12"/>
        <v>2.3199000000000005</v>
      </c>
      <c r="AD9" s="16">
        <f t="shared" si="19"/>
        <v>9.2796000000000021</v>
      </c>
      <c r="AE9" s="16"/>
      <c r="AF9" s="16">
        <f t="shared" si="13"/>
        <v>3.1306500000000002</v>
      </c>
      <c r="AG9" s="16">
        <f t="shared" si="20"/>
        <v>12.522600000000001</v>
      </c>
      <c r="AI9" s="16">
        <f t="shared" si="14"/>
        <v>2.45275</v>
      </c>
      <c r="AJ9" s="16">
        <f t="shared" si="21"/>
        <v>9.8109999999999999</v>
      </c>
    </row>
    <row r="10" spans="1:36">
      <c r="A10" s="20">
        <v>5</v>
      </c>
      <c r="B10" s="16"/>
      <c r="C10" s="16">
        <f t="shared" si="16"/>
        <v>-1.051274</v>
      </c>
      <c r="D10" s="16"/>
      <c r="E10" s="16"/>
      <c r="F10" s="16">
        <f>-Datasheet!C21</f>
        <v>-0.1716</v>
      </c>
      <c r="G10" s="16">
        <f t="shared" si="17"/>
        <v>4.5054600000000002</v>
      </c>
      <c r="H10" s="16"/>
      <c r="I10" s="16">
        <f t="shared" si="15"/>
        <v>3.2825860000000002</v>
      </c>
      <c r="J10" s="16"/>
      <c r="K10" s="16">
        <f t="shared" si="0"/>
        <v>0.15193600000000007</v>
      </c>
      <c r="L10" s="16">
        <f t="shared" si="1"/>
        <v>0.67790000000000017</v>
      </c>
      <c r="M10" s="16">
        <f t="shared" si="2"/>
        <v>0.13284999999999947</v>
      </c>
      <c r="P10" s="16">
        <f t="shared" si="3"/>
        <v>-1.222874</v>
      </c>
      <c r="Q10" s="16">
        <f t="shared" si="4"/>
        <v>4.5054600000000002</v>
      </c>
      <c r="R10" s="16">
        <f t="shared" si="5"/>
        <v>-1.39815</v>
      </c>
      <c r="S10" s="16">
        <f t="shared" si="6"/>
        <v>4.5288000000000004</v>
      </c>
      <c r="T10" s="16">
        <f t="shared" si="7"/>
        <v>-0.69646999999999992</v>
      </c>
      <c r="U10" s="16">
        <f t="shared" si="8"/>
        <v>3.1492200000000001</v>
      </c>
      <c r="V10" s="16">
        <f t="shared" si="9"/>
        <v>-1.2441</v>
      </c>
      <c r="W10" s="16">
        <f t="shared" si="10"/>
        <v>3.5640000000000005</v>
      </c>
      <c r="Y10">
        <v>5</v>
      </c>
      <c r="Z10" s="16">
        <f t="shared" si="11"/>
        <v>3.2825860000000002</v>
      </c>
      <c r="AA10" s="16">
        <f t="shared" si="18"/>
        <v>16.412930000000003</v>
      </c>
      <c r="AB10" s="16"/>
      <c r="AC10" s="16">
        <f t="shared" si="12"/>
        <v>2.3199000000000005</v>
      </c>
      <c r="AD10" s="16">
        <f t="shared" si="19"/>
        <v>11.599500000000003</v>
      </c>
      <c r="AE10" s="16"/>
      <c r="AF10" s="16">
        <f t="shared" si="13"/>
        <v>3.1306500000000002</v>
      </c>
      <c r="AG10" s="16">
        <f t="shared" si="20"/>
        <v>15.65325</v>
      </c>
      <c r="AI10" s="16">
        <f t="shared" si="14"/>
        <v>2.45275</v>
      </c>
      <c r="AJ10" s="16">
        <f t="shared" si="21"/>
        <v>12.26375</v>
      </c>
    </row>
    <row r="11" spans="1:36">
      <c r="A11" s="20">
        <v>6</v>
      </c>
      <c r="B11" s="16"/>
      <c r="C11" s="16">
        <f t="shared" si="16"/>
        <v>-1.051274</v>
      </c>
      <c r="D11" s="16">
        <f>-Datasheet!C16</f>
        <v>-0.901092</v>
      </c>
      <c r="E11" s="16"/>
      <c r="F11" s="16">
        <f>-Datasheet!C21</f>
        <v>-0.1716</v>
      </c>
      <c r="G11" s="16">
        <f t="shared" si="17"/>
        <v>4.5054600000000002</v>
      </c>
      <c r="H11" s="16"/>
      <c r="I11" s="16">
        <f t="shared" si="15"/>
        <v>2.381494</v>
      </c>
      <c r="J11" s="16"/>
      <c r="K11" s="16">
        <f t="shared" si="0"/>
        <v>-0.74915600000000016</v>
      </c>
      <c r="L11" s="16">
        <f t="shared" si="1"/>
        <v>0.67790000000000017</v>
      </c>
      <c r="M11" s="16">
        <f t="shared" si="2"/>
        <v>1.1723499999999998</v>
      </c>
      <c r="P11" s="16">
        <f t="shared" si="3"/>
        <v>-2.1239660000000002</v>
      </c>
      <c r="Q11" s="16">
        <f t="shared" si="4"/>
        <v>4.5054600000000002</v>
      </c>
      <c r="R11" s="16">
        <f t="shared" si="5"/>
        <v>-1.39815</v>
      </c>
      <c r="S11" s="16">
        <f t="shared" si="6"/>
        <v>4.5288000000000004</v>
      </c>
      <c r="T11" s="16">
        <f t="shared" si="7"/>
        <v>-0.69646999999999992</v>
      </c>
      <c r="U11" s="16">
        <f t="shared" si="8"/>
        <v>3.1492200000000001</v>
      </c>
      <c r="V11" s="16">
        <f t="shared" si="9"/>
        <v>-2.2836000000000003</v>
      </c>
      <c r="W11" s="16">
        <f t="shared" si="10"/>
        <v>3.5640000000000005</v>
      </c>
      <c r="Y11">
        <v>6</v>
      </c>
      <c r="Z11" s="16">
        <f t="shared" si="11"/>
        <v>2.381494</v>
      </c>
      <c r="AA11" s="16">
        <f t="shared" si="18"/>
        <v>18.794424000000003</v>
      </c>
      <c r="AB11" s="16"/>
      <c r="AC11" s="16">
        <f t="shared" si="12"/>
        <v>1.2804000000000002</v>
      </c>
      <c r="AD11" s="16">
        <f t="shared" si="19"/>
        <v>12.879900000000003</v>
      </c>
      <c r="AE11" s="16"/>
      <c r="AF11" s="16">
        <f t="shared" si="13"/>
        <v>3.1306500000000002</v>
      </c>
      <c r="AG11" s="16">
        <f t="shared" si="20"/>
        <v>18.783899999999999</v>
      </c>
      <c r="AI11" s="16">
        <f t="shared" si="14"/>
        <v>2.45275</v>
      </c>
      <c r="AJ11" s="16">
        <f t="shared" si="21"/>
        <v>14.7165</v>
      </c>
    </row>
    <row r="12" spans="1:36">
      <c r="A12" s="20">
        <v>7</v>
      </c>
      <c r="B12" s="16"/>
      <c r="C12" s="16">
        <f t="shared" si="16"/>
        <v>-1.051274</v>
      </c>
      <c r="D12" s="16"/>
      <c r="E12" s="16">
        <f>-Datasheet!C19</f>
        <v>-9.4809539255074906</v>
      </c>
      <c r="F12" s="16">
        <f>-Datasheet!C21</f>
        <v>-0.1716</v>
      </c>
      <c r="G12" s="16">
        <f t="shared" si="17"/>
        <v>4.5054600000000002</v>
      </c>
      <c r="H12" s="16"/>
      <c r="I12" s="16">
        <f t="shared" si="15"/>
        <v>-6.1983679255074895</v>
      </c>
      <c r="J12" s="16"/>
      <c r="K12" s="16">
        <f t="shared" si="0"/>
        <v>-1.428222987584582</v>
      </c>
      <c r="L12" s="16">
        <f t="shared" si="1"/>
        <v>-2.7984497726860789</v>
      </c>
      <c r="M12" s="16">
        <f t="shared" si="2"/>
        <v>-2.3954043801353309</v>
      </c>
      <c r="P12" s="16">
        <f t="shared" si="3"/>
        <v>-10.70382792550749</v>
      </c>
      <c r="Q12" s="16">
        <f t="shared" si="4"/>
        <v>4.5054600000000002</v>
      </c>
      <c r="R12" s="16">
        <f t="shared" si="5"/>
        <v>-9.2989449379229079</v>
      </c>
      <c r="S12" s="16">
        <f t="shared" si="6"/>
        <v>4.5288000000000004</v>
      </c>
      <c r="T12" s="16">
        <f t="shared" si="7"/>
        <v>-5.1209151652368288</v>
      </c>
      <c r="U12" s="16">
        <f t="shared" si="8"/>
        <v>3.1492200000000001</v>
      </c>
      <c r="V12" s="16">
        <f t="shared" si="9"/>
        <v>-3.1402907851014983</v>
      </c>
      <c r="W12" s="16">
        <f t="shared" si="10"/>
        <v>3.5640000000000005</v>
      </c>
      <c r="Y12">
        <v>7</v>
      </c>
      <c r="Z12" s="16">
        <f t="shared" si="11"/>
        <v>-6.1983679255074895</v>
      </c>
      <c r="AA12" s="16">
        <f t="shared" si="18"/>
        <v>12.596056074492513</v>
      </c>
      <c r="AB12" s="16"/>
      <c r="AC12" s="16">
        <f t="shared" si="12"/>
        <v>0.42370921489850222</v>
      </c>
      <c r="AD12" s="16">
        <f t="shared" si="19"/>
        <v>13.303609214898504</v>
      </c>
      <c r="AE12" s="16"/>
      <c r="AF12" s="16">
        <f t="shared" si="13"/>
        <v>-4.7701449379229075</v>
      </c>
      <c r="AG12" s="16">
        <f t="shared" si="20"/>
        <v>14.013755062077092</v>
      </c>
      <c r="AI12" s="16">
        <f t="shared" si="14"/>
        <v>-1.9716951652368286</v>
      </c>
      <c r="AJ12" s="16">
        <f t="shared" si="21"/>
        <v>12.744804834763171</v>
      </c>
    </row>
    <row r="13" spans="1:36">
      <c r="A13" s="20">
        <v>8</v>
      </c>
      <c r="B13" s="16"/>
      <c r="C13" s="16">
        <f t="shared" si="16"/>
        <v>-1.051274</v>
      </c>
      <c r="D13" s="16"/>
      <c r="E13" s="16"/>
      <c r="F13" s="16">
        <f>-Datasheet!C21</f>
        <v>-0.1716</v>
      </c>
      <c r="G13" s="16">
        <f t="shared" si="17"/>
        <v>4.5054600000000002</v>
      </c>
      <c r="H13" s="16"/>
      <c r="I13" s="16">
        <f t="shared" si="15"/>
        <v>3.2825860000000002</v>
      </c>
      <c r="J13" s="16"/>
      <c r="K13" s="16">
        <f t="shared" si="0"/>
        <v>1.3407459999999998</v>
      </c>
      <c r="L13" s="16">
        <f t="shared" si="1"/>
        <v>-0.19598799999999983</v>
      </c>
      <c r="M13" s="16">
        <f t="shared" si="2"/>
        <v>-0.18207200000000023</v>
      </c>
      <c r="P13" s="16">
        <f t="shared" si="3"/>
        <v>-1.222874</v>
      </c>
      <c r="Q13" s="16">
        <f t="shared" si="4"/>
        <v>4.5054600000000002</v>
      </c>
      <c r="R13" s="16">
        <f t="shared" si="5"/>
        <v>-2.5869599999999999</v>
      </c>
      <c r="S13" s="16">
        <f t="shared" si="6"/>
        <v>4.5288000000000004</v>
      </c>
      <c r="T13" s="16">
        <f t="shared" si="7"/>
        <v>-1.0113919999999998</v>
      </c>
      <c r="U13" s="16">
        <f t="shared" si="8"/>
        <v>3.1492200000000001</v>
      </c>
      <c r="V13" s="16">
        <f t="shared" si="9"/>
        <v>-1.2441</v>
      </c>
      <c r="W13" s="16">
        <f t="shared" si="10"/>
        <v>3.5640000000000005</v>
      </c>
      <c r="Y13">
        <v>8</v>
      </c>
      <c r="Z13" s="16">
        <f t="shared" si="11"/>
        <v>3.2825860000000002</v>
      </c>
      <c r="AA13" s="16">
        <f t="shared" si="18"/>
        <v>15.878642074492513</v>
      </c>
      <c r="AB13" s="16"/>
      <c r="AC13" s="16">
        <f t="shared" si="12"/>
        <v>2.3199000000000005</v>
      </c>
      <c r="AD13" s="16">
        <f t="shared" si="19"/>
        <v>15.623509214898505</v>
      </c>
      <c r="AE13" s="16"/>
      <c r="AF13" s="16">
        <f t="shared" si="13"/>
        <v>1.9418400000000005</v>
      </c>
      <c r="AG13" s="16">
        <f t="shared" si="20"/>
        <v>15.955595062077093</v>
      </c>
      <c r="AI13" s="16">
        <f t="shared" si="14"/>
        <v>2.1378280000000003</v>
      </c>
      <c r="AJ13" s="16">
        <f t="shared" si="21"/>
        <v>14.882632834763172</v>
      </c>
    </row>
    <row r="14" spans="1:36">
      <c r="A14" s="20">
        <v>9</v>
      </c>
      <c r="B14" s="16"/>
      <c r="C14" s="16">
        <f t="shared" si="16"/>
        <v>-1.051274</v>
      </c>
      <c r="D14" s="16"/>
      <c r="E14" s="16"/>
      <c r="F14" s="16">
        <f>-Datasheet!C21</f>
        <v>-0.1716</v>
      </c>
      <c r="G14" s="16">
        <f t="shared" si="17"/>
        <v>4.5054600000000002</v>
      </c>
      <c r="H14" s="16"/>
      <c r="I14" s="16">
        <f t="shared" si="15"/>
        <v>3.2825860000000002</v>
      </c>
      <c r="J14" s="16"/>
      <c r="K14" s="16">
        <f t="shared" si="0"/>
        <v>0.15193600000000007</v>
      </c>
      <c r="L14" s="16">
        <f t="shared" si="1"/>
        <v>0.67790000000000017</v>
      </c>
      <c r="M14" s="16">
        <f t="shared" si="2"/>
        <v>0.13284999999999947</v>
      </c>
      <c r="P14" s="16">
        <f t="shared" si="3"/>
        <v>-1.222874</v>
      </c>
      <c r="Q14" s="16">
        <f t="shared" si="4"/>
        <v>4.5054600000000002</v>
      </c>
      <c r="R14" s="16">
        <f t="shared" si="5"/>
        <v>-1.39815</v>
      </c>
      <c r="S14" s="16">
        <f t="shared" si="6"/>
        <v>4.5288000000000004</v>
      </c>
      <c r="T14" s="16">
        <f t="shared" si="7"/>
        <v>-0.69646999999999992</v>
      </c>
      <c r="U14" s="16">
        <f t="shared" si="8"/>
        <v>3.1492200000000001</v>
      </c>
      <c r="V14" s="16">
        <f t="shared" si="9"/>
        <v>-1.2441</v>
      </c>
      <c r="W14" s="16">
        <f t="shared" si="10"/>
        <v>3.5640000000000005</v>
      </c>
      <c r="Y14">
        <v>9</v>
      </c>
      <c r="Z14" s="16">
        <f t="shared" si="11"/>
        <v>3.2825860000000002</v>
      </c>
      <c r="AA14" s="16">
        <f t="shared" si="18"/>
        <v>19.161228074492513</v>
      </c>
      <c r="AB14" s="16"/>
      <c r="AC14" s="16">
        <f t="shared" si="12"/>
        <v>2.3199000000000005</v>
      </c>
      <c r="AD14" s="21">
        <f>AD13+AC14</f>
        <v>17.943409214898505</v>
      </c>
      <c r="AE14" s="16"/>
      <c r="AF14" s="16">
        <f t="shared" si="13"/>
        <v>3.1306500000000002</v>
      </c>
      <c r="AG14" s="16">
        <f t="shared" si="20"/>
        <v>19.086245062077094</v>
      </c>
      <c r="AI14" s="16">
        <f t="shared" si="14"/>
        <v>2.45275</v>
      </c>
      <c r="AJ14" s="16">
        <f t="shared" si="21"/>
        <v>17.335382834763173</v>
      </c>
    </row>
    <row r="15" spans="1:36">
      <c r="A15" s="20">
        <v>10</v>
      </c>
      <c r="B15" s="16"/>
      <c r="C15" s="16">
        <f t="shared" si="16"/>
        <v>-1.051274</v>
      </c>
      <c r="D15" s="16"/>
      <c r="E15" s="16"/>
      <c r="F15" s="16">
        <f>-Datasheet!C21</f>
        <v>-0.1716</v>
      </c>
      <c r="G15" s="16">
        <f t="shared" si="17"/>
        <v>4.5054600000000002</v>
      </c>
      <c r="H15" s="16"/>
      <c r="I15" s="16">
        <f t="shared" si="15"/>
        <v>3.2825860000000002</v>
      </c>
      <c r="J15" s="16"/>
      <c r="K15" s="16">
        <f t="shared" si="0"/>
        <v>0.15193600000000007</v>
      </c>
      <c r="L15" s="16">
        <f t="shared" si="1"/>
        <v>0.67790000000000017</v>
      </c>
      <c r="M15" s="16">
        <f t="shared" si="2"/>
        <v>0.13284999999999947</v>
      </c>
      <c r="P15" s="16">
        <f t="shared" si="3"/>
        <v>-1.222874</v>
      </c>
      <c r="Q15" s="16">
        <f t="shared" si="4"/>
        <v>4.5054600000000002</v>
      </c>
      <c r="R15" s="16">
        <f t="shared" si="5"/>
        <v>-1.39815</v>
      </c>
      <c r="S15" s="16">
        <f t="shared" si="6"/>
        <v>4.5288000000000004</v>
      </c>
      <c r="T15" s="16">
        <f t="shared" si="7"/>
        <v>-0.69646999999999992</v>
      </c>
      <c r="U15" s="16">
        <f t="shared" si="8"/>
        <v>3.1492200000000001</v>
      </c>
      <c r="V15" s="16">
        <f t="shared" si="9"/>
        <v>-1.2441</v>
      </c>
      <c r="W15" s="16">
        <f t="shared" si="10"/>
        <v>3.5640000000000005</v>
      </c>
      <c r="Y15">
        <v>10</v>
      </c>
      <c r="Z15" s="16">
        <f t="shared" si="11"/>
        <v>3.2825860000000002</v>
      </c>
      <c r="AA15" s="16">
        <f t="shared" si="18"/>
        <v>22.443814074492515</v>
      </c>
      <c r="AB15" s="16"/>
      <c r="AC15" s="16">
        <f t="shared" si="12"/>
        <v>2.3199000000000005</v>
      </c>
      <c r="AD15" s="30">
        <f t="shared" si="19"/>
        <v>20.263309214898506</v>
      </c>
      <c r="AE15" s="16"/>
      <c r="AF15" s="16">
        <f t="shared" si="13"/>
        <v>3.1306500000000002</v>
      </c>
      <c r="AG15" s="21">
        <f t="shared" si="20"/>
        <v>22.216895062077093</v>
      </c>
      <c r="AI15" s="16">
        <f t="shared" si="14"/>
        <v>2.45275</v>
      </c>
      <c r="AJ15" s="21">
        <f t="shared" si="21"/>
        <v>19.788132834763175</v>
      </c>
    </row>
    <row r="16" spans="1:36">
      <c r="A16" s="20">
        <v>11</v>
      </c>
      <c r="B16" s="16"/>
      <c r="C16" s="16">
        <f t="shared" si="16"/>
        <v>-1.051274</v>
      </c>
      <c r="D16" s="16"/>
      <c r="E16" s="16"/>
      <c r="F16" s="16">
        <f>-Datasheet!C21</f>
        <v>-0.1716</v>
      </c>
      <c r="G16" s="16">
        <f t="shared" si="17"/>
        <v>4.5054600000000002</v>
      </c>
      <c r="H16" s="16"/>
      <c r="I16" s="16">
        <f t="shared" si="15"/>
        <v>3.2825860000000002</v>
      </c>
      <c r="J16" s="16"/>
      <c r="K16" s="16">
        <f t="shared" si="0"/>
        <v>0.15193600000000007</v>
      </c>
      <c r="L16" s="16">
        <f t="shared" si="1"/>
        <v>0.67790000000000017</v>
      </c>
      <c r="M16" s="16">
        <f t="shared" si="2"/>
        <v>0.13284999999999947</v>
      </c>
      <c r="P16" s="16">
        <f t="shared" si="3"/>
        <v>-1.222874</v>
      </c>
      <c r="Q16" s="16">
        <f t="shared" si="4"/>
        <v>4.5054600000000002</v>
      </c>
      <c r="R16" s="16">
        <f t="shared" si="5"/>
        <v>-1.39815</v>
      </c>
      <c r="S16" s="16">
        <f t="shared" si="6"/>
        <v>4.5288000000000004</v>
      </c>
      <c r="T16" s="16">
        <f t="shared" si="7"/>
        <v>-0.69646999999999992</v>
      </c>
      <c r="U16" s="16">
        <f t="shared" si="8"/>
        <v>3.1492200000000001</v>
      </c>
      <c r="V16" s="16">
        <f t="shared" si="9"/>
        <v>-1.2441</v>
      </c>
      <c r="W16" s="16">
        <f t="shared" si="10"/>
        <v>3.5640000000000005</v>
      </c>
      <c r="Y16">
        <v>11</v>
      </c>
      <c r="Z16" s="16">
        <f t="shared" si="11"/>
        <v>3.2825860000000002</v>
      </c>
      <c r="AA16" s="21">
        <f>AA15+Z16</f>
        <v>25.726400074492517</v>
      </c>
      <c r="AB16" s="16"/>
      <c r="AC16" s="16">
        <f t="shared" si="12"/>
        <v>2.3199000000000005</v>
      </c>
      <c r="AD16" s="30">
        <f t="shared" si="19"/>
        <v>22.583209214898506</v>
      </c>
      <c r="AE16" s="16"/>
      <c r="AF16" s="16">
        <f t="shared" si="13"/>
        <v>3.1306500000000002</v>
      </c>
      <c r="AG16" s="30">
        <f t="shared" si="20"/>
        <v>25.347545062077092</v>
      </c>
      <c r="AI16" s="16">
        <f t="shared" si="14"/>
        <v>2.45275</v>
      </c>
      <c r="AJ16" s="30">
        <f t="shared" si="21"/>
        <v>22.240882834763177</v>
      </c>
    </row>
    <row r="17" spans="1:36">
      <c r="A17" s="20">
        <v>12</v>
      </c>
      <c r="B17" s="16"/>
      <c r="C17" s="16">
        <f t="shared" si="16"/>
        <v>-1.051274</v>
      </c>
      <c r="D17" s="16">
        <f>-Datasheet!C16</f>
        <v>-0.901092</v>
      </c>
      <c r="E17" s="16"/>
      <c r="F17" s="16">
        <f>-Datasheet!C21</f>
        <v>-0.1716</v>
      </c>
      <c r="G17" s="16">
        <f t="shared" si="17"/>
        <v>4.5054600000000002</v>
      </c>
      <c r="H17" s="16"/>
      <c r="I17" s="16">
        <f t="shared" si="15"/>
        <v>2.381494</v>
      </c>
      <c r="J17" s="16"/>
      <c r="K17" s="16">
        <f t="shared" si="0"/>
        <v>-0.74915600000000016</v>
      </c>
      <c r="L17" s="16">
        <f t="shared" si="1"/>
        <v>0.67790000000000017</v>
      </c>
      <c r="M17" s="16">
        <f t="shared" si="2"/>
        <v>1.1723499999999998</v>
      </c>
      <c r="P17" s="16">
        <f t="shared" si="3"/>
        <v>-2.1239660000000002</v>
      </c>
      <c r="Q17" s="16">
        <f t="shared" si="4"/>
        <v>4.5054600000000002</v>
      </c>
      <c r="R17" s="16">
        <f t="shared" si="5"/>
        <v>-1.39815</v>
      </c>
      <c r="S17" s="16">
        <f t="shared" si="6"/>
        <v>4.5288000000000004</v>
      </c>
      <c r="T17" s="16">
        <f t="shared" si="7"/>
        <v>-0.69646999999999992</v>
      </c>
      <c r="U17" s="16">
        <f t="shared" si="8"/>
        <v>3.1492200000000001</v>
      </c>
      <c r="V17" s="16">
        <f t="shared" si="9"/>
        <v>-2.2836000000000003</v>
      </c>
      <c r="W17" s="16">
        <f t="shared" si="10"/>
        <v>3.5640000000000005</v>
      </c>
      <c r="Y17">
        <v>12</v>
      </c>
      <c r="Z17" s="16">
        <f t="shared" si="11"/>
        <v>2.381494</v>
      </c>
      <c r="AA17" s="30">
        <f t="shared" ref="AA17:AA25" si="22">AA16+Z17</f>
        <v>28.107894074492517</v>
      </c>
      <c r="AB17" s="16"/>
      <c r="AC17" s="16">
        <f t="shared" si="12"/>
        <v>1.2804000000000002</v>
      </c>
      <c r="AD17" s="30">
        <f t="shared" si="19"/>
        <v>23.863609214898506</v>
      </c>
      <c r="AE17" s="16"/>
      <c r="AF17" s="16">
        <f t="shared" si="13"/>
        <v>3.1306500000000002</v>
      </c>
      <c r="AG17" s="30">
        <f t="shared" si="20"/>
        <v>28.478195062077091</v>
      </c>
      <c r="AI17" s="16">
        <f t="shared" si="14"/>
        <v>2.45275</v>
      </c>
      <c r="AJ17" s="30">
        <f t="shared" si="21"/>
        <v>24.693632834763179</v>
      </c>
    </row>
    <row r="18" spans="1:36">
      <c r="A18" s="20">
        <v>13</v>
      </c>
      <c r="B18" s="16"/>
      <c r="C18" s="16">
        <f t="shared" si="16"/>
        <v>-1.051274</v>
      </c>
      <c r="D18" s="16"/>
      <c r="E18" s="16"/>
      <c r="F18" s="16">
        <f>-Datasheet!C21</f>
        <v>-0.1716</v>
      </c>
      <c r="G18" s="16">
        <f t="shared" si="17"/>
        <v>4.5054600000000002</v>
      </c>
      <c r="H18" s="16"/>
      <c r="I18" s="16">
        <f t="shared" si="15"/>
        <v>3.2825860000000002</v>
      </c>
      <c r="J18" s="16"/>
      <c r="K18" s="16">
        <f t="shared" si="0"/>
        <v>0.15193600000000007</v>
      </c>
      <c r="L18" s="16">
        <f t="shared" si="1"/>
        <v>0.67790000000000017</v>
      </c>
      <c r="M18" s="16">
        <f t="shared" si="2"/>
        <v>0.13284999999999947</v>
      </c>
      <c r="P18" s="16">
        <f t="shared" si="3"/>
        <v>-1.222874</v>
      </c>
      <c r="Q18" s="16">
        <f t="shared" si="4"/>
        <v>4.5054600000000002</v>
      </c>
      <c r="R18" s="16">
        <f t="shared" si="5"/>
        <v>-1.39815</v>
      </c>
      <c r="S18" s="16">
        <f t="shared" si="6"/>
        <v>4.5288000000000004</v>
      </c>
      <c r="T18" s="16">
        <f t="shared" si="7"/>
        <v>-0.69646999999999992</v>
      </c>
      <c r="U18" s="16">
        <f t="shared" si="8"/>
        <v>3.1492200000000001</v>
      </c>
      <c r="V18" s="16">
        <f t="shared" si="9"/>
        <v>-1.2441</v>
      </c>
      <c r="W18" s="16">
        <f t="shared" si="10"/>
        <v>3.5640000000000005</v>
      </c>
      <c r="Y18">
        <v>13</v>
      </c>
      <c r="Z18" s="16">
        <f t="shared" si="11"/>
        <v>3.2825860000000002</v>
      </c>
      <c r="AA18" s="30">
        <f t="shared" si="22"/>
        <v>31.390480074492515</v>
      </c>
      <c r="AB18" s="16"/>
      <c r="AC18" s="16">
        <f t="shared" si="12"/>
        <v>2.3199000000000005</v>
      </c>
      <c r="AD18" s="30">
        <f t="shared" si="19"/>
        <v>26.183509214898507</v>
      </c>
      <c r="AE18" s="16"/>
      <c r="AF18" s="16">
        <f t="shared" si="13"/>
        <v>3.1306500000000002</v>
      </c>
      <c r="AG18" s="30">
        <f t="shared" si="20"/>
        <v>31.608845062077091</v>
      </c>
      <c r="AI18" s="16">
        <f t="shared" si="14"/>
        <v>2.45275</v>
      </c>
      <c r="AJ18" s="30">
        <f t="shared" si="21"/>
        <v>27.14638283476318</v>
      </c>
    </row>
    <row r="19" spans="1:36">
      <c r="A19" s="20">
        <v>14</v>
      </c>
      <c r="B19" s="16"/>
      <c r="C19" s="16">
        <f t="shared" si="16"/>
        <v>-1.051274</v>
      </c>
      <c r="D19" s="16"/>
      <c r="E19" s="16"/>
      <c r="F19" s="16">
        <f>-Datasheet!C21</f>
        <v>-0.1716</v>
      </c>
      <c r="G19" s="16">
        <f t="shared" si="17"/>
        <v>4.5054600000000002</v>
      </c>
      <c r="H19" s="16"/>
      <c r="I19" s="16">
        <f t="shared" si="15"/>
        <v>3.2825860000000002</v>
      </c>
      <c r="J19" s="16"/>
      <c r="K19" s="16">
        <f t="shared" si="0"/>
        <v>0.15193600000000007</v>
      </c>
      <c r="L19" s="16">
        <f t="shared" si="1"/>
        <v>0.67790000000000017</v>
      </c>
      <c r="M19" s="16">
        <f t="shared" si="2"/>
        <v>0.13284999999999947</v>
      </c>
      <c r="P19" s="16">
        <f t="shared" si="3"/>
        <v>-1.222874</v>
      </c>
      <c r="Q19" s="16">
        <f t="shared" si="4"/>
        <v>4.5054600000000002</v>
      </c>
      <c r="R19" s="16">
        <f t="shared" si="5"/>
        <v>-1.39815</v>
      </c>
      <c r="S19" s="16">
        <f t="shared" si="6"/>
        <v>4.5288000000000004</v>
      </c>
      <c r="T19" s="16">
        <f t="shared" si="7"/>
        <v>-0.69646999999999992</v>
      </c>
      <c r="U19" s="16">
        <f t="shared" si="8"/>
        <v>3.1492200000000001</v>
      </c>
      <c r="V19" s="16">
        <f t="shared" si="9"/>
        <v>-1.2441</v>
      </c>
      <c r="W19" s="16">
        <f t="shared" si="10"/>
        <v>3.5640000000000005</v>
      </c>
      <c r="Y19">
        <v>14</v>
      </c>
      <c r="Z19" s="16">
        <f t="shared" si="11"/>
        <v>3.2825860000000002</v>
      </c>
      <c r="AA19" s="30">
        <f t="shared" si="22"/>
        <v>34.673066074492517</v>
      </c>
      <c r="AB19" s="16"/>
      <c r="AC19" s="16">
        <f t="shared" si="12"/>
        <v>2.3199000000000005</v>
      </c>
      <c r="AD19" s="30">
        <f t="shared" si="19"/>
        <v>28.503409214898507</v>
      </c>
      <c r="AE19" s="16"/>
      <c r="AF19" s="16">
        <f t="shared" si="13"/>
        <v>3.1306500000000002</v>
      </c>
      <c r="AG19" s="30">
        <f t="shared" si="20"/>
        <v>34.73949506207709</v>
      </c>
      <c r="AI19" s="16">
        <f t="shared" si="14"/>
        <v>2.45275</v>
      </c>
      <c r="AJ19" s="30">
        <f t="shared" si="21"/>
        <v>29.599132834763182</v>
      </c>
    </row>
    <row r="20" spans="1:36">
      <c r="A20" s="20">
        <v>15</v>
      </c>
      <c r="B20" s="16"/>
      <c r="C20" s="16">
        <f t="shared" si="16"/>
        <v>-1.051274</v>
      </c>
      <c r="D20" s="16"/>
      <c r="E20" s="16"/>
      <c r="F20" s="16">
        <f>-Datasheet!C21</f>
        <v>-0.1716</v>
      </c>
      <c r="G20" s="16">
        <f t="shared" si="17"/>
        <v>4.5054600000000002</v>
      </c>
      <c r="H20" s="16"/>
      <c r="I20" s="16">
        <f t="shared" si="15"/>
        <v>3.2825860000000002</v>
      </c>
      <c r="J20" s="16"/>
      <c r="K20" s="16">
        <f t="shared" si="0"/>
        <v>0.15193600000000007</v>
      </c>
      <c r="L20" s="16">
        <f t="shared" si="1"/>
        <v>0.67790000000000017</v>
      </c>
      <c r="M20" s="16">
        <f t="shared" si="2"/>
        <v>0.13284999999999947</v>
      </c>
      <c r="P20" s="16">
        <f t="shared" si="3"/>
        <v>-1.222874</v>
      </c>
      <c r="Q20" s="16">
        <f t="shared" si="4"/>
        <v>4.5054600000000002</v>
      </c>
      <c r="R20" s="16">
        <f t="shared" si="5"/>
        <v>-1.39815</v>
      </c>
      <c r="S20" s="16">
        <f t="shared" si="6"/>
        <v>4.5288000000000004</v>
      </c>
      <c r="T20" s="16">
        <f t="shared" si="7"/>
        <v>-0.69646999999999992</v>
      </c>
      <c r="U20" s="16">
        <f t="shared" si="8"/>
        <v>3.1492200000000001</v>
      </c>
      <c r="V20" s="16">
        <f t="shared" si="9"/>
        <v>-1.2441</v>
      </c>
      <c r="W20" s="16">
        <f t="shared" si="10"/>
        <v>3.5640000000000005</v>
      </c>
      <c r="Y20">
        <v>15</v>
      </c>
      <c r="Z20" s="16">
        <f t="shared" si="11"/>
        <v>3.2825860000000002</v>
      </c>
      <c r="AA20" s="30">
        <f t="shared" si="22"/>
        <v>37.955652074492519</v>
      </c>
      <c r="AC20" s="16">
        <f t="shared" si="12"/>
        <v>2.3199000000000005</v>
      </c>
      <c r="AD20" s="30">
        <f t="shared" si="19"/>
        <v>30.823309214898508</v>
      </c>
      <c r="AF20" s="16">
        <f t="shared" si="13"/>
        <v>3.1306500000000002</v>
      </c>
      <c r="AG20" s="30">
        <f t="shared" si="20"/>
        <v>37.870145062077093</v>
      </c>
      <c r="AI20" s="16">
        <f t="shared" si="14"/>
        <v>2.45275</v>
      </c>
      <c r="AJ20" s="30">
        <f t="shared" si="21"/>
        <v>32.051882834763184</v>
      </c>
    </row>
    <row r="21" spans="1:36">
      <c r="A21" s="20">
        <v>16</v>
      </c>
      <c r="B21" s="16"/>
      <c r="C21" s="16">
        <f t="shared" si="16"/>
        <v>-1.051274</v>
      </c>
      <c r="D21" s="16"/>
      <c r="E21" s="16"/>
      <c r="F21" s="16">
        <f>-Datasheet!C21</f>
        <v>-0.1716</v>
      </c>
      <c r="G21" s="16">
        <f t="shared" si="17"/>
        <v>4.5054600000000002</v>
      </c>
      <c r="H21" s="16"/>
      <c r="I21" s="16">
        <f t="shared" si="15"/>
        <v>3.2825860000000002</v>
      </c>
      <c r="J21" s="16"/>
      <c r="K21" s="16">
        <f t="shared" si="0"/>
        <v>1.3407459999999998</v>
      </c>
      <c r="L21" s="16">
        <f t="shared" si="1"/>
        <v>-0.19598799999999983</v>
      </c>
      <c r="M21" s="16">
        <f t="shared" si="2"/>
        <v>-0.18207200000000023</v>
      </c>
      <c r="P21" s="16">
        <f t="shared" si="3"/>
        <v>-1.222874</v>
      </c>
      <c r="Q21" s="16">
        <f t="shared" si="4"/>
        <v>4.5054600000000002</v>
      </c>
      <c r="R21" s="16">
        <f t="shared" si="5"/>
        <v>-2.5869599999999999</v>
      </c>
      <c r="S21" s="16">
        <f t="shared" si="6"/>
        <v>4.5288000000000004</v>
      </c>
      <c r="T21" s="16">
        <f t="shared" si="7"/>
        <v>-1.0113919999999998</v>
      </c>
      <c r="U21" s="16">
        <f t="shared" si="8"/>
        <v>3.1492200000000001</v>
      </c>
      <c r="V21" s="16">
        <f t="shared" si="9"/>
        <v>-1.2441</v>
      </c>
      <c r="W21" s="16">
        <f t="shared" si="10"/>
        <v>3.5640000000000005</v>
      </c>
      <c r="Y21">
        <v>16</v>
      </c>
      <c r="Z21" s="16">
        <f t="shared" si="11"/>
        <v>3.2825860000000002</v>
      </c>
      <c r="AA21" s="30">
        <f t="shared" si="22"/>
        <v>41.238238074492521</v>
      </c>
      <c r="AC21" s="16">
        <f t="shared" si="12"/>
        <v>2.3199000000000005</v>
      </c>
      <c r="AD21" s="30">
        <f t="shared" si="19"/>
        <v>33.143209214898505</v>
      </c>
      <c r="AF21" s="16">
        <f t="shared" si="13"/>
        <v>1.9418400000000005</v>
      </c>
      <c r="AG21" s="30">
        <f t="shared" si="20"/>
        <v>39.811985062077092</v>
      </c>
      <c r="AI21" s="16">
        <f t="shared" si="14"/>
        <v>2.1378280000000003</v>
      </c>
      <c r="AJ21" s="30">
        <f t="shared" si="21"/>
        <v>34.189710834763183</v>
      </c>
    </row>
    <row r="22" spans="1:36">
      <c r="A22" s="20">
        <v>17</v>
      </c>
      <c r="B22" s="16"/>
      <c r="C22" s="16">
        <f t="shared" si="16"/>
        <v>-1.051274</v>
      </c>
      <c r="D22" s="16"/>
      <c r="E22" s="16"/>
      <c r="F22" s="16">
        <f>-Datasheet!C21</f>
        <v>-0.1716</v>
      </c>
      <c r="G22" s="16">
        <f t="shared" si="17"/>
        <v>4.5054600000000002</v>
      </c>
      <c r="H22" s="16"/>
      <c r="I22" s="16">
        <f t="shared" si="15"/>
        <v>3.2825860000000002</v>
      </c>
      <c r="J22" s="16"/>
      <c r="K22" s="16">
        <f t="shared" si="0"/>
        <v>0.15193600000000007</v>
      </c>
      <c r="L22" s="16">
        <f t="shared" si="1"/>
        <v>0.67790000000000017</v>
      </c>
      <c r="M22" s="16">
        <f t="shared" si="2"/>
        <v>0.13284999999999947</v>
      </c>
      <c r="P22" s="16">
        <f t="shared" si="3"/>
        <v>-1.222874</v>
      </c>
      <c r="Q22" s="16">
        <f t="shared" si="4"/>
        <v>4.5054600000000002</v>
      </c>
      <c r="R22" s="16">
        <f t="shared" si="5"/>
        <v>-1.39815</v>
      </c>
      <c r="S22" s="16">
        <f t="shared" si="6"/>
        <v>4.5288000000000004</v>
      </c>
      <c r="T22" s="16">
        <f t="shared" si="7"/>
        <v>-0.69646999999999992</v>
      </c>
      <c r="U22" s="16">
        <f t="shared" si="8"/>
        <v>3.1492200000000001</v>
      </c>
      <c r="V22" s="16">
        <f t="shared" si="9"/>
        <v>-1.2441</v>
      </c>
      <c r="W22" s="16">
        <f t="shared" si="10"/>
        <v>3.5640000000000005</v>
      </c>
      <c r="Y22">
        <v>17</v>
      </c>
      <c r="Z22" s="16">
        <f t="shared" si="11"/>
        <v>3.2825860000000002</v>
      </c>
      <c r="AA22" s="30">
        <f t="shared" si="22"/>
        <v>44.520824074492523</v>
      </c>
      <c r="AC22" s="16">
        <f t="shared" si="12"/>
        <v>2.3199000000000005</v>
      </c>
      <c r="AD22" s="30">
        <f t="shared" si="19"/>
        <v>35.463109214898509</v>
      </c>
      <c r="AF22" s="16">
        <f t="shared" si="13"/>
        <v>3.1306500000000002</v>
      </c>
      <c r="AG22" s="30">
        <f t="shared" si="20"/>
        <v>42.942635062077095</v>
      </c>
      <c r="AI22" s="16">
        <f t="shared" si="14"/>
        <v>2.45275</v>
      </c>
      <c r="AJ22" s="30">
        <f t="shared" si="21"/>
        <v>36.642460834763185</v>
      </c>
    </row>
    <row r="23" spans="1:36">
      <c r="A23" s="20">
        <v>18</v>
      </c>
      <c r="B23" s="16"/>
      <c r="C23" s="16">
        <f t="shared" si="16"/>
        <v>-1.051274</v>
      </c>
      <c r="D23" s="16">
        <f>-Datasheet!C16</f>
        <v>-0.901092</v>
      </c>
      <c r="E23" s="16"/>
      <c r="F23" s="16">
        <f>-Datasheet!C21</f>
        <v>-0.1716</v>
      </c>
      <c r="G23" s="16">
        <f t="shared" si="17"/>
        <v>4.5054600000000002</v>
      </c>
      <c r="H23" s="16"/>
      <c r="I23" s="16">
        <f t="shared" si="15"/>
        <v>2.381494</v>
      </c>
      <c r="J23" s="16"/>
      <c r="K23" s="16">
        <f t="shared" si="0"/>
        <v>-0.74915600000000016</v>
      </c>
      <c r="L23" s="16">
        <f t="shared" si="1"/>
        <v>0.67790000000000017</v>
      </c>
      <c r="M23" s="16">
        <f t="shared" si="2"/>
        <v>1.1723499999999998</v>
      </c>
      <c r="P23" s="16">
        <f t="shared" si="3"/>
        <v>-2.1239660000000002</v>
      </c>
      <c r="Q23" s="16">
        <f t="shared" si="4"/>
        <v>4.5054600000000002</v>
      </c>
      <c r="R23" s="16">
        <f t="shared" si="5"/>
        <v>-1.39815</v>
      </c>
      <c r="S23" s="16">
        <f t="shared" si="6"/>
        <v>4.5288000000000004</v>
      </c>
      <c r="T23" s="16">
        <f t="shared" si="7"/>
        <v>-0.69646999999999992</v>
      </c>
      <c r="U23" s="16">
        <f t="shared" si="8"/>
        <v>3.1492200000000001</v>
      </c>
      <c r="V23" s="16">
        <f t="shared" si="9"/>
        <v>-2.2836000000000003</v>
      </c>
      <c r="W23" s="16">
        <f t="shared" si="10"/>
        <v>3.5640000000000005</v>
      </c>
      <c r="Y23">
        <v>18</v>
      </c>
      <c r="Z23" s="16">
        <f t="shared" si="11"/>
        <v>2.381494</v>
      </c>
      <c r="AA23" s="30">
        <f t="shared" si="22"/>
        <v>46.902318074492527</v>
      </c>
      <c r="AC23" s="16">
        <f t="shared" si="12"/>
        <v>1.2804000000000002</v>
      </c>
      <c r="AD23" s="30">
        <f t="shared" si="19"/>
        <v>36.743509214898509</v>
      </c>
      <c r="AF23" s="16">
        <f t="shared" si="13"/>
        <v>3.1306500000000002</v>
      </c>
      <c r="AG23" s="30">
        <f t="shared" si="20"/>
        <v>46.073285062077098</v>
      </c>
      <c r="AI23" s="16">
        <f t="shared" si="14"/>
        <v>2.45275</v>
      </c>
      <c r="AJ23" s="30">
        <f t="shared" si="21"/>
        <v>39.095210834763186</v>
      </c>
    </row>
    <row r="24" spans="1:36">
      <c r="A24" s="20">
        <v>19</v>
      </c>
      <c r="B24" s="16"/>
      <c r="C24" s="16">
        <f t="shared" si="16"/>
        <v>-1.051274</v>
      </c>
      <c r="D24" s="16"/>
      <c r="E24" s="16"/>
      <c r="F24" s="16">
        <f>-Datasheet!C21</f>
        <v>-0.1716</v>
      </c>
      <c r="G24" s="16">
        <f t="shared" si="17"/>
        <v>4.5054600000000002</v>
      </c>
      <c r="H24" s="16"/>
      <c r="I24" s="16">
        <f t="shared" si="15"/>
        <v>3.2825860000000002</v>
      </c>
      <c r="J24" s="16"/>
      <c r="K24" s="16">
        <f t="shared" si="0"/>
        <v>0.15193600000000007</v>
      </c>
      <c r="L24" s="16">
        <f t="shared" si="1"/>
        <v>0.67790000000000017</v>
      </c>
      <c r="M24" s="16">
        <f t="shared" si="2"/>
        <v>0.13284999999999947</v>
      </c>
      <c r="P24" s="16">
        <f t="shared" si="3"/>
        <v>-1.222874</v>
      </c>
      <c r="Q24" s="16">
        <f t="shared" si="4"/>
        <v>4.5054600000000002</v>
      </c>
      <c r="R24" s="16">
        <f t="shared" si="5"/>
        <v>-1.39815</v>
      </c>
      <c r="S24" s="16">
        <f t="shared" si="6"/>
        <v>4.5288000000000004</v>
      </c>
      <c r="T24" s="16">
        <f t="shared" si="7"/>
        <v>-0.69646999999999992</v>
      </c>
      <c r="U24" s="16">
        <f t="shared" si="8"/>
        <v>3.1492200000000001</v>
      </c>
      <c r="V24" s="16">
        <f t="shared" si="9"/>
        <v>-1.2441</v>
      </c>
      <c r="W24" s="16">
        <f t="shared" si="10"/>
        <v>3.5640000000000005</v>
      </c>
      <c r="Y24">
        <v>19</v>
      </c>
      <c r="Z24" s="16">
        <f t="shared" si="11"/>
        <v>3.2825860000000002</v>
      </c>
      <c r="AA24" s="30">
        <f t="shared" si="22"/>
        <v>50.184904074492529</v>
      </c>
      <c r="AC24" s="16">
        <f t="shared" si="12"/>
        <v>2.3199000000000005</v>
      </c>
      <c r="AD24" s="30">
        <f t="shared" si="19"/>
        <v>39.063409214898513</v>
      </c>
      <c r="AF24" s="16">
        <f t="shared" si="13"/>
        <v>3.1306500000000002</v>
      </c>
      <c r="AG24" s="30">
        <f t="shared" si="20"/>
        <v>49.2039350620771</v>
      </c>
      <c r="AI24" s="16">
        <f t="shared" si="14"/>
        <v>2.45275</v>
      </c>
      <c r="AJ24" s="30">
        <f t="shared" si="21"/>
        <v>41.547960834763188</v>
      </c>
    </row>
    <row r="25" spans="1:36">
      <c r="A25" s="20">
        <v>20</v>
      </c>
      <c r="B25" s="16"/>
      <c r="C25" s="16">
        <f t="shared" si="16"/>
        <v>-1.051274</v>
      </c>
      <c r="D25" s="16"/>
      <c r="E25" s="16"/>
      <c r="F25" s="16">
        <f>-Datasheet!C22</f>
        <v>-3.1716000000000002</v>
      </c>
      <c r="G25" s="16">
        <f t="shared" si="17"/>
        <v>4.5054600000000002</v>
      </c>
      <c r="H25" s="16">
        <f>Datasheet!C25</f>
        <v>0.35889366628708519</v>
      </c>
      <c r="I25" s="16">
        <f>B25+C25+D25+E25+F25+G25+H25</f>
        <v>0.64147966628708541</v>
      </c>
      <c r="J25" s="16"/>
      <c r="K25" s="16">
        <f t="shared" si="0"/>
        <v>0.17610340451444545</v>
      </c>
      <c r="L25" s="16">
        <f t="shared" si="1"/>
        <v>0.70979087823462739</v>
      </c>
      <c r="M25" s="16">
        <f t="shared" si="2"/>
        <v>0.14521894164149696</v>
      </c>
      <c r="P25" s="16">
        <f t="shared" si="3"/>
        <v>-4.222874</v>
      </c>
      <c r="Q25" s="16">
        <f t="shared" si="4"/>
        <v>4.8643536662870854</v>
      </c>
      <c r="R25" s="16">
        <f t="shared" si="5"/>
        <v>-4.3981500000000002</v>
      </c>
      <c r="S25" s="16">
        <f t="shared" si="6"/>
        <v>4.8635262617726402</v>
      </c>
      <c r="T25" s="16">
        <f t="shared" si="7"/>
        <v>-3.6964700000000001</v>
      </c>
      <c r="U25" s="16">
        <f t="shared" si="8"/>
        <v>3.4520553835380126</v>
      </c>
      <c r="V25" s="16">
        <f t="shared" si="9"/>
        <v>-4.2441000000000004</v>
      </c>
      <c r="W25" s="16">
        <f t="shared" si="10"/>
        <v>3.8544664418965162</v>
      </c>
      <c r="Y25">
        <v>20</v>
      </c>
      <c r="Z25" s="16">
        <f t="shared" si="11"/>
        <v>0.28258600000000023</v>
      </c>
      <c r="AA25" s="30">
        <f t="shared" si="22"/>
        <v>50.467490074492531</v>
      </c>
      <c r="AC25" s="16">
        <f t="shared" si="12"/>
        <v>-0.68009999999999993</v>
      </c>
      <c r="AD25" s="30">
        <f t="shared" si="19"/>
        <v>38.38330921489851</v>
      </c>
      <c r="AF25" s="16">
        <f t="shared" si="13"/>
        <v>0.13065000000000015</v>
      </c>
      <c r="AG25" s="30">
        <f t="shared" si="20"/>
        <v>49.334585062077103</v>
      </c>
      <c r="AI25" s="16">
        <f t="shared" si="14"/>
        <v>-0.54725000000000001</v>
      </c>
      <c r="AJ25" s="30">
        <f t="shared" si="21"/>
        <v>41.00071083476319</v>
      </c>
    </row>
    <row r="26" spans="1:36">
      <c r="B26" s="16"/>
      <c r="C26" s="16"/>
      <c r="D26" s="16"/>
      <c r="E26" s="16"/>
      <c r="F26" s="16"/>
      <c r="G26" s="33" t="s">
        <v>69</v>
      </c>
      <c r="H26" s="33"/>
      <c r="I26" s="21">
        <f>I5+NPV(0.07,I6:I25)</f>
        <v>4.4245936915134401</v>
      </c>
      <c r="J26" s="21"/>
      <c r="K26" s="16"/>
      <c r="M26" s="16"/>
      <c r="P26" s="21">
        <f t="shared" ref="P26:W26" si="23">P5+NPV(0.07,P6:P25)</f>
        <v>-43.3990586744479</v>
      </c>
      <c r="Q26" s="21">
        <f t="shared" si="23"/>
        <v>47.823652365961351</v>
      </c>
      <c r="R26" s="21">
        <f t="shared" si="23"/>
        <v>-42.849705354889124</v>
      </c>
      <c r="S26" s="21">
        <f t="shared" si="23"/>
        <v>48.064671341876462</v>
      </c>
      <c r="T26" s="21">
        <f t="shared" si="23"/>
        <v>-29.700622142885134</v>
      </c>
      <c r="U26" s="21">
        <f t="shared" si="23"/>
        <v>33.441139960095043</v>
      </c>
      <c r="V26" s="21">
        <f t="shared" si="23"/>
        <v>-33.097886167578466</v>
      </c>
      <c r="W26" s="21">
        <f t="shared" si="23"/>
        <v>37.832128819285373</v>
      </c>
      <c r="Z26" s="16"/>
    </row>
    <row r="27" spans="1:36">
      <c r="B27" s="16"/>
      <c r="C27" s="16"/>
      <c r="D27" s="16"/>
      <c r="E27" s="16"/>
      <c r="F27" s="16"/>
      <c r="G27" s="33" t="s">
        <v>70</v>
      </c>
      <c r="H27" s="33"/>
      <c r="I27" s="24">
        <f>IRR(I5:I25)</f>
        <v>9.483846846568933E-2</v>
      </c>
      <c r="J27" s="29" t="s">
        <v>71</v>
      </c>
      <c r="K27" s="27">
        <f>IRR(K5:K25)</f>
        <v>-5.0757398136379583E-3</v>
      </c>
      <c r="L27" s="28">
        <f>IRR(L5:L25)</f>
        <v>0.13595961387588718</v>
      </c>
      <c r="M27" s="25">
        <f>IRR(M5:M25)</f>
        <v>1.8264962163657916E-2</v>
      </c>
      <c r="Y27" s="47" t="s">
        <v>72</v>
      </c>
      <c r="Z27" s="16" t="s">
        <v>73</v>
      </c>
      <c r="AD27" s="16" t="s">
        <v>74</v>
      </c>
      <c r="AG27" s="16" t="s">
        <v>75</v>
      </c>
      <c r="AJ27" s="16" t="s">
        <v>75</v>
      </c>
    </row>
    <row r="28" spans="1:36">
      <c r="B28" s="16"/>
      <c r="C28" s="16"/>
      <c r="D28" s="16"/>
      <c r="E28" s="16"/>
      <c r="F28" s="16"/>
      <c r="G28" s="33" t="s">
        <v>76</v>
      </c>
      <c r="H28" s="33"/>
      <c r="I28" s="37">
        <f>-Q26/P26</f>
        <v>1.1019513746762097</v>
      </c>
      <c r="J28" s="16"/>
      <c r="K28" s="35" t="s">
        <v>77</v>
      </c>
      <c r="L28" s="35" t="s">
        <v>77</v>
      </c>
      <c r="M28" s="36" t="s">
        <v>78</v>
      </c>
      <c r="O28" s="32"/>
      <c r="Q28" s="16"/>
      <c r="S28" s="16"/>
      <c r="T28" s="16"/>
      <c r="U28" s="16"/>
      <c r="V28" s="16"/>
      <c r="W28" s="16"/>
      <c r="AD28" s="21" t="s">
        <v>79</v>
      </c>
    </row>
    <row r="29" spans="1:36">
      <c r="B29" s="16"/>
      <c r="C29" s="16"/>
      <c r="D29" s="16"/>
      <c r="E29" s="16"/>
      <c r="F29" s="16"/>
      <c r="G29" s="16"/>
      <c r="H29" s="16"/>
      <c r="I29" s="16"/>
      <c r="J29" s="29" t="s">
        <v>80</v>
      </c>
      <c r="K29" s="31">
        <f>-(S26-Q26)/(R26-P26)</f>
        <v>-0.43873217351028321</v>
      </c>
      <c r="L29" s="31">
        <f>-(U26-S26)/(T26-R26)</f>
        <v>1.1121331537723773</v>
      </c>
      <c r="M29" s="43">
        <f>-(W26-U26)/(V26-T26)</f>
        <v>1.2925073904394877</v>
      </c>
      <c r="O29" s="32"/>
      <c r="P29" s="16"/>
      <c r="R29" s="16"/>
      <c r="S29" s="16"/>
      <c r="T29" s="16"/>
      <c r="V29" s="16"/>
    </row>
    <row r="30" spans="1:36">
      <c r="B30" s="16"/>
      <c r="C30" s="16"/>
      <c r="D30" s="16"/>
      <c r="E30" s="16"/>
      <c r="F30" s="16"/>
      <c r="G30" s="16"/>
      <c r="H30" s="16"/>
      <c r="I30" s="16"/>
      <c r="J30" s="16"/>
      <c r="K30" s="44" t="s">
        <v>77</v>
      </c>
      <c r="L30" s="35" t="s">
        <v>77</v>
      </c>
      <c r="M30" s="36" t="s">
        <v>78</v>
      </c>
      <c r="N30" s="16"/>
      <c r="O30" s="16"/>
      <c r="P30" s="16"/>
      <c r="Q30" s="16"/>
      <c r="R30" s="16"/>
      <c r="S30" s="16"/>
      <c r="T30" s="16"/>
      <c r="U30" s="16"/>
    </row>
    <row r="31" spans="1:36">
      <c r="A31" s="66" t="s">
        <v>81</v>
      </c>
      <c r="B31" s="66"/>
      <c r="C31" s="66"/>
      <c r="D31" s="66"/>
      <c r="E31" s="66"/>
      <c r="F31" s="66"/>
      <c r="G31" s="66"/>
      <c r="H31" s="66"/>
      <c r="I31" s="66"/>
      <c r="J31" s="58"/>
      <c r="K31" s="35"/>
      <c r="M31" s="16"/>
      <c r="N31" s="16"/>
      <c r="O31" s="16"/>
      <c r="P31" s="16"/>
      <c r="Q31" s="16"/>
      <c r="R31" s="16"/>
      <c r="S31" s="16"/>
      <c r="T31" s="16"/>
      <c r="U31" s="16"/>
    </row>
    <row r="32" spans="1:36">
      <c r="A32" s="19" t="s">
        <v>55</v>
      </c>
      <c r="B32" s="18" t="s">
        <v>56</v>
      </c>
      <c r="C32" s="16" t="s">
        <v>57</v>
      </c>
      <c r="D32" s="18" t="s">
        <v>58</v>
      </c>
      <c r="E32" s="18" t="s">
        <v>82</v>
      </c>
      <c r="F32" s="18" t="s">
        <v>60</v>
      </c>
      <c r="G32" s="18" t="s">
        <v>61</v>
      </c>
      <c r="H32" s="18" t="s">
        <v>62</v>
      </c>
      <c r="I32" s="18" t="s">
        <v>63</v>
      </c>
      <c r="J32" s="18"/>
      <c r="K32" s="16"/>
      <c r="T32" s="16"/>
      <c r="U32" s="16"/>
    </row>
    <row r="33" spans="1:21">
      <c r="A33" s="20">
        <v>0</v>
      </c>
      <c r="B33" s="16">
        <f>-Datasheet!E14</f>
        <v>-16.5</v>
      </c>
      <c r="D33" s="16"/>
      <c r="E33" s="16"/>
      <c r="F33" s="16"/>
      <c r="I33" s="16">
        <f>B33+C33+D33+E33+F33+G33</f>
        <v>-16.5</v>
      </c>
      <c r="J33" s="16"/>
      <c r="K33" s="16"/>
      <c r="T33" s="16"/>
      <c r="U33" s="16"/>
    </row>
    <row r="34" spans="1:21">
      <c r="A34" s="20">
        <v>1</v>
      </c>
      <c r="B34" s="16"/>
      <c r="C34" s="17">
        <f>-Datasheet!E15</f>
        <v>-1.0725</v>
      </c>
      <c r="D34" s="16"/>
      <c r="E34" s="16"/>
      <c r="F34" s="16">
        <f>-Datasheet!E21</f>
        <v>-0.1716</v>
      </c>
      <c r="G34" s="16">
        <f>Datasheet!E24</f>
        <v>3.5640000000000005</v>
      </c>
      <c r="H34" s="16"/>
      <c r="I34" s="16">
        <f t="shared" ref="I34:I52" si="24">B34+C34+D34+E34+F34+G34</f>
        <v>2.3199000000000005</v>
      </c>
      <c r="J34" s="16"/>
      <c r="K34" s="16"/>
      <c r="N34" t="s">
        <v>70</v>
      </c>
      <c r="O34" t="s">
        <v>69</v>
      </c>
      <c r="T34" s="16"/>
      <c r="U34" s="16"/>
    </row>
    <row r="35" spans="1:21">
      <c r="A35" s="20">
        <v>2</v>
      </c>
      <c r="B35" s="16"/>
      <c r="C35" s="17">
        <f t="shared" ref="C35:C53" si="25">$C$34</f>
        <v>-1.0725</v>
      </c>
      <c r="D35" s="16"/>
      <c r="E35" s="16"/>
      <c r="F35" s="16">
        <f>-Datasheet!E21</f>
        <v>-0.1716</v>
      </c>
      <c r="G35" s="16">
        <f t="shared" ref="G35:G53" si="26">$G$34</f>
        <v>3.5640000000000005</v>
      </c>
      <c r="H35" s="16"/>
      <c r="I35" s="16">
        <f t="shared" si="24"/>
        <v>2.3199000000000005</v>
      </c>
      <c r="J35" s="16"/>
      <c r="K35" s="16"/>
      <c r="O35" t="s">
        <v>50</v>
      </c>
      <c r="P35" t="s">
        <v>53</v>
      </c>
      <c r="Q35" t="s">
        <v>51</v>
      </c>
      <c r="R35" t="s">
        <v>52</v>
      </c>
      <c r="T35" s="16"/>
      <c r="U35" s="16"/>
    </row>
    <row r="36" spans="1:21">
      <c r="A36" s="20">
        <v>3</v>
      </c>
      <c r="B36" s="16"/>
      <c r="C36" s="17">
        <f t="shared" si="25"/>
        <v>-1.0725</v>
      </c>
      <c r="D36" s="16"/>
      <c r="E36" s="16"/>
      <c r="F36" s="16">
        <f>-Datasheet!E21</f>
        <v>-0.1716</v>
      </c>
      <c r="G36" s="16">
        <f t="shared" si="26"/>
        <v>3.5640000000000005</v>
      </c>
      <c r="H36" s="16"/>
      <c r="I36" s="16">
        <f t="shared" si="24"/>
        <v>2.3199000000000005</v>
      </c>
      <c r="J36" s="16"/>
      <c r="K36" s="16"/>
      <c r="N36" s="26">
        <v>0</v>
      </c>
      <c r="O36" s="16">
        <f>I5+NPV(0,I6:I25)</f>
        <v>28.329120140779612</v>
      </c>
      <c r="P36" s="16">
        <f>I33+NPV(0,I34:I53)</f>
        <v>22.17377565679503</v>
      </c>
      <c r="Q36" s="16">
        <f>I61+NPV(0,I62:I81)</f>
        <v>28.421691323849739</v>
      </c>
      <c r="R36" s="16">
        <f>I89+NPV(0,I90:I109)</f>
        <v>22.8018787183012</v>
      </c>
      <c r="T36" s="16"/>
      <c r="U36" s="16"/>
    </row>
    <row r="37" spans="1:21">
      <c r="A37" s="20">
        <v>4</v>
      </c>
      <c r="B37" s="16"/>
      <c r="C37" s="17">
        <f t="shared" si="25"/>
        <v>-1.0725</v>
      </c>
      <c r="D37" s="16"/>
      <c r="E37" s="16"/>
      <c r="F37" s="16">
        <f>-Datasheet!E21</f>
        <v>-0.1716</v>
      </c>
      <c r="G37" s="16">
        <f t="shared" si="26"/>
        <v>3.5640000000000005</v>
      </c>
      <c r="H37" s="16"/>
      <c r="I37" s="16">
        <f t="shared" si="24"/>
        <v>2.3199000000000005</v>
      </c>
      <c r="J37" s="16"/>
      <c r="K37" s="16"/>
      <c r="N37" s="26">
        <v>0.01</v>
      </c>
      <c r="O37" s="16">
        <f>I5+NPV(0.01,I6:I25)</f>
        <v>23.32938359970591</v>
      </c>
      <c r="P37" s="16">
        <f>I33+NPV(0.01,I34:I53)</f>
        <v>18.603884211468795</v>
      </c>
      <c r="Q37" s="16">
        <f>I61+NPV(0.01,I62:I81)</f>
        <v>23.581477420172991</v>
      </c>
      <c r="R37" s="16">
        <f>I89+NPV(0.01,I90:I109)</f>
        <v>18.862958942403797</v>
      </c>
      <c r="T37" s="16"/>
      <c r="U37" s="16"/>
    </row>
    <row r="38" spans="1:21">
      <c r="A38" s="20">
        <v>5</v>
      </c>
      <c r="B38" s="16"/>
      <c r="C38" s="17">
        <f t="shared" si="25"/>
        <v>-1.0725</v>
      </c>
      <c r="D38" s="16"/>
      <c r="E38" s="16"/>
      <c r="F38" s="16">
        <f>-Datasheet!E21</f>
        <v>-0.1716</v>
      </c>
      <c r="G38" s="16">
        <f t="shared" si="26"/>
        <v>3.5640000000000005</v>
      </c>
      <c r="H38" s="16"/>
      <c r="I38" s="16">
        <f t="shared" si="24"/>
        <v>2.3199000000000005</v>
      </c>
      <c r="J38" s="16"/>
      <c r="K38" s="16"/>
      <c r="N38" s="26">
        <v>0.02</v>
      </c>
      <c r="O38" s="16">
        <f>I5+NPV(0.02,I6:I25)</f>
        <v>19.005035971013985</v>
      </c>
      <c r="P38" s="16">
        <f>I33+NPV(0.02,I34:I53)</f>
        <v>15.489003038792468</v>
      </c>
      <c r="Q38" s="16">
        <f>I61+NPV(0.02,I62:I81)</f>
        <v>19.390602971223988</v>
      </c>
      <c r="R38" s="16">
        <f>I89+NPV(0.02,I90:I109)</f>
        <v>15.439263887869775</v>
      </c>
      <c r="T38" s="16"/>
      <c r="U38" s="16"/>
    </row>
    <row r="39" spans="1:21">
      <c r="A39" s="20">
        <v>6</v>
      </c>
      <c r="B39" s="16"/>
      <c r="C39" s="17">
        <f t="shared" si="25"/>
        <v>-1.0725</v>
      </c>
      <c r="D39" s="16">
        <f>-Datasheet!E16</f>
        <v>-1.0395000000000001</v>
      </c>
      <c r="E39" s="16"/>
      <c r="F39" s="16">
        <f>-Datasheet!E21</f>
        <v>-0.1716</v>
      </c>
      <c r="G39" s="16">
        <f t="shared" si="26"/>
        <v>3.5640000000000005</v>
      </c>
      <c r="H39" s="16"/>
      <c r="I39" s="16">
        <f t="shared" si="24"/>
        <v>1.2804000000000002</v>
      </c>
      <c r="J39" s="16"/>
      <c r="K39" s="16"/>
      <c r="N39" s="26">
        <v>0.03</v>
      </c>
      <c r="O39" s="16">
        <f>I5+NPV(0.03,I6:I25)</f>
        <v>15.252172650218196</v>
      </c>
      <c r="P39" s="16">
        <f>I33+NPV(0.03,I34:I53)</f>
        <v>12.762028296340706</v>
      </c>
      <c r="Q39" s="16">
        <f>I61+NPV(0.03,I62:I81)</f>
        <v>15.749495247010284</v>
      </c>
      <c r="R39" s="16">
        <f>I89+NPV(0.03,I90:I109)</f>
        <v>12.453374190818053</v>
      </c>
      <c r="T39" s="16"/>
      <c r="U39" s="16"/>
    </row>
    <row r="40" spans="1:21">
      <c r="A40" s="20">
        <v>7</v>
      </c>
      <c r="B40" s="16"/>
      <c r="C40" s="17">
        <f t="shared" si="25"/>
        <v>-1.0725</v>
      </c>
      <c r="D40" s="16"/>
      <c r="E40" s="16">
        <f>-Datasheet!E19</f>
        <v>-1.8961907851014981</v>
      </c>
      <c r="F40" s="16">
        <f>-Datasheet!E21</f>
        <v>-0.1716</v>
      </c>
      <c r="G40" s="16">
        <f t="shared" si="26"/>
        <v>3.5640000000000005</v>
      </c>
      <c r="H40" s="16"/>
      <c r="I40" s="16">
        <f t="shared" si="24"/>
        <v>0.42370921489850222</v>
      </c>
      <c r="J40" s="16"/>
      <c r="K40" s="16"/>
      <c r="N40" s="26">
        <v>0.04</v>
      </c>
      <c r="O40" s="16">
        <f>I5+NPV(0.04,I6:I25)</f>
        <v>11.98426931500703</v>
      </c>
      <c r="P40" s="16">
        <f>I33+NPV(0.04,I34:I53)</f>
        <v>10.366726172323304</v>
      </c>
      <c r="Q40" s="16">
        <f>I61+NPV(0.04,I62:I81)</f>
        <v>12.575217016963197</v>
      </c>
      <c r="R40" s="16">
        <f>I89+NPV(0.04,I90:I109)</f>
        <v>9.840590174068037</v>
      </c>
      <c r="T40" s="16"/>
      <c r="U40" s="16"/>
    </row>
    <row r="41" spans="1:21">
      <c r="A41" s="20">
        <v>8</v>
      </c>
      <c r="B41" s="16"/>
      <c r="C41" s="17">
        <f t="shared" si="25"/>
        <v>-1.0725</v>
      </c>
      <c r="D41" s="16"/>
      <c r="E41" s="16"/>
      <c r="F41" s="16">
        <f>-Datasheet!E21</f>
        <v>-0.1716</v>
      </c>
      <c r="G41" s="16">
        <f t="shared" si="26"/>
        <v>3.5640000000000005</v>
      </c>
      <c r="H41" s="16"/>
      <c r="I41" s="16">
        <f t="shared" si="24"/>
        <v>2.3199000000000005</v>
      </c>
      <c r="J41" s="16"/>
      <c r="K41" s="16"/>
      <c r="N41" s="26">
        <v>0.05</v>
      </c>
      <c r="O41" s="16">
        <f>I5+NPV(0.05,I6:I25)</f>
        <v>9.1290786475268249</v>
      </c>
      <c r="P41" s="16">
        <f>I33+NPV(0.05,I34:I53)</f>
        <v>8.2558425610473414</v>
      </c>
      <c r="Q41" s="16">
        <f>I61+NPV(0.05,I62:I81)</f>
        <v>9.7984967519569928</v>
      </c>
      <c r="R41" s="16">
        <f>I89+NPV(0.05,I90:I109)</f>
        <v>7.5466943627275604</v>
      </c>
      <c r="T41" s="16"/>
      <c r="U41" s="16"/>
    </row>
    <row r="42" spans="1:21">
      <c r="A42" s="20">
        <v>9</v>
      </c>
      <c r="B42" s="16"/>
      <c r="C42" s="17">
        <f t="shared" si="25"/>
        <v>-1.0725</v>
      </c>
      <c r="D42" s="16"/>
      <c r="E42" s="16"/>
      <c r="F42" s="16">
        <f>-Datasheet!E21</f>
        <v>-0.1716</v>
      </c>
      <c r="G42" s="16">
        <f t="shared" si="26"/>
        <v>3.5640000000000005</v>
      </c>
      <c r="H42" s="16"/>
      <c r="I42" s="16">
        <f t="shared" si="24"/>
        <v>2.3199000000000005</v>
      </c>
      <c r="J42" s="16"/>
      <c r="K42" s="16"/>
      <c r="N42" s="26">
        <v>0.06</v>
      </c>
      <c r="O42" s="16">
        <f>I5+NPV(0.06,I6:I25)</f>
        <v>6.6261125135140091</v>
      </c>
      <c r="P42" s="16">
        <f>I33+NPV(0.06,I34:I53)</f>
        <v>6.3895611873553726</v>
      </c>
      <c r="Q42" s="16">
        <f>I61+NPV(0.06,I62:I81)</f>
        <v>7.3613192964242415</v>
      </c>
      <c r="R42" s="16">
        <f>I89+NPV(0.06,I90:I109)</f>
        <v>5.5261305274933754</v>
      </c>
      <c r="T42" s="16"/>
      <c r="U42" s="16"/>
    </row>
    <row r="43" spans="1:21">
      <c r="A43" s="20">
        <v>10</v>
      </c>
      <c r="B43" s="16"/>
      <c r="C43" s="17">
        <f t="shared" si="25"/>
        <v>-1.0725</v>
      </c>
      <c r="D43" s="16"/>
      <c r="E43" s="16"/>
      <c r="F43" s="16">
        <f>-Datasheet!E21</f>
        <v>-0.1716</v>
      </c>
      <c r="G43" s="16">
        <f t="shared" si="26"/>
        <v>3.5640000000000005</v>
      </c>
      <c r="H43" s="16"/>
      <c r="I43" s="16">
        <f t="shared" si="24"/>
        <v>2.3199000000000005</v>
      </c>
      <c r="J43" s="16"/>
      <c r="K43" s="16"/>
      <c r="N43" s="26">
        <v>7.0000000000000007E-2</v>
      </c>
      <c r="O43" s="16">
        <f>I5+NPV(0.07,I6:I25)</f>
        <v>4.4245936915134401</v>
      </c>
      <c r="P43" s="16">
        <f>I33+NPV(0.07,I34:I53)</f>
        <v>4.7342426517069107</v>
      </c>
      <c r="Q43" s="16">
        <f>I61+NPV(0.07,I62:I81)</f>
        <v>5.214965986987341</v>
      </c>
      <c r="R43" s="16">
        <f>I89+NPV(0.07,I90:I109)</f>
        <v>3.7405178172099056</v>
      </c>
      <c r="T43" s="16"/>
      <c r="U43" s="16"/>
    </row>
    <row r="44" spans="1:21">
      <c r="A44" s="20">
        <v>11</v>
      </c>
      <c r="B44" s="16"/>
      <c r="C44" s="17">
        <f t="shared" si="25"/>
        <v>-1.0725</v>
      </c>
      <c r="D44" s="16"/>
      <c r="E44" s="16"/>
      <c r="F44" s="16">
        <f>-Datasheet!E21</f>
        <v>-0.1716</v>
      </c>
      <c r="G44" s="16">
        <f t="shared" si="26"/>
        <v>3.5640000000000005</v>
      </c>
      <c r="H44" s="16"/>
      <c r="I44" s="16">
        <f t="shared" si="24"/>
        <v>2.3199000000000005</v>
      </c>
      <c r="J44" s="16"/>
      <c r="K44" s="16"/>
      <c r="N44" s="26">
        <v>0.08</v>
      </c>
      <c r="O44" s="16">
        <f>I5+NPV(0.08,I6:I25)</f>
        <v>2.4817852041338178</v>
      </c>
      <c r="P44" s="16">
        <f>I33+NPV(0.08,I34:I53)</f>
        <v>3.2613905470344022</v>
      </c>
      <c r="Q44" s="16">
        <f>I61+NPV(0.08,I62:I81)</f>
        <v>3.3184161578136191</v>
      </c>
      <c r="R44" s="16">
        <f>I89+NPV(0.08,I90:I109)</f>
        <v>2.1574351743356139</v>
      </c>
      <c r="T44" s="16"/>
      <c r="U44" s="16"/>
    </row>
    <row r="45" spans="1:21">
      <c r="A45" s="20">
        <v>12</v>
      </c>
      <c r="B45" s="16"/>
      <c r="C45" s="17">
        <f t="shared" si="25"/>
        <v>-1.0725</v>
      </c>
      <c r="D45" s="16">
        <f>-Datasheet!E16</f>
        <v>-1.0395000000000001</v>
      </c>
      <c r="E45" s="16"/>
      <c r="F45" s="16">
        <f>-Datasheet!E21</f>
        <v>-0.1716</v>
      </c>
      <c r="G45" s="16">
        <f t="shared" si="26"/>
        <v>3.5640000000000005</v>
      </c>
      <c r="H45" s="16"/>
      <c r="I45" s="16">
        <f t="shared" si="24"/>
        <v>1.2804000000000002</v>
      </c>
      <c r="J45" s="16"/>
      <c r="K45" s="16"/>
      <c r="N45" s="26">
        <v>0.09</v>
      </c>
      <c r="O45" s="16">
        <f>I5+NPV(0.09,I6:I25)</f>
        <v>0.76162411160890642</v>
      </c>
      <c r="P45" s="16">
        <f>I33+NPV(0.09,I34:I53)</f>
        <v>1.9468015939157723</v>
      </c>
      <c r="Q45" s="16">
        <f>I61+NPV(0.09,I62:I81)</f>
        <v>1.6370399972694649</v>
      </c>
      <c r="R45" s="16">
        <f>I89+NPV(0.09,I90:I109)</f>
        <v>0.74942432570244222</v>
      </c>
      <c r="T45" s="16"/>
      <c r="U45" s="16"/>
    </row>
    <row r="46" spans="1:21">
      <c r="A46" s="20">
        <v>13</v>
      </c>
      <c r="B46" s="16"/>
      <c r="C46" s="17">
        <f t="shared" si="25"/>
        <v>-1.0725</v>
      </c>
      <c r="D46" s="16"/>
      <c r="E46" s="16"/>
      <c r="F46" s="16">
        <f>-Datasheet!E21</f>
        <v>-0.1716</v>
      </c>
      <c r="G46" s="16">
        <f t="shared" si="26"/>
        <v>3.5640000000000005</v>
      </c>
      <c r="H46" s="16"/>
      <c r="I46" s="16">
        <f t="shared" si="24"/>
        <v>2.3199000000000005</v>
      </c>
      <c r="J46" s="16"/>
      <c r="K46" s="16"/>
      <c r="N46" s="26">
        <v>0.1</v>
      </c>
      <c r="O46" s="16">
        <f>I5+NPV(0.1,I6:I25)</f>
        <v>-0.76639856638787052</v>
      </c>
      <c r="P46" s="16">
        <f>I33+NPV(0.1,I34:I53)</f>
        <v>0.76986528263767795</v>
      </c>
      <c r="Q46" s="16">
        <f>I61+NPV(0.1,I62:I81)</f>
        <v>0.14152690667750534</v>
      </c>
      <c r="R46" s="16">
        <f>I89+NPV(0.1,I90:I109)</f>
        <v>-0.50683001543104922</v>
      </c>
      <c r="T46" s="16"/>
      <c r="U46" s="16"/>
    </row>
    <row r="47" spans="1:21">
      <c r="A47" s="20">
        <v>14</v>
      </c>
      <c r="B47" s="16"/>
      <c r="C47" s="17">
        <f t="shared" si="25"/>
        <v>-1.0725</v>
      </c>
      <c r="D47" s="16"/>
      <c r="E47" s="16"/>
      <c r="F47" s="16">
        <f>-Datasheet!E21</f>
        <v>-0.1716</v>
      </c>
      <c r="G47" s="16">
        <f t="shared" si="26"/>
        <v>3.5640000000000005</v>
      </c>
      <c r="H47" s="16"/>
      <c r="I47" s="16">
        <f t="shared" si="24"/>
        <v>2.3199000000000005</v>
      </c>
      <c r="J47" s="16"/>
      <c r="K47" s="16"/>
      <c r="N47" s="26">
        <v>0.11</v>
      </c>
      <c r="O47" s="16">
        <f>I5+NPV(0.11,I6:I25)</f>
        <v>-2.1281584483781018</v>
      </c>
      <c r="P47" s="16">
        <f>I33+NPV(0.11,I34:I53)</f>
        <v>-0.28701471259488542</v>
      </c>
      <c r="Q47" s="16">
        <f>I61+NPV(0.11,I62:I81)</f>
        <v>-1.1929952924817329</v>
      </c>
      <c r="R47" s="16">
        <f>I89+NPV(0.11,I90:I109)</f>
        <v>-1.6311759105285049</v>
      </c>
      <c r="T47" s="16"/>
      <c r="U47" s="16"/>
    </row>
    <row r="48" spans="1:21">
      <c r="A48" s="20">
        <v>15</v>
      </c>
      <c r="B48" s="16"/>
      <c r="C48" s="17">
        <f t="shared" si="25"/>
        <v>-1.0725</v>
      </c>
      <c r="D48" s="16"/>
      <c r="E48" s="16"/>
      <c r="F48" s="16">
        <f>-Datasheet!E21</f>
        <v>-0.1716</v>
      </c>
      <c r="G48" s="16">
        <f t="shared" si="26"/>
        <v>3.5640000000000005</v>
      </c>
      <c r="H48" s="16"/>
      <c r="I48" s="16">
        <f t="shared" si="24"/>
        <v>2.3199000000000005</v>
      </c>
      <c r="J48" s="16"/>
      <c r="K48" s="16"/>
      <c r="N48" s="26">
        <v>0.12</v>
      </c>
      <c r="O48" s="16">
        <f>I5+NPV(0.12,I6:I25)</f>
        <v>-3.3456563071258394</v>
      </c>
      <c r="P48" s="16">
        <f>I33+NPV(0.12,I34:I53)</f>
        <v>-1.238899692045683</v>
      </c>
      <c r="Q48" s="16">
        <f>I61+NPV(0.12,I62:I81)</f>
        <v>-2.3876860977722671</v>
      </c>
      <c r="R48" s="16">
        <f>I89+NPV(0.12,I90:I109)</f>
        <v>-2.6405525938178496</v>
      </c>
      <c r="T48" s="16"/>
      <c r="U48" s="16"/>
    </row>
    <row r="49" spans="1:21">
      <c r="A49" s="20">
        <v>16</v>
      </c>
      <c r="B49" s="16"/>
      <c r="C49" s="17">
        <f t="shared" si="25"/>
        <v>-1.0725</v>
      </c>
      <c r="D49" s="16"/>
      <c r="E49" s="16"/>
      <c r="F49" s="16">
        <f>-Datasheet!E21</f>
        <v>-0.1716</v>
      </c>
      <c r="G49" s="16">
        <f t="shared" si="26"/>
        <v>3.5640000000000005</v>
      </c>
      <c r="H49" s="16"/>
      <c r="I49" s="16">
        <f t="shared" si="24"/>
        <v>2.3199000000000005</v>
      </c>
      <c r="J49" s="16"/>
      <c r="K49" s="16"/>
      <c r="N49" s="26">
        <v>0.13</v>
      </c>
      <c r="O49" s="16">
        <f>I5+NPV(0.13,I6:I25)</f>
        <v>-4.4376445643385729</v>
      </c>
      <c r="P49" s="16">
        <f>I33+NPV(0.13,I34:I53)</f>
        <v>-2.0987137082419167</v>
      </c>
      <c r="Q49" s="16">
        <f>I61+NPV(0.13,I62:I81)</f>
        <v>-3.460591778120893</v>
      </c>
      <c r="R49" s="16">
        <f>I89+NPV(0.13,I90:I109)</f>
        <v>-3.549453007429177</v>
      </c>
      <c r="T49" s="16"/>
      <c r="U49" s="16"/>
    </row>
    <row r="50" spans="1:21">
      <c r="A50" s="20">
        <v>17</v>
      </c>
      <c r="B50" s="16"/>
      <c r="C50" s="17">
        <f t="shared" si="25"/>
        <v>-1.0725</v>
      </c>
      <c r="D50" s="16"/>
      <c r="E50" s="16"/>
      <c r="F50" s="16">
        <f>-Datasheet!E21</f>
        <v>-0.1716</v>
      </c>
      <c r="G50" s="16">
        <f t="shared" si="26"/>
        <v>3.5640000000000005</v>
      </c>
      <c r="H50" s="16"/>
      <c r="I50" s="16">
        <f t="shared" si="24"/>
        <v>2.3199000000000005</v>
      </c>
      <c r="J50" s="16"/>
      <c r="K50" s="16"/>
      <c r="N50" s="26">
        <v>0.14000000000000001</v>
      </c>
      <c r="O50" s="16">
        <f>I5+NPV(0.14,I6:I25)</f>
        <v>-5.4201459861193584</v>
      </c>
      <c r="P50" s="16">
        <f>I33+NPV(0.14,I34:I53)</f>
        <v>-2.8775745743111472</v>
      </c>
      <c r="Q50" s="16">
        <f>I61+NPV(0.14,I62:I81)</f>
        <v>-4.4271417158382675</v>
      </c>
      <c r="R50" s="16">
        <f>I89+NPV(0.14,I90:I109)</f>
        <v>-4.3703078463060532</v>
      </c>
      <c r="T50" s="16"/>
      <c r="U50" s="16"/>
    </row>
    <row r="51" spans="1:21">
      <c r="A51" s="20">
        <v>18</v>
      </c>
      <c r="B51" s="16"/>
      <c r="C51" s="17">
        <f t="shared" si="25"/>
        <v>-1.0725</v>
      </c>
      <c r="D51" s="16">
        <f>-Datasheet!E16</f>
        <v>-1.0395000000000001</v>
      </c>
      <c r="E51" s="16"/>
      <c r="F51" s="16">
        <f>-Datasheet!E21</f>
        <v>-0.1716</v>
      </c>
      <c r="G51" s="16">
        <f t="shared" si="26"/>
        <v>3.5640000000000005</v>
      </c>
      <c r="H51" s="16"/>
      <c r="I51" s="16">
        <f t="shared" si="24"/>
        <v>1.2804000000000002</v>
      </c>
      <c r="J51" s="16"/>
      <c r="K51" s="16"/>
      <c r="N51" s="26">
        <v>0.15</v>
      </c>
      <c r="O51" s="16">
        <f>I5+NPV(0.15,I6:I25)</f>
        <v>-6.306884145109688</v>
      </c>
      <c r="P51" s="16">
        <f>I33+NPV(0.15,I34:I53)</f>
        <v>-3.5850699608384886</v>
      </c>
      <c r="Q51" s="16">
        <f>I61+NPV(0.15,I62:I81)</f>
        <v>-5.3005603573141418</v>
      </c>
      <c r="R51" s="16">
        <f>I89+NPV(0.15,I90:I109)</f>
        <v>-5.1138051843856243</v>
      </c>
      <c r="T51" s="16"/>
      <c r="U51" s="16"/>
    </row>
    <row r="52" spans="1:21">
      <c r="A52" s="20">
        <v>19</v>
      </c>
      <c r="B52" s="16"/>
      <c r="C52" s="17">
        <f t="shared" si="25"/>
        <v>-1.0725</v>
      </c>
      <c r="D52" s="16"/>
      <c r="E52" s="16"/>
      <c r="F52" s="16">
        <f>-Datasheet!E21</f>
        <v>-0.1716</v>
      </c>
      <c r="G52" s="16">
        <f t="shared" si="26"/>
        <v>3.5640000000000005</v>
      </c>
      <c r="H52" s="16"/>
      <c r="I52" s="16">
        <f t="shared" si="24"/>
        <v>2.3199000000000005</v>
      </c>
      <c r="J52" s="16"/>
      <c r="K52" s="16"/>
      <c r="N52" s="26">
        <v>0.16</v>
      </c>
      <c r="O52" s="16">
        <f>I5+NPV(0.16,I6:I25)</f>
        <v>-7.1096414925311429</v>
      </c>
      <c r="P52" s="16">
        <f>I33+NPV(0.16,I34:I53)</f>
        <v>-4.2294882276595906</v>
      </c>
      <c r="Q52" s="16">
        <f>I61+NPV(0.16,I62:I81)</f>
        <v>-6.0922099279467226</v>
      </c>
      <c r="R52" s="16">
        <f>I89+NPV(0.16,I90:I109)</f>
        <v>-5.7891571068333452</v>
      </c>
      <c r="T52" s="16"/>
      <c r="U52" s="16"/>
    </row>
    <row r="53" spans="1:21">
      <c r="A53" s="20">
        <v>20</v>
      </c>
      <c r="B53" s="16"/>
      <c r="C53" s="17">
        <f t="shared" si="25"/>
        <v>-1.0725</v>
      </c>
      <c r="D53" s="16"/>
      <c r="E53" s="16"/>
      <c r="F53" s="16">
        <f>-Datasheet!E22</f>
        <v>-3.1716000000000002</v>
      </c>
      <c r="G53" s="16">
        <f t="shared" si="26"/>
        <v>3.5640000000000005</v>
      </c>
      <c r="H53" s="16">
        <f>Datasheet!E25</f>
        <v>0.2904664418965156</v>
      </c>
      <c r="I53" s="16">
        <f>B53+C53+D53+E53+F53+G53+H53</f>
        <v>-0.38963355810348432</v>
      </c>
      <c r="J53" s="16"/>
      <c r="K53" s="16"/>
      <c r="N53" s="26">
        <v>0.17</v>
      </c>
      <c r="O53" s="16">
        <f>I5+NPV(0.17,I6:I25)</f>
        <v>-7.8385578995918515</v>
      </c>
      <c r="P53" s="16">
        <f>I33+NPV(0.17,I34:I53)</f>
        <v>-4.8180118562541789</v>
      </c>
      <c r="Q53" s="16">
        <f>I61+NPV(0.17,I62:I81)</f>
        <v>-6.8118762112711764</v>
      </c>
      <c r="R53" s="16">
        <f>I89+NPV(0.17,I90:I109)</f>
        <v>-6.4043226460297511</v>
      </c>
      <c r="T53" s="16"/>
      <c r="U53" s="16"/>
    </row>
    <row r="54" spans="1:21">
      <c r="B54" s="16"/>
      <c r="C54" s="17"/>
      <c r="D54" s="16"/>
      <c r="E54" s="16"/>
      <c r="F54" s="16"/>
      <c r="G54" s="33" t="s">
        <v>69</v>
      </c>
      <c r="H54" s="33"/>
      <c r="I54" s="21">
        <f>I33+NPV(0.07,I34:I53)</f>
        <v>4.7342426517069107</v>
      </c>
      <c r="J54" s="21"/>
      <c r="K54" s="16"/>
      <c r="N54" s="26">
        <v>0.18</v>
      </c>
      <c r="O54" s="16">
        <f>I5+NPV(0.18,I6:I25)</f>
        <v>-8.5023801305032105</v>
      </c>
      <c r="P54" s="16">
        <f>I33+NPV(0.18,I34:I53)</f>
        <v>-5.3568799111780105</v>
      </c>
      <c r="Q54" s="16">
        <f>I61+NPV(0.18,I62:I81)</f>
        <v>-7.4680073983402639</v>
      </c>
      <c r="R54" s="16">
        <f>I89+NPV(0.18,I90:I109)</f>
        <v>-6.966194605482313</v>
      </c>
      <c r="T54" s="16"/>
      <c r="U54" s="16"/>
    </row>
    <row r="55" spans="1:21">
      <c r="B55" s="16"/>
      <c r="C55" s="17"/>
      <c r="D55" s="16"/>
      <c r="E55" s="16"/>
      <c r="F55" s="16"/>
      <c r="G55" s="33" t="s">
        <v>70</v>
      </c>
      <c r="H55" s="33"/>
      <c r="I55" s="24">
        <f>IRR(I33:I53)</f>
        <v>0.10717793816375565</v>
      </c>
      <c r="J55" s="16"/>
      <c r="K55" s="16"/>
      <c r="N55" s="26">
        <v>0.19</v>
      </c>
      <c r="O55" s="16">
        <f>I5+NPV(0.19,I6:I25)</f>
        <v>-9.1086707787686549</v>
      </c>
      <c r="P55" s="16">
        <f>I33+NPV(0.19,I34:I53)</f>
        <v>-5.8515247963061103</v>
      </c>
      <c r="Q55" s="16">
        <f>I61+NPV(0.19,I62:I81)</f>
        <v>-8.0679141662974274</v>
      </c>
      <c r="R55" s="16">
        <f>I89+NPV(0.19,I90:I109)</f>
        <v>-7.4807564722431241</v>
      </c>
      <c r="T55" s="16"/>
      <c r="U55" s="16"/>
    </row>
    <row r="56" spans="1:21">
      <c r="B56" s="16"/>
      <c r="C56" s="17"/>
      <c r="D56" s="16"/>
      <c r="E56" s="16"/>
      <c r="F56" s="16"/>
      <c r="G56" s="33" t="s">
        <v>76</v>
      </c>
      <c r="H56" s="33"/>
      <c r="I56" s="37">
        <f>-W26/V26</f>
        <v>1.1430376135725673</v>
      </c>
      <c r="J56" s="16"/>
      <c r="K56" s="16"/>
      <c r="N56" s="26">
        <v>0.2</v>
      </c>
      <c r="O56" s="16">
        <f>I5+NPV(0.2,I6:I25)</f>
        <v>-9.6639836399840888</v>
      </c>
      <c r="P56" s="16">
        <f>I33+NPV(0.2,I34:I53)</f>
        <v>-6.3066876289605602</v>
      </c>
      <c r="Q56" s="16">
        <f>I61+NPV(0.2,I62:I81)</f>
        <v>-8.6179376542502926</v>
      </c>
      <c r="R56" s="16">
        <f>I89+NPV(0.2,I90:I109)</f>
        <v>-7.9532144986602837</v>
      </c>
      <c r="T56" s="16"/>
      <c r="U56" s="16"/>
    </row>
    <row r="57" spans="1:21">
      <c r="B57" s="16"/>
      <c r="C57" s="17"/>
      <c r="D57" s="16"/>
      <c r="E57" s="16"/>
      <c r="F57" s="16"/>
      <c r="G57" s="16"/>
      <c r="H57" s="16"/>
      <c r="I57" s="16"/>
      <c r="J57" s="16"/>
      <c r="K57" s="16"/>
      <c r="T57" s="16"/>
      <c r="U57" s="16"/>
    </row>
    <row r="59" spans="1:21">
      <c r="A59" s="66" t="s">
        <v>83</v>
      </c>
      <c r="B59" s="66"/>
      <c r="C59" s="66"/>
      <c r="D59" s="66"/>
      <c r="E59" s="66"/>
      <c r="F59" s="66"/>
      <c r="G59" s="66"/>
      <c r="H59" s="66"/>
      <c r="I59" s="66"/>
      <c r="J59" s="58"/>
    </row>
    <row r="60" spans="1:21">
      <c r="A60" s="19" t="s">
        <v>55</v>
      </c>
      <c r="B60" s="18" t="s">
        <v>56</v>
      </c>
      <c r="C60" s="16" t="s">
        <v>57</v>
      </c>
      <c r="D60" s="18" t="s">
        <v>58</v>
      </c>
      <c r="E60" s="18" t="s">
        <v>84</v>
      </c>
      <c r="F60" s="18" t="s">
        <v>85</v>
      </c>
      <c r="G60" s="18" t="s">
        <v>61</v>
      </c>
      <c r="H60" s="18" t="s">
        <v>62</v>
      </c>
      <c r="I60" s="18" t="s">
        <v>63</v>
      </c>
      <c r="J60" s="18"/>
    </row>
    <row r="61" spans="1:21">
      <c r="A61" s="20">
        <v>0</v>
      </c>
      <c r="B61" s="16">
        <f>-Datasheet!G14</f>
        <v>-21.247620000000001</v>
      </c>
      <c r="D61" s="16"/>
      <c r="E61" s="16"/>
      <c r="F61" s="16"/>
      <c r="I61" s="16">
        <f>B61+C61+D61+E61+F61+G61</f>
        <v>-21.247620000000001</v>
      </c>
      <c r="J61" s="16"/>
    </row>
    <row r="62" spans="1:21">
      <c r="A62" s="20">
        <v>1</v>
      </c>
      <c r="B62" s="16"/>
      <c r="C62" s="16">
        <f>-Datasheet!G15</f>
        <v>-1.22655</v>
      </c>
      <c r="D62" s="16"/>
      <c r="E62" s="16"/>
      <c r="F62" s="16">
        <f>-Datasheet!G21</f>
        <v>-0.1716</v>
      </c>
      <c r="G62" s="16">
        <f>Datasheet!G24</f>
        <v>4.5288000000000004</v>
      </c>
      <c r="H62" s="16"/>
      <c r="I62" s="16">
        <f t="shared" ref="I62:I80" si="27">B62+C62+D62+E62+F62+G62</f>
        <v>3.1306500000000002</v>
      </c>
      <c r="J62" s="16"/>
    </row>
    <row r="63" spans="1:21">
      <c r="A63" s="20">
        <v>2</v>
      </c>
      <c r="B63" s="16"/>
      <c r="C63" s="16">
        <f t="shared" ref="C63:C81" si="28">$C$62</f>
        <v>-1.22655</v>
      </c>
      <c r="D63" s="16"/>
      <c r="E63" s="16"/>
      <c r="F63" s="16">
        <f>-Datasheet!G21</f>
        <v>-0.1716</v>
      </c>
      <c r="G63" s="16">
        <f t="shared" ref="G63:G81" si="29">$G$62</f>
        <v>4.5288000000000004</v>
      </c>
      <c r="H63" s="16"/>
      <c r="I63" s="16">
        <f t="shared" si="27"/>
        <v>3.1306500000000002</v>
      </c>
      <c r="J63" s="16"/>
    </row>
    <row r="64" spans="1:21">
      <c r="A64" s="20">
        <v>3</v>
      </c>
      <c r="B64" s="16"/>
      <c r="C64" s="16">
        <f t="shared" si="28"/>
        <v>-1.22655</v>
      </c>
      <c r="D64" s="16"/>
      <c r="E64" s="16"/>
      <c r="F64" s="16">
        <f>-Datasheet!G21</f>
        <v>-0.1716</v>
      </c>
      <c r="G64" s="16">
        <f t="shared" si="29"/>
        <v>4.5288000000000004</v>
      </c>
      <c r="H64" s="16"/>
      <c r="I64" s="16">
        <f t="shared" si="27"/>
        <v>3.1306500000000002</v>
      </c>
      <c r="J64" s="16"/>
    </row>
    <row r="65" spans="1:10">
      <c r="A65" s="20">
        <v>4</v>
      </c>
      <c r="B65" s="16"/>
      <c r="C65" s="16">
        <f t="shared" si="28"/>
        <v>-1.22655</v>
      </c>
      <c r="D65" s="16"/>
      <c r="E65" s="16"/>
      <c r="F65" s="16">
        <f>-Datasheet!G21</f>
        <v>-0.1716</v>
      </c>
      <c r="G65" s="16">
        <f t="shared" si="29"/>
        <v>4.5288000000000004</v>
      </c>
      <c r="H65" s="16"/>
      <c r="I65" s="16">
        <f t="shared" si="27"/>
        <v>3.1306500000000002</v>
      </c>
      <c r="J65" s="16"/>
    </row>
    <row r="66" spans="1:10">
      <c r="A66" s="20">
        <v>5</v>
      </c>
      <c r="B66" s="16"/>
      <c r="C66" s="16">
        <f t="shared" si="28"/>
        <v>-1.22655</v>
      </c>
      <c r="D66" s="16"/>
      <c r="E66" s="16"/>
      <c r="F66" s="16">
        <f>-Datasheet!G21</f>
        <v>-0.1716</v>
      </c>
      <c r="G66" s="16">
        <f t="shared" si="29"/>
        <v>4.5288000000000004</v>
      </c>
      <c r="H66" s="16"/>
      <c r="I66" s="16">
        <f t="shared" si="27"/>
        <v>3.1306500000000002</v>
      </c>
      <c r="J66" s="16"/>
    </row>
    <row r="67" spans="1:10">
      <c r="A67" s="20">
        <v>6</v>
      </c>
      <c r="B67" s="16"/>
      <c r="C67" s="16">
        <f t="shared" si="28"/>
        <v>-1.22655</v>
      </c>
      <c r="D67" s="16"/>
      <c r="E67" s="16"/>
      <c r="F67" s="16">
        <f>-Datasheet!G21</f>
        <v>-0.1716</v>
      </c>
      <c r="G67" s="16">
        <f t="shared" si="29"/>
        <v>4.5288000000000004</v>
      </c>
      <c r="H67" s="16"/>
      <c r="I67" s="16">
        <f t="shared" si="27"/>
        <v>3.1306500000000002</v>
      </c>
      <c r="J67" s="16"/>
    </row>
    <row r="68" spans="1:10">
      <c r="A68" s="20">
        <v>7</v>
      </c>
      <c r="B68" s="16"/>
      <c r="C68" s="16">
        <f t="shared" si="28"/>
        <v>-1.22655</v>
      </c>
      <c r="D68" s="16"/>
      <c r="E68" s="16">
        <f>-Datasheet!G19</f>
        <v>-7.9007949379229085</v>
      </c>
      <c r="F68" s="16">
        <f>-Datasheet!G21</f>
        <v>-0.1716</v>
      </c>
      <c r="G68" s="16">
        <f t="shared" si="29"/>
        <v>4.5288000000000004</v>
      </c>
      <c r="H68" s="16"/>
      <c r="I68" s="16">
        <f t="shared" si="27"/>
        <v>-4.7701449379229075</v>
      </c>
      <c r="J68" s="16"/>
    </row>
    <row r="69" spans="1:10">
      <c r="A69" s="20">
        <v>8</v>
      </c>
      <c r="B69" s="16"/>
      <c r="C69" s="16">
        <f t="shared" si="28"/>
        <v>-1.22655</v>
      </c>
      <c r="D69" s="16">
        <f>-Datasheet!G16</f>
        <v>-1.1888099999999999</v>
      </c>
      <c r="E69" s="16"/>
      <c r="F69" s="16">
        <f>-Datasheet!G21</f>
        <v>-0.1716</v>
      </c>
      <c r="G69" s="16">
        <f t="shared" si="29"/>
        <v>4.5288000000000004</v>
      </c>
      <c r="H69" s="16"/>
      <c r="I69" s="16">
        <f t="shared" si="27"/>
        <v>1.9418400000000005</v>
      </c>
      <c r="J69" s="16"/>
    </row>
    <row r="70" spans="1:10">
      <c r="A70" s="20">
        <v>9</v>
      </c>
      <c r="B70" s="16"/>
      <c r="C70" s="16">
        <f t="shared" si="28"/>
        <v>-1.22655</v>
      </c>
      <c r="D70" s="16"/>
      <c r="E70" s="16"/>
      <c r="F70" s="16">
        <f>-Datasheet!G21</f>
        <v>-0.1716</v>
      </c>
      <c r="G70" s="16">
        <f t="shared" si="29"/>
        <v>4.5288000000000004</v>
      </c>
      <c r="H70" s="16"/>
      <c r="I70" s="16">
        <f t="shared" si="27"/>
        <v>3.1306500000000002</v>
      </c>
      <c r="J70" s="16"/>
    </row>
    <row r="71" spans="1:10">
      <c r="A71" s="20">
        <v>10</v>
      </c>
      <c r="B71" s="16"/>
      <c r="C71" s="16">
        <f t="shared" si="28"/>
        <v>-1.22655</v>
      </c>
      <c r="D71" s="16"/>
      <c r="E71" s="16"/>
      <c r="F71" s="16">
        <f>-Datasheet!G21</f>
        <v>-0.1716</v>
      </c>
      <c r="G71" s="16">
        <f t="shared" si="29"/>
        <v>4.5288000000000004</v>
      </c>
      <c r="H71" s="16"/>
      <c r="I71" s="16">
        <f t="shared" si="27"/>
        <v>3.1306500000000002</v>
      </c>
      <c r="J71" s="16"/>
    </row>
    <row r="72" spans="1:10">
      <c r="A72" s="20">
        <v>11</v>
      </c>
      <c r="B72" s="16"/>
      <c r="C72" s="16">
        <f t="shared" si="28"/>
        <v>-1.22655</v>
      </c>
      <c r="D72" s="16"/>
      <c r="E72" s="16"/>
      <c r="F72" s="16">
        <f>-Datasheet!G21</f>
        <v>-0.1716</v>
      </c>
      <c r="G72" s="16">
        <f t="shared" si="29"/>
        <v>4.5288000000000004</v>
      </c>
      <c r="H72" s="16"/>
      <c r="I72" s="16">
        <f t="shared" si="27"/>
        <v>3.1306500000000002</v>
      </c>
      <c r="J72" s="16"/>
    </row>
    <row r="73" spans="1:10">
      <c r="A73" s="20">
        <v>12</v>
      </c>
      <c r="B73" s="16"/>
      <c r="C73" s="16">
        <f t="shared" si="28"/>
        <v>-1.22655</v>
      </c>
      <c r="D73" s="16"/>
      <c r="E73" s="16"/>
      <c r="F73" s="16">
        <f>-Datasheet!G21</f>
        <v>-0.1716</v>
      </c>
      <c r="G73" s="16">
        <f t="shared" si="29"/>
        <v>4.5288000000000004</v>
      </c>
      <c r="H73" s="16"/>
      <c r="I73" s="16">
        <f t="shared" si="27"/>
        <v>3.1306500000000002</v>
      </c>
      <c r="J73" s="16"/>
    </row>
    <row r="74" spans="1:10">
      <c r="A74" s="20">
        <v>13</v>
      </c>
      <c r="B74" s="16"/>
      <c r="C74" s="16">
        <f t="shared" si="28"/>
        <v>-1.22655</v>
      </c>
      <c r="D74" s="16"/>
      <c r="E74" s="16"/>
      <c r="F74" s="16">
        <f>-Datasheet!G21</f>
        <v>-0.1716</v>
      </c>
      <c r="G74" s="16">
        <f t="shared" si="29"/>
        <v>4.5288000000000004</v>
      </c>
      <c r="H74" s="16"/>
      <c r="I74" s="16">
        <f t="shared" si="27"/>
        <v>3.1306500000000002</v>
      </c>
      <c r="J74" s="16"/>
    </row>
    <row r="75" spans="1:10">
      <c r="A75" s="20">
        <v>14</v>
      </c>
      <c r="B75" s="16"/>
      <c r="C75" s="16">
        <f t="shared" si="28"/>
        <v>-1.22655</v>
      </c>
      <c r="D75" s="16"/>
      <c r="E75" s="16"/>
      <c r="F75" s="16">
        <f>-Datasheet!G21</f>
        <v>-0.1716</v>
      </c>
      <c r="G75" s="16">
        <f t="shared" si="29"/>
        <v>4.5288000000000004</v>
      </c>
      <c r="H75" s="16"/>
      <c r="I75" s="16">
        <f t="shared" si="27"/>
        <v>3.1306500000000002</v>
      </c>
      <c r="J75" s="16"/>
    </row>
    <row r="76" spans="1:10">
      <c r="A76" s="20">
        <v>15</v>
      </c>
      <c r="B76" s="16"/>
      <c r="C76" s="16">
        <f t="shared" si="28"/>
        <v>-1.22655</v>
      </c>
      <c r="D76" s="16"/>
      <c r="E76" s="16"/>
      <c r="F76" s="16">
        <f>-Datasheet!G21</f>
        <v>-0.1716</v>
      </c>
      <c r="G76" s="16">
        <f t="shared" si="29"/>
        <v>4.5288000000000004</v>
      </c>
      <c r="H76" s="16"/>
      <c r="I76" s="16">
        <f t="shared" si="27"/>
        <v>3.1306500000000002</v>
      </c>
      <c r="J76" s="16"/>
    </row>
    <row r="77" spans="1:10">
      <c r="A77" s="20">
        <v>16</v>
      </c>
      <c r="B77" s="16"/>
      <c r="C77" s="16">
        <f t="shared" si="28"/>
        <v>-1.22655</v>
      </c>
      <c r="D77" s="16">
        <f>-Datasheet!G16</f>
        <v>-1.1888099999999999</v>
      </c>
      <c r="E77" s="16"/>
      <c r="F77" s="16">
        <f>-Datasheet!G21</f>
        <v>-0.1716</v>
      </c>
      <c r="G77" s="16">
        <f t="shared" si="29"/>
        <v>4.5288000000000004</v>
      </c>
      <c r="H77" s="16"/>
      <c r="I77" s="16">
        <f t="shared" si="27"/>
        <v>1.9418400000000005</v>
      </c>
      <c r="J77" s="16"/>
    </row>
    <row r="78" spans="1:10">
      <c r="A78" s="20">
        <v>17</v>
      </c>
      <c r="B78" s="16"/>
      <c r="C78" s="16">
        <f t="shared" si="28"/>
        <v>-1.22655</v>
      </c>
      <c r="D78" s="16"/>
      <c r="E78" s="16"/>
      <c r="F78" s="16">
        <f>-Datasheet!G21</f>
        <v>-0.1716</v>
      </c>
      <c r="G78" s="16">
        <f t="shared" si="29"/>
        <v>4.5288000000000004</v>
      </c>
      <c r="H78" s="16"/>
      <c r="I78" s="16">
        <f t="shared" si="27"/>
        <v>3.1306500000000002</v>
      </c>
      <c r="J78" s="16"/>
    </row>
    <row r="79" spans="1:10">
      <c r="A79" s="20">
        <v>18</v>
      </c>
      <c r="B79" s="16"/>
      <c r="C79" s="16">
        <f t="shared" si="28"/>
        <v>-1.22655</v>
      </c>
      <c r="D79" s="16"/>
      <c r="E79" s="16"/>
      <c r="F79" s="16">
        <f>-Datasheet!G21</f>
        <v>-0.1716</v>
      </c>
      <c r="G79" s="16">
        <f t="shared" si="29"/>
        <v>4.5288000000000004</v>
      </c>
      <c r="H79" s="16"/>
      <c r="I79" s="16">
        <f t="shared" si="27"/>
        <v>3.1306500000000002</v>
      </c>
      <c r="J79" s="16"/>
    </row>
    <row r="80" spans="1:10">
      <c r="A80" s="20">
        <v>19</v>
      </c>
      <c r="B80" s="16"/>
      <c r="C80" s="16">
        <f t="shared" si="28"/>
        <v>-1.22655</v>
      </c>
      <c r="D80" s="16"/>
      <c r="E80" s="16"/>
      <c r="F80" s="16">
        <f>-Datasheet!G21</f>
        <v>-0.1716</v>
      </c>
      <c r="G80" s="16">
        <f t="shared" si="29"/>
        <v>4.5288000000000004</v>
      </c>
      <c r="H80" s="16"/>
      <c r="I80" s="16">
        <f t="shared" si="27"/>
        <v>3.1306500000000002</v>
      </c>
      <c r="J80" s="16"/>
    </row>
    <row r="81" spans="1:10">
      <c r="A81" s="20">
        <v>20</v>
      </c>
      <c r="B81" s="16"/>
      <c r="C81" s="16">
        <f t="shared" si="28"/>
        <v>-1.22655</v>
      </c>
      <c r="D81" s="16"/>
      <c r="E81" s="16"/>
      <c r="F81" s="16">
        <f>-Datasheet!G22</f>
        <v>-3.1716000000000002</v>
      </c>
      <c r="G81" s="16">
        <f t="shared" si="29"/>
        <v>4.5288000000000004</v>
      </c>
      <c r="H81" s="16">
        <f>Datasheet!G25</f>
        <v>0.33472626177263981</v>
      </c>
      <c r="I81" s="16">
        <f>B81+C81+D81+E81+F81+G81+H81</f>
        <v>0.46537626177263997</v>
      </c>
      <c r="J81" s="16"/>
    </row>
    <row r="82" spans="1:10">
      <c r="B82" s="16"/>
      <c r="C82" s="16"/>
      <c r="D82" s="16"/>
      <c r="E82" s="16"/>
      <c r="F82" s="16"/>
      <c r="G82" s="33" t="s">
        <v>69</v>
      </c>
      <c r="H82" s="33"/>
      <c r="I82" s="21">
        <f>I61+NPV(0.07,I62:I81)</f>
        <v>5.214965986987341</v>
      </c>
      <c r="J82" s="21"/>
    </row>
    <row r="83" spans="1:10">
      <c r="B83" s="16"/>
      <c r="C83" s="16"/>
      <c r="D83" s="16"/>
      <c r="E83" s="16"/>
      <c r="F83" s="16"/>
      <c r="G83" s="33" t="s">
        <v>70</v>
      </c>
      <c r="H83" s="33"/>
      <c r="I83" s="24">
        <f>IRR(I61:I81)</f>
        <v>0.1010086452585448</v>
      </c>
      <c r="J83" s="16"/>
    </row>
    <row r="84" spans="1:10">
      <c r="B84" s="16"/>
      <c r="C84" s="16"/>
      <c r="D84" s="16"/>
      <c r="E84" s="16"/>
      <c r="F84" s="16"/>
      <c r="G84" s="33" t="s">
        <v>76</v>
      </c>
      <c r="H84" s="33"/>
      <c r="I84" s="37">
        <f>-S26/R26</f>
        <v>1.1217036603588293</v>
      </c>
      <c r="J84" s="16"/>
    </row>
    <row r="85" spans="1:10">
      <c r="B85" s="16"/>
      <c r="C85" s="16"/>
      <c r="D85" s="16"/>
      <c r="E85" s="16"/>
      <c r="F85" s="16"/>
      <c r="G85" s="16"/>
      <c r="H85" s="16"/>
      <c r="I85" s="16"/>
      <c r="J85" s="16"/>
    </row>
    <row r="87" spans="1:10">
      <c r="A87" s="66" t="s">
        <v>86</v>
      </c>
      <c r="B87" s="66"/>
      <c r="C87" s="66"/>
      <c r="D87" s="66"/>
      <c r="E87" s="66"/>
      <c r="F87" s="66"/>
      <c r="G87" s="66"/>
      <c r="H87" s="66"/>
      <c r="I87" s="66"/>
      <c r="J87" s="58"/>
    </row>
    <row r="88" spans="1:10">
      <c r="A88" s="19" t="s">
        <v>55</v>
      </c>
      <c r="B88" s="18" t="s">
        <v>56</v>
      </c>
      <c r="C88" s="16" t="s">
        <v>57</v>
      </c>
      <c r="D88" s="18" t="s">
        <v>58</v>
      </c>
      <c r="E88" s="18" t="s">
        <v>84</v>
      </c>
      <c r="F88" s="18" t="s">
        <v>85</v>
      </c>
      <c r="G88" s="18" t="s">
        <v>61</v>
      </c>
      <c r="H88" s="18" t="s">
        <v>62</v>
      </c>
      <c r="I88" s="18" t="s">
        <v>63</v>
      </c>
      <c r="J88" s="18"/>
    </row>
    <row r="89" spans="1:10">
      <c r="A89" s="20">
        <v>0</v>
      </c>
      <c r="B89" s="16">
        <f>-Datasheet!I14</f>
        <v>-18.5016675</v>
      </c>
      <c r="D89" s="16"/>
      <c r="E89" s="16"/>
      <c r="F89" s="16"/>
      <c r="I89" s="16">
        <f>B89+C89+D89+E89+F89+G89</f>
        <v>-18.5016675</v>
      </c>
      <c r="J89" s="16"/>
    </row>
    <row r="90" spans="1:10">
      <c r="A90" s="20">
        <v>1</v>
      </c>
      <c r="B90" s="16"/>
      <c r="C90" s="16">
        <f>-Datasheet!I15</f>
        <v>-0.52486999999999995</v>
      </c>
      <c r="D90" s="16"/>
      <c r="E90" s="16"/>
      <c r="F90" s="16">
        <f>-Datasheet!I21</f>
        <v>-0.1716</v>
      </c>
      <c r="G90" s="16">
        <f>Datasheet!I24</f>
        <v>3.1492200000000001</v>
      </c>
      <c r="H90" s="16"/>
      <c r="I90" s="16">
        <f t="shared" ref="I90:I108" si="30">B90+C90+D90+E90+F90+G90</f>
        <v>2.45275</v>
      </c>
      <c r="J90" s="16"/>
    </row>
    <row r="91" spans="1:10">
      <c r="A91" s="20">
        <v>2</v>
      </c>
      <c r="B91" s="16"/>
      <c r="C91" s="16">
        <f t="shared" ref="C91:C109" si="31">$C$90</f>
        <v>-0.52486999999999995</v>
      </c>
      <c r="D91" s="16"/>
      <c r="E91" s="16"/>
      <c r="F91" s="16">
        <f>-Datasheet!I21</f>
        <v>-0.1716</v>
      </c>
      <c r="G91" s="16">
        <f t="shared" ref="G91:G109" si="32">$G$90</f>
        <v>3.1492200000000001</v>
      </c>
      <c r="H91" s="16"/>
      <c r="I91" s="16">
        <f t="shared" si="30"/>
        <v>2.45275</v>
      </c>
      <c r="J91" s="16"/>
    </row>
    <row r="92" spans="1:10">
      <c r="A92" s="20">
        <v>3</v>
      </c>
      <c r="B92" s="16"/>
      <c r="C92" s="16">
        <f t="shared" si="31"/>
        <v>-0.52486999999999995</v>
      </c>
      <c r="D92" s="16"/>
      <c r="E92" s="16"/>
      <c r="F92" s="16">
        <f>-Datasheet!I21</f>
        <v>-0.1716</v>
      </c>
      <c r="G92" s="16">
        <f t="shared" si="32"/>
        <v>3.1492200000000001</v>
      </c>
      <c r="H92" s="16"/>
      <c r="I92" s="16">
        <f t="shared" si="30"/>
        <v>2.45275</v>
      </c>
      <c r="J92" s="16"/>
    </row>
    <row r="93" spans="1:10">
      <c r="A93" s="20">
        <v>4</v>
      </c>
      <c r="B93" s="16"/>
      <c r="C93" s="16">
        <f t="shared" si="31"/>
        <v>-0.52486999999999995</v>
      </c>
      <c r="D93" s="16"/>
      <c r="E93" s="16"/>
      <c r="F93" s="16">
        <f>-Datasheet!I21</f>
        <v>-0.1716</v>
      </c>
      <c r="G93" s="16">
        <f t="shared" si="32"/>
        <v>3.1492200000000001</v>
      </c>
      <c r="H93" s="16"/>
      <c r="I93" s="16">
        <f t="shared" si="30"/>
        <v>2.45275</v>
      </c>
      <c r="J93" s="16"/>
    </row>
    <row r="94" spans="1:10">
      <c r="A94" s="20">
        <v>5</v>
      </c>
      <c r="B94" s="16"/>
      <c r="C94" s="16">
        <f t="shared" si="31"/>
        <v>-0.52486999999999995</v>
      </c>
      <c r="D94" s="16"/>
      <c r="E94" s="16"/>
      <c r="F94" s="16">
        <f>-Datasheet!I21</f>
        <v>-0.1716</v>
      </c>
      <c r="G94" s="16">
        <f t="shared" si="32"/>
        <v>3.1492200000000001</v>
      </c>
      <c r="H94" s="16"/>
      <c r="I94" s="16">
        <f t="shared" si="30"/>
        <v>2.45275</v>
      </c>
      <c r="J94" s="16"/>
    </row>
    <row r="95" spans="1:10">
      <c r="A95" s="20">
        <v>6</v>
      </c>
      <c r="B95" s="16"/>
      <c r="C95" s="16">
        <f t="shared" si="31"/>
        <v>-0.52486999999999995</v>
      </c>
      <c r="D95" s="16"/>
      <c r="E95" s="16"/>
      <c r="F95" s="16">
        <f>-Datasheet!I21</f>
        <v>-0.1716</v>
      </c>
      <c r="G95" s="16">
        <f t="shared" si="32"/>
        <v>3.1492200000000001</v>
      </c>
      <c r="H95" s="16"/>
      <c r="I95" s="16">
        <f t="shared" si="30"/>
        <v>2.45275</v>
      </c>
      <c r="J95" s="16"/>
    </row>
    <row r="96" spans="1:10">
      <c r="A96" s="20">
        <v>7</v>
      </c>
      <c r="B96" s="16"/>
      <c r="C96" s="16">
        <f t="shared" si="31"/>
        <v>-0.52486999999999995</v>
      </c>
      <c r="D96" s="16"/>
      <c r="E96" s="16">
        <f>-Datasheet!I19</f>
        <v>-4.4244451652368291</v>
      </c>
      <c r="F96" s="16">
        <f>-Datasheet!I21</f>
        <v>-0.1716</v>
      </c>
      <c r="G96" s="16">
        <f t="shared" si="32"/>
        <v>3.1492200000000001</v>
      </c>
      <c r="H96" s="16"/>
      <c r="I96" s="16">
        <f t="shared" si="30"/>
        <v>-1.9716951652368286</v>
      </c>
      <c r="J96" s="16"/>
    </row>
    <row r="97" spans="1:10">
      <c r="A97" s="20">
        <v>8</v>
      </c>
      <c r="B97" s="16"/>
      <c r="C97" s="16">
        <f t="shared" si="31"/>
        <v>-0.52486999999999995</v>
      </c>
      <c r="D97" s="16">
        <f>-Datasheet!I16</f>
        <v>-0.31492199999999998</v>
      </c>
      <c r="E97" s="16"/>
      <c r="F97" s="16">
        <f>-Datasheet!I21</f>
        <v>-0.1716</v>
      </c>
      <c r="G97" s="16">
        <f t="shared" si="32"/>
        <v>3.1492200000000001</v>
      </c>
      <c r="H97" s="16"/>
      <c r="I97" s="16">
        <f>B97+C97+D97+E97+F97+G97</f>
        <v>2.1378280000000003</v>
      </c>
      <c r="J97" s="16"/>
    </row>
    <row r="98" spans="1:10">
      <c r="A98" s="20">
        <v>9</v>
      </c>
      <c r="B98" s="16"/>
      <c r="C98" s="16">
        <f t="shared" si="31"/>
        <v>-0.52486999999999995</v>
      </c>
      <c r="D98" s="16"/>
      <c r="E98" s="16"/>
      <c r="F98" s="16">
        <f>-Datasheet!I21</f>
        <v>-0.1716</v>
      </c>
      <c r="G98" s="16">
        <f t="shared" si="32"/>
        <v>3.1492200000000001</v>
      </c>
      <c r="H98" s="16"/>
      <c r="I98" s="16">
        <f t="shared" si="30"/>
        <v>2.45275</v>
      </c>
      <c r="J98" s="16"/>
    </row>
    <row r="99" spans="1:10">
      <c r="A99" s="20">
        <v>10</v>
      </c>
      <c r="B99" s="16"/>
      <c r="C99" s="16">
        <f t="shared" si="31"/>
        <v>-0.52486999999999995</v>
      </c>
      <c r="D99" s="16"/>
      <c r="E99" s="16"/>
      <c r="F99" s="16">
        <f>-Datasheet!I21</f>
        <v>-0.1716</v>
      </c>
      <c r="G99" s="16">
        <f t="shared" si="32"/>
        <v>3.1492200000000001</v>
      </c>
      <c r="H99" s="16"/>
      <c r="I99" s="16">
        <f t="shared" si="30"/>
        <v>2.45275</v>
      </c>
      <c r="J99" s="16"/>
    </row>
    <row r="100" spans="1:10">
      <c r="A100" s="20">
        <v>11</v>
      </c>
      <c r="B100" s="16"/>
      <c r="C100" s="16">
        <f t="shared" si="31"/>
        <v>-0.52486999999999995</v>
      </c>
      <c r="D100" s="16"/>
      <c r="E100" s="16"/>
      <c r="F100" s="16">
        <f>-Datasheet!I21</f>
        <v>-0.1716</v>
      </c>
      <c r="G100" s="16">
        <f t="shared" si="32"/>
        <v>3.1492200000000001</v>
      </c>
      <c r="H100" s="16"/>
      <c r="I100" s="16">
        <f t="shared" si="30"/>
        <v>2.45275</v>
      </c>
      <c r="J100" s="16"/>
    </row>
    <row r="101" spans="1:10">
      <c r="A101" s="20">
        <v>12</v>
      </c>
      <c r="B101" s="16"/>
      <c r="C101" s="16">
        <f t="shared" si="31"/>
        <v>-0.52486999999999995</v>
      </c>
      <c r="D101" s="16"/>
      <c r="E101" s="16"/>
      <c r="F101" s="16">
        <f>-Datasheet!I21</f>
        <v>-0.1716</v>
      </c>
      <c r="G101" s="16">
        <f t="shared" si="32"/>
        <v>3.1492200000000001</v>
      </c>
      <c r="H101" s="16"/>
      <c r="I101" s="16">
        <f t="shared" si="30"/>
        <v>2.45275</v>
      </c>
      <c r="J101" s="16"/>
    </row>
    <row r="102" spans="1:10">
      <c r="A102" s="20">
        <v>13</v>
      </c>
      <c r="B102" s="16"/>
      <c r="C102" s="16">
        <f t="shared" si="31"/>
        <v>-0.52486999999999995</v>
      </c>
      <c r="D102" s="16"/>
      <c r="E102" s="16"/>
      <c r="F102" s="16">
        <f>-Datasheet!I21</f>
        <v>-0.1716</v>
      </c>
      <c r="G102" s="16">
        <f t="shared" si="32"/>
        <v>3.1492200000000001</v>
      </c>
      <c r="H102" s="16"/>
      <c r="I102" s="16">
        <f t="shared" si="30"/>
        <v>2.45275</v>
      </c>
      <c r="J102" s="16"/>
    </row>
    <row r="103" spans="1:10">
      <c r="A103" s="20">
        <v>14</v>
      </c>
      <c r="B103" s="16"/>
      <c r="C103" s="16">
        <f t="shared" si="31"/>
        <v>-0.52486999999999995</v>
      </c>
      <c r="D103" s="16"/>
      <c r="E103" s="16"/>
      <c r="F103" s="16">
        <f>-Datasheet!I21</f>
        <v>-0.1716</v>
      </c>
      <c r="G103" s="16">
        <f t="shared" si="32"/>
        <v>3.1492200000000001</v>
      </c>
      <c r="H103" s="16"/>
      <c r="I103" s="16">
        <f t="shared" si="30"/>
        <v>2.45275</v>
      </c>
      <c r="J103" s="16"/>
    </row>
    <row r="104" spans="1:10">
      <c r="A104" s="20">
        <v>15</v>
      </c>
      <c r="B104" s="16"/>
      <c r="C104" s="16">
        <f t="shared" si="31"/>
        <v>-0.52486999999999995</v>
      </c>
      <c r="D104" s="16"/>
      <c r="E104" s="16"/>
      <c r="F104" s="16">
        <f>-Datasheet!I21</f>
        <v>-0.1716</v>
      </c>
      <c r="G104" s="16">
        <f t="shared" si="32"/>
        <v>3.1492200000000001</v>
      </c>
      <c r="H104" s="16"/>
      <c r="I104" s="16">
        <f>B104+C104+D104+E104+F104+G104</f>
        <v>2.45275</v>
      </c>
      <c r="J104" s="16"/>
    </row>
    <row r="105" spans="1:10">
      <c r="A105" s="20">
        <v>16</v>
      </c>
      <c r="B105" s="16"/>
      <c r="C105" s="16">
        <f t="shared" si="31"/>
        <v>-0.52486999999999995</v>
      </c>
      <c r="D105" s="16">
        <f>-Datasheet!I16</f>
        <v>-0.31492199999999998</v>
      </c>
      <c r="E105" s="16"/>
      <c r="F105" s="16">
        <f>-Datasheet!I21</f>
        <v>-0.1716</v>
      </c>
      <c r="G105" s="16">
        <f t="shared" si="32"/>
        <v>3.1492200000000001</v>
      </c>
      <c r="H105" s="16"/>
      <c r="I105" s="16">
        <f t="shared" si="30"/>
        <v>2.1378280000000003</v>
      </c>
      <c r="J105" s="16"/>
    </row>
    <row r="106" spans="1:10">
      <c r="A106" s="20">
        <v>17</v>
      </c>
      <c r="B106" s="16"/>
      <c r="C106" s="16">
        <f t="shared" si="31"/>
        <v>-0.52486999999999995</v>
      </c>
      <c r="D106" s="16"/>
      <c r="E106" s="16"/>
      <c r="F106" s="16">
        <f>-Datasheet!I21</f>
        <v>-0.1716</v>
      </c>
      <c r="G106" s="16">
        <f t="shared" si="32"/>
        <v>3.1492200000000001</v>
      </c>
      <c r="H106" s="16"/>
      <c r="I106" s="16">
        <f t="shared" si="30"/>
        <v>2.45275</v>
      </c>
      <c r="J106" s="16"/>
    </row>
    <row r="107" spans="1:10">
      <c r="A107" s="20">
        <v>18</v>
      </c>
      <c r="B107" s="16"/>
      <c r="C107" s="16">
        <f t="shared" si="31"/>
        <v>-0.52486999999999995</v>
      </c>
      <c r="D107" s="16"/>
      <c r="E107" s="16"/>
      <c r="F107" s="16">
        <f>-Datasheet!I21</f>
        <v>-0.1716</v>
      </c>
      <c r="G107" s="16">
        <f t="shared" si="32"/>
        <v>3.1492200000000001</v>
      </c>
      <c r="H107" s="16"/>
      <c r="I107" s="16">
        <f t="shared" si="30"/>
        <v>2.45275</v>
      </c>
      <c r="J107" s="16"/>
    </row>
    <row r="108" spans="1:10">
      <c r="A108" s="20">
        <v>19</v>
      </c>
      <c r="B108" s="16"/>
      <c r="C108" s="16">
        <f t="shared" si="31"/>
        <v>-0.52486999999999995</v>
      </c>
      <c r="D108" s="16"/>
      <c r="E108" s="16"/>
      <c r="F108" s="16">
        <f>-Datasheet!I21</f>
        <v>-0.1716</v>
      </c>
      <c r="G108" s="16">
        <f t="shared" si="32"/>
        <v>3.1492200000000001</v>
      </c>
      <c r="H108" s="16"/>
      <c r="I108" s="16">
        <f t="shared" si="30"/>
        <v>2.45275</v>
      </c>
      <c r="J108" s="16"/>
    </row>
    <row r="109" spans="1:10">
      <c r="A109" s="20">
        <v>20</v>
      </c>
      <c r="B109" s="16"/>
      <c r="C109" s="16">
        <f t="shared" si="31"/>
        <v>-0.52486999999999995</v>
      </c>
      <c r="D109" s="16"/>
      <c r="E109" s="16"/>
      <c r="F109" s="16">
        <f>-Datasheet!I22</f>
        <v>-3.1716000000000002</v>
      </c>
      <c r="G109" s="16">
        <f t="shared" si="32"/>
        <v>3.1492200000000001</v>
      </c>
      <c r="H109" s="16">
        <f>Datasheet!I25</f>
        <v>0.30283538353801265</v>
      </c>
      <c r="I109" s="16">
        <f>B109+C109+D109+E109+F109+G109+H109</f>
        <v>-0.24441461646198737</v>
      </c>
      <c r="J109" s="16"/>
    </row>
    <row r="110" spans="1:10">
      <c r="G110" s="34" t="s">
        <v>69</v>
      </c>
      <c r="H110" s="34"/>
      <c r="I110" s="21">
        <f>I89+NPV(0.07,I90:I109)</f>
        <v>3.7405178172099056</v>
      </c>
      <c r="J110" s="21"/>
    </row>
    <row r="111" spans="1:10">
      <c r="G111" s="34" t="s">
        <v>70</v>
      </c>
      <c r="H111" s="34"/>
      <c r="I111" s="24">
        <f>IRR(I89:I109)</f>
        <v>9.5829405090385844E-2</v>
      </c>
    </row>
    <row r="112" spans="1:10">
      <c r="G112" s="34" t="s">
        <v>76</v>
      </c>
      <c r="H112" s="34"/>
      <c r="I112" s="37">
        <f>-U26/T26</f>
        <v>1.1259407226964759</v>
      </c>
    </row>
    <row r="116" spans="3:9">
      <c r="C116" s="67" t="s">
        <v>87</v>
      </c>
      <c r="D116" s="67"/>
      <c r="E116" s="67"/>
      <c r="F116" s="67"/>
      <c r="G116" s="67"/>
      <c r="H116" s="67"/>
      <c r="I116" s="67"/>
    </row>
    <row r="117" spans="3:9">
      <c r="C117" t="s">
        <v>88</v>
      </c>
      <c r="D117" s="16">
        <v>12</v>
      </c>
    </row>
    <row r="118" spans="3:9">
      <c r="C118" t="s">
        <v>69</v>
      </c>
      <c r="D118" s="16">
        <v>0</v>
      </c>
    </row>
    <row r="119" spans="3:9">
      <c r="C119" t="s">
        <v>89</v>
      </c>
      <c r="D119" s="52">
        <f>-FV(0.0345,20,0,'ECONOMIC ANALYSIS'!D117)</f>
        <v>23.647821909744543</v>
      </c>
    </row>
    <row r="121" spans="3:9">
      <c r="D121" s="16"/>
    </row>
  </sheetData>
  <mergeCells count="11">
    <mergeCell ref="C116:I116"/>
    <mergeCell ref="K1:N1"/>
    <mergeCell ref="P2:Q2"/>
    <mergeCell ref="R2:S2"/>
    <mergeCell ref="T2:U2"/>
    <mergeCell ref="Y1:AF1"/>
    <mergeCell ref="A3:I3"/>
    <mergeCell ref="A31:I31"/>
    <mergeCell ref="A59:I59"/>
    <mergeCell ref="A87:I87"/>
    <mergeCell ref="V2:W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1"/>
  <sheetViews>
    <sheetView workbookViewId="0" xr3:uid="{842E5F09-E766-5B8D-85AF-A39847EA96FD}">
      <selection activeCell="H1" sqref="H1:K1"/>
    </sheetView>
  </sheetViews>
  <sheetFormatPr defaultRowHeight="15"/>
  <cols>
    <col min="1" max="1" width="9.140625" style="1"/>
    <col min="2" max="2" width="15.7109375" customWidth="1"/>
    <col min="3" max="3" width="13" customWidth="1"/>
    <col min="4" max="4" width="17.28515625" customWidth="1"/>
    <col min="5" max="5" width="15.42578125" customWidth="1"/>
    <col min="6" max="7" width="14.7109375" customWidth="1"/>
    <col min="8" max="8" width="12.42578125" customWidth="1"/>
    <col min="9" max="9" width="14" customWidth="1"/>
    <col min="10" max="10" width="9.140625" customWidth="1"/>
    <col min="11" max="11" width="14" customWidth="1"/>
    <col min="12" max="12" width="19.7109375" customWidth="1"/>
    <col min="13" max="13" width="15.7109375" customWidth="1"/>
  </cols>
  <sheetData>
    <row r="1" spans="1:14">
      <c r="A1" s="56"/>
      <c r="B1" s="65" t="s">
        <v>90</v>
      </c>
      <c r="C1" s="65"/>
      <c r="D1" s="57"/>
      <c r="E1" s="27">
        <v>0.38</v>
      </c>
      <c r="F1" s="49">
        <f>0.07*(1-E1)</f>
        <v>4.3400000000000001E-2</v>
      </c>
      <c r="H1" s="69"/>
      <c r="I1" s="69"/>
      <c r="J1" s="69"/>
      <c r="K1" s="69"/>
    </row>
    <row r="3" spans="1:14">
      <c r="A3" s="56"/>
      <c r="B3" s="65" t="s">
        <v>50</v>
      </c>
      <c r="C3" s="65"/>
      <c r="D3" s="57"/>
      <c r="E3" s="65" t="s">
        <v>53</v>
      </c>
      <c r="F3" s="65"/>
      <c r="G3" s="57"/>
      <c r="H3" s="65" t="s">
        <v>51</v>
      </c>
      <c r="I3" s="65"/>
      <c r="J3" s="57"/>
      <c r="K3" s="65" t="s">
        <v>52</v>
      </c>
      <c r="L3" s="65"/>
    </row>
    <row r="4" spans="1:14">
      <c r="A4" s="57" t="s">
        <v>55</v>
      </c>
      <c r="B4" s="57" t="s">
        <v>91</v>
      </c>
      <c r="C4" s="57" t="s">
        <v>92</v>
      </c>
      <c r="D4" s="57"/>
      <c r="E4" s="57" t="s">
        <v>91</v>
      </c>
      <c r="F4" s="57" t="s">
        <v>92</v>
      </c>
      <c r="G4" s="57"/>
      <c r="H4" s="57" t="s">
        <v>91</v>
      </c>
      <c r="I4" s="57" t="s">
        <v>92</v>
      </c>
      <c r="J4" s="57"/>
      <c r="K4" s="57" t="s">
        <v>91</v>
      </c>
      <c r="L4" s="57" t="s">
        <v>92</v>
      </c>
      <c r="N4" s="16"/>
    </row>
    <row r="5" spans="1:14">
      <c r="A5" s="56">
        <v>0</v>
      </c>
      <c r="B5" s="16"/>
      <c r="C5" s="16">
        <f>Datasheet!C14</f>
        <v>22.4972636</v>
      </c>
      <c r="D5" s="16"/>
      <c r="E5" s="16"/>
      <c r="F5" s="16">
        <f>Datasheet!E14</f>
        <v>16.5</v>
      </c>
      <c r="G5" s="16"/>
      <c r="H5" s="16"/>
      <c r="I5" s="16">
        <f>Datasheet!G14</f>
        <v>21.247620000000001</v>
      </c>
      <c r="J5" s="16"/>
      <c r="K5" s="16"/>
      <c r="L5" s="16">
        <f>Datasheet!I14</f>
        <v>18.5016675</v>
      </c>
      <c r="N5" s="16"/>
    </row>
    <row r="6" spans="1:14">
      <c r="A6" s="56">
        <v>1</v>
      </c>
      <c r="B6" s="16">
        <f>50%*5%*C5</f>
        <v>0.56243158999999998</v>
      </c>
      <c r="C6" s="16">
        <f>C5-B6</f>
        <v>21.934832010000001</v>
      </c>
      <c r="D6" s="16"/>
      <c r="E6" s="16">
        <f>50%*6%*F5</f>
        <v>0.495</v>
      </c>
      <c r="F6" s="16">
        <f>F5-E6</f>
        <v>16.004999999999999</v>
      </c>
      <c r="G6" s="16"/>
      <c r="H6" s="16">
        <f>50%*6%*I5</f>
        <v>0.63742860000000001</v>
      </c>
      <c r="I6" s="16">
        <f>I5-H6</f>
        <v>20.610191400000001</v>
      </c>
      <c r="J6" s="16"/>
      <c r="K6" s="16">
        <f>50%*6%*L5</f>
        <v>0.555050025</v>
      </c>
      <c r="L6" s="16">
        <f>L5-K6</f>
        <v>17.946617475</v>
      </c>
      <c r="N6" s="16"/>
    </row>
    <row r="7" spans="1:14">
      <c r="A7" s="56">
        <v>2</v>
      </c>
      <c r="B7" s="16">
        <f>5%*C6</f>
        <v>1.0967416005000001</v>
      </c>
      <c r="C7" s="16">
        <f t="shared" ref="C7:C25" si="0">C6-B7</f>
        <v>20.838090409500001</v>
      </c>
      <c r="D7" s="16"/>
      <c r="E7" s="16">
        <f>6%*F6</f>
        <v>0.96029999999999993</v>
      </c>
      <c r="F7" s="16">
        <f t="shared" ref="F7:F25" si="1">F6-E7</f>
        <v>15.044699999999999</v>
      </c>
      <c r="G7" s="16"/>
      <c r="H7" s="16">
        <f>6%*I6</f>
        <v>1.236611484</v>
      </c>
      <c r="I7" s="16">
        <f t="shared" ref="I7:I25" si="2">I6-H7</f>
        <v>19.373579916000001</v>
      </c>
      <c r="J7" s="16"/>
      <c r="K7" s="16">
        <f>6%*L6</f>
        <v>1.0767970485</v>
      </c>
      <c r="L7" s="16">
        <f t="shared" ref="L7:L25" si="3">L6-K7</f>
        <v>16.869820426499999</v>
      </c>
      <c r="N7" s="16"/>
    </row>
    <row r="8" spans="1:14">
      <c r="A8" s="56">
        <v>3</v>
      </c>
      <c r="B8" s="16">
        <f t="shared" ref="B8:B25" si="4">5%*C7</f>
        <v>1.0419045204750002</v>
      </c>
      <c r="C8" s="16">
        <f t="shared" si="0"/>
        <v>19.796185889025001</v>
      </c>
      <c r="D8" s="16"/>
      <c r="E8" s="16">
        <f t="shared" ref="E8:E25" si="5">6%*F7</f>
        <v>0.90268199999999987</v>
      </c>
      <c r="F8" s="16">
        <f t="shared" si="1"/>
        <v>14.142017999999998</v>
      </c>
      <c r="G8" s="16"/>
      <c r="H8" s="16">
        <f t="shared" ref="H8:H25" si="6">6%*I7</f>
        <v>1.1624147949599999</v>
      </c>
      <c r="I8" s="16">
        <f t="shared" si="2"/>
        <v>18.211165121040001</v>
      </c>
      <c r="J8" s="16"/>
      <c r="K8" s="16">
        <f t="shared" ref="K8:K25" si="7">6%*L7</f>
        <v>1.0121892255899998</v>
      </c>
      <c r="L8" s="16">
        <f t="shared" si="3"/>
        <v>15.857631200909999</v>
      </c>
      <c r="N8" s="16"/>
    </row>
    <row r="9" spans="1:14">
      <c r="A9" s="56">
        <v>4</v>
      </c>
      <c r="B9" s="16">
        <f t="shared" si="4"/>
        <v>0.9898092944512501</v>
      </c>
      <c r="C9" s="16">
        <f t="shared" si="0"/>
        <v>18.806376594573752</v>
      </c>
      <c r="D9" s="16"/>
      <c r="E9" s="16">
        <f t="shared" si="5"/>
        <v>0.84852107999999993</v>
      </c>
      <c r="F9" s="16">
        <f t="shared" si="1"/>
        <v>13.293496919999999</v>
      </c>
      <c r="G9" s="16"/>
      <c r="H9" s="16">
        <f t="shared" si="6"/>
        <v>1.0926699072624</v>
      </c>
      <c r="I9" s="16">
        <f t="shared" si="2"/>
        <v>17.118495213777599</v>
      </c>
      <c r="J9" s="16"/>
      <c r="K9" s="16">
        <f t="shared" si="7"/>
        <v>0.95145787205459997</v>
      </c>
      <c r="L9" s="16">
        <f t="shared" si="3"/>
        <v>14.906173328855399</v>
      </c>
      <c r="N9" s="16"/>
    </row>
    <row r="10" spans="1:14">
      <c r="A10" s="56">
        <v>5</v>
      </c>
      <c r="B10" s="16">
        <f t="shared" si="4"/>
        <v>0.94031882972868763</v>
      </c>
      <c r="C10" s="16">
        <f t="shared" si="0"/>
        <v>17.866057764845063</v>
      </c>
      <c r="D10" s="16"/>
      <c r="E10" s="16">
        <f t="shared" si="5"/>
        <v>0.79760981519999996</v>
      </c>
      <c r="F10" s="16">
        <f t="shared" si="1"/>
        <v>12.4958871048</v>
      </c>
      <c r="G10" s="16"/>
      <c r="H10" s="16">
        <f t="shared" si="6"/>
        <v>1.027109712826656</v>
      </c>
      <c r="I10" s="16">
        <f t="shared" si="2"/>
        <v>16.091385500950942</v>
      </c>
      <c r="J10" s="16"/>
      <c r="K10" s="16">
        <f t="shared" si="7"/>
        <v>0.89437039973132393</v>
      </c>
      <c r="L10" s="16">
        <f t="shared" si="3"/>
        <v>14.011802929124075</v>
      </c>
      <c r="N10" s="16"/>
    </row>
    <row r="11" spans="1:14">
      <c r="A11" s="56">
        <v>6</v>
      </c>
      <c r="B11" s="16">
        <f t="shared" si="4"/>
        <v>0.89330288824225323</v>
      </c>
      <c r="C11" s="16">
        <f t="shared" si="0"/>
        <v>16.97275487660281</v>
      </c>
      <c r="D11" s="16"/>
      <c r="E11" s="16">
        <f t="shared" si="5"/>
        <v>0.7497532262879999</v>
      </c>
      <c r="F11" s="16">
        <f t="shared" si="1"/>
        <v>11.746133878512</v>
      </c>
      <c r="G11" s="16"/>
      <c r="H11" s="16">
        <f t="shared" si="6"/>
        <v>0.96548313005705644</v>
      </c>
      <c r="I11" s="16">
        <f t="shared" si="2"/>
        <v>15.125902370893886</v>
      </c>
      <c r="J11" s="16"/>
      <c r="K11" s="16">
        <f t="shared" si="7"/>
        <v>0.8407081757474445</v>
      </c>
      <c r="L11" s="16">
        <f t="shared" si="3"/>
        <v>13.17109475337663</v>
      </c>
      <c r="N11" s="16"/>
    </row>
    <row r="12" spans="1:14">
      <c r="A12" s="56">
        <v>7</v>
      </c>
      <c r="B12" s="16">
        <f t="shared" si="4"/>
        <v>0.84863774383014057</v>
      </c>
      <c r="C12" s="16">
        <f t="shared" si="0"/>
        <v>16.124117132772671</v>
      </c>
      <c r="D12" s="16"/>
      <c r="E12" s="16">
        <f t="shared" si="5"/>
        <v>0.70476803271071997</v>
      </c>
      <c r="F12" s="16">
        <f t="shared" si="1"/>
        <v>11.04136584580128</v>
      </c>
      <c r="G12" s="16"/>
      <c r="H12" s="16">
        <f t="shared" si="6"/>
        <v>0.90755414225363318</v>
      </c>
      <c r="I12" s="16">
        <f t="shared" si="2"/>
        <v>14.218348228640252</v>
      </c>
      <c r="J12" s="16"/>
      <c r="K12" s="16">
        <f t="shared" si="7"/>
        <v>0.79026568520259777</v>
      </c>
      <c r="L12" s="16">
        <f t="shared" si="3"/>
        <v>12.380829068174032</v>
      </c>
      <c r="N12" s="16"/>
    </row>
    <row r="13" spans="1:14">
      <c r="A13" s="56">
        <v>8</v>
      </c>
      <c r="B13" s="16">
        <f t="shared" si="4"/>
        <v>0.80620585663863364</v>
      </c>
      <c r="C13" s="16">
        <f t="shared" si="0"/>
        <v>15.317911276134037</v>
      </c>
      <c r="D13" s="16"/>
      <c r="E13" s="16">
        <f t="shared" si="5"/>
        <v>0.66248195074807681</v>
      </c>
      <c r="F13" s="16">
        <f t="shared" si="1"/>
        <v>10.378883895053203</v>
      </c>
      <c r="G13" s="16"/>
      <c r="H13" s="16">
        <f t="shared" si="6"/>
        <v>0.85310089371841513</v>
      </c>
      <c r="I13" s="16">
        <f t="shared" si="2"/>
        <v>13.365247334921838</v>
      </c>
      <c r="J13" s="16"/>
      <c r="K13" s="16">
        <f t="shared" si="7"/>
        <v>0.74284974409044191</v>
      </c>
      <c r="L13" s="16">
        <f t="shared" si="3"/>
        <v>11.63797932408359</v>
      </c>
      <c r="N13" s="16"/>
    </row>
    <row r="14" spans="1:14">
      <c r="A14" s="56">
        <v>9</v>
      </c>
      <c r="B14" s="16">
        <f t="shared" si="4"/>
        <v>0.76589556380670187</v>
      </c>
      <c r="C14" s="16">
        <f t="shared" si="0"/>
        <v>14.552015712327336</v>
      </c>
      <c r="D14" s="16"/>
      <c r="E14" s="16">
        <f t="shared" si="5"/>
        <v>0.62273303370319222</v>
      </c>
      <c r="F14" s="16">
        <f t="shared" si="1"/>
        <v>9.7561508613500116</v>
      </c>
      <c r="G14" s="16"/>
      <c r="H14" s="16">
        <f t="shared" si="6"/>
        <v>0.80191484009531022</v>
      </c>
      <c r="I14" s="16">
        <f t="shared" si="2"/>
        <v>12.563332494826527</v>
      </c>
      <c r="J14" s="16"/>
      <c r="K14" s="16">
        <f t="shared" si="7"/>
        <v>0.69827875944501538</v>
      </c>
      <c r="L14" s="16">
        <f t="shared" si="3"/>
        <v>10.939700564638574</v>
      </c>
      <c r="N14" s="16"/>
    </row>
    <row r="15" spans="1:14">
      <c r="A15" s="56">
        <v>10</v>
      </c>
      <c r="B15" s="16">
        <f t="shared" si="4"/>
        <v>0.72760078561636687</v>
      </c>
      <c r="C15" s="16">
        <f t="shared" si="0"/>
        <v>13.824414926710968</v>
      </c>
      <c r="D15" s="16"/>
      <c r="E15" s="16">
        <f t="shared" si="5"/>
        <v>0.58536905168100073</v>
      </c>
      <c r="F15" s="16">
        <f t="shared" si="1"/>
        <v>9.1707818096690108</v>
      </c>
      <c r="G15" s="16"/>
      <c r="H15" s="16">
        <f t="shared" si="6"/>
        <v>0.75379994968959163</v>
      </c>
      <c r="I15" s="16">
        <f t="shared" si="2"/>
        <v>11.809532545136936</v>
      </c>
      <c r="J15" s="16"/>
      <c r="K15" s="16">
        <f t="shared" si="7"/>
        <v>0.6563820338783144</v>
      </c>
      <c r="L15" s="16">
        <f t="shared" si="3"/>
        <v>10.28331853076026</v>
      </c>
      <c r="N15" s="16"/>
    </row>
    <row r="16" spans="1:14">
      <c r="A16" s="56">
        <v>11</v>
      </c>
      <c r="B16" s="16">
        <f t="shared" si="4"/>
        <v>0.69122074633554842</v>
      </c>
      <c r="C16" s="16">
        <f t="shared" si="0"/>
        <v>13.133194180375419</v>
      </c>
      <c r="D16" s="16"/>
      <c r="E16" s="16">
        <f t="shared" si="5"/>
        <v>0.55024690858014058</v>
      </c>
      <c r="F16" s="16">
        <f t="shared" si="1"/>
        <v>8.6205349010888703</v>
      </c>
      <c r="G16" s="16"/>
      <c r="H16" s="16">
        <f t="shared" si="6"/>
        <v>0.70857195270821616</v>
      </c>
      <c r="I16" s="16">
        <f t="shared" si="2"/>
        <v>11.10096059242872</v>
      </c>
      <c r="J16" s="16"/>
      <c r="K16" s="16">
        <f t="shared" si="7"/>
        <v>0.61699911184561562</v>
      </c>
      <c r="L16" s="16">
        <f t="shared" si="3"/>
        <v>9.6663194189146449</v>
      </c>
      <c r="N16" s="16"/>
    </row>
    <row r="17" spans="1:20">
      <c r="A17" s="56">
        <v>12</v>
      </c>
      <c r="B17" s="16">
        <f t="shared" si="4"/>
        <v>0.65665970901877102</v>
      </c>
      <c r="C17" s="16">
        <f t="shared" si="0"/>
        <v>12.476534471356649</v>
      </c>
      <c r="D17" s="16"/>
      <c r="E17" s="16">
        <f t="shared" si="5"/>
        <v>0.51723209406533222</v>
      </c>
      <c r="F17" s="16">
        <f t="shared" si="1"/>
        <v>8.1033028070235389</v>
      </c>
      <c r="G17" s="16"/>
      <c r="H17" s="16">
        <f t="shared" si="6"/>
        <v>0.66605763554572317</v>
      </c>
      <c r="I17" s="16">
        <f t="shared" si="2"/>
        <v>10.434902956882997</v>
      </c>
      <c r="J17" s="16"/>
      <c r="K17" s="16">
        <f t="shared" si="7"/>
        <v>0.57997916513487868</v>
      </c>
      <c r="L17" s="16">
        <f t="shared" si="3"/>
        <v>9.0863402537797668</v>
      </c>
      <c r="N17" s="16"/>
    </row>
    <row r="18" spans="1:20">
      <c r="A18" s="56">
        <v>13</v>
      </c>
      <c r="B18" s="16">
        <f t="shared" si="4"/>
        <v>0.62382672356783253</v>
      </c>
      <c r="C18" s="16">
        <f t="shared" si="0"/>
        <v>11.852707747788816</v>
      </c>
      <c r="D18" s="16"/>
      <c r="E18" s="16">
        <f t="shared" si="5"/>
        <v>0.48619816842141234</v>
      </c>
      <c r="F18" s="16">
        <f t="shared" si="1"/>
        <v>7.6171046386021262</v>
      </c>
      <c r="G18" s="16"/>
      <c r="H18" s="16">
        <f t="shared" si="6"/>
        <v>0.62609417741297979</v>
      </c>
      <c r="I18" s="16">
        <f t="shared" si="2"/>
        <v>9.8088087794700165</v>
      </c>
      <c r="J18" s="16"/>
      <c r="K18" s="16">
        <f t="shared" si="7"/>
        <v>0.54518041522678595</v>
      </c>
      <c r="L18" s="16">
        <f t="shared" si="3"/>
        <v>8.5411598385529803</v>
      </c>
      <c r="N18" s="16"/>
    </row>
    <row r="19" spans="1:20">
      <c r="A19" s="56">
        <v>14</v>
      </c>
      <c r="B19" s="16">
        <f t="shared" si="4"/>
        <v>0.59263538738944088</v>
      </c>
      <c r="C19" s="16">
        <f t="shared" si="0"/>
        <v>11.260072360399375</v>
      </c>
      <c r="D19" s="16"/>
      <c r="E19" s="16">
        <f t="shared" si="5"/>
        <v>0.45702627831612758</v>
      </c>
      <c r="F19" s="16">
        <f t="shared" si="1"/>
        <v>7.1600783602859988</v>
      </c>
      <c r="G19" s="16"/>
      <c r="H19" s="16">
        <f t="shared" si="6"/>
        <v>0.588528526768201</v>
      </c>
      <c r="I19" s="16">
        <f t="shared" si="2"/>
        <v>9.2202802527018157</v>
      </c>
      <c r="J19" s="16"/>
      <c r="K19" s="16">
        <f t="shared" si="7"/>
        <v>0.51246959031317885</v>
      </c>
      <c r="L19" s="16">
        <f t="shared" si="3"/>
        <v>8.0286902482398013</v>
      </c>
      <c r="N19" s="16"/>
    </row>
    <row r="20" spans="1:20">
      <c r="A20" s="56">
        <v>15</v>
      </c>
      <c r="B20" s="16">
        <f t="shared" si="4"/>
        <v>0.56300361801996879</v>
      </c>
      <c r="C20" s="16">
        <f t="shared" si="0"/>
        <v>10.697068742379406</v>
      </c>
      <c r="D20" s="16"/>
      <c r="E20" s="16">
        <f t="shared" si="5"/>
        <v>0.42960470161715991</v>
      </c>
      <c r="F20" s="16">
        <f t="shared" si="1"/>
        <v>6.7304736586688385</v>
      </c>
      <c r="G20" s="16"/>
      <c r="H20" s="16">
        <f t="shared" si="6"/>
        <v>0.55321681516210897</v>
      </c>
      <c r="I20" s="16">
        <f t="shared" si="2"/>
        <v>8.6670634375397064</v>
      </c>
      <c r="J20" s="16"/>
      <c r="K20" s="16">
        <f t="shared" si="7"/>
        <v>0.48172141489438808</v>
      </c>
      <c r="L20" s="16">
        <f t="shared" si="3"/>
        <v>7.5469688333454128</v>
      </c>
      <c r="N20" s="16"/>
    </row>
    <row r="21" spans="1:20">
      <c r="A21" s="56">
        <v>16</v>
      </c>
      <c r="B21" s="16">
        <f t="shared" si="4"/>
        <v>0.53485343711897027</v>
      </c>
      <c r="C21" s="16">
        <f t="shared" si="0"/>
        <v>10.162215305260435</v>
      </c>
      <c r="D21" s="16"/>
      <c r="E21" s="16">
        <f t="shared" si="5"/>
        <v>0.40382841952013032</v>
      </c>
      <c r="F21" s="16">
        <f t="shared" si="1"/>
        <v>6.326645239148708</v>
      </c>
      <c r="G21" s="16"/>
      <c r="H21" s="16">
        <f t="shared" si="6"/>
        <v>0.52002380625238231</v>
      </c>
      <c r="I21" s="16">
        <f t="shared" si="2"/>
        <v>8.1470396312873241</v>
      </c>
      <c r="J21" s="16"/>
      <c r="K21" s="16">
        <f t="shared" si="7"/>
        <v>0.45281813000072474</v>
      </c>
      <c r="L21" s="16">
        <f t="shared" si="3"/>
        <v>7.0941507033446882</v>
      </c>
      <c r="N21" s="16"/>
    </row>
    <row r="22" spans="1:20">
      <c r="A22" s="56">
        <v>17</v>
      </c>
      <c r="B22" s="16">
        <f t="shared" si="4"/>
        <v>0.50811076526302179</v>
      </c>
      <c r="C22" s="16">
        <f t="shared" si="0"/>
        <v>9.6541045399974141</v>
      </c>
      <c r="D22" s="16"/>
      <c r="E22" s="16">
        <f t="shared" si="5"/>
        <v>0.37959871434892245</v>
      </c>
      <c r="F22" s="16">
        <f t="shared" si="1"/>
        <v>5.9470465247997852</v>
      </c>
      <c r="G22" s="16"/>
      <c r="H22" s="16">
        <f t="shared" si="6"/>
        <v>0.48882237787723942</v>
      </c>
      <c r="I22" s="16">
        <f t="shared" si="2"/>
        <v>7.6582172534100845</v>
      </c>
      <c r="J22" s="16"/>
      <c r="K22" s="16">
        <f t="shared" si="7"/>
        <v>0.42564904220068128</v>
      </c>
      <c r="L22" s="16">
        <f t="shared" si="3"/>
        <v>6.6685016611440071</v>
      </c>
      <c r="N22" s="16"/>
    </row>
    <row r="23" spans="1:20">
      <c r="A23" s="56">
        <v>18</v>
      </c>
      <c r="B23" s="16">
        <f t="shared" si="4"/>
        <v>0.48270522699987073</v>
      </c>
      <c r="C23" s="16">
        <f t="shared" si="0"/>
        <v>9.1713993129975435</v>
      </c>
      <c r="D23" s="16"/>
      <c r="E23" s="16">
        <f t="shared" si="5"/>
        <v>0.35682279148798712</v>
      </c>
      <c r="F23" s="16">
        <f t="shared" si="1"/>
        <v>5.5902237333117979</v>
      </c>
      <c r="G23" s="16"/>
      <c r="H23" s="16">
        <f t="shared" si="6"/>
        <v>0.45949303520460505</v>
      </c>
      <c r="I23" s="16">
        <f t="shared" si="2"/>
        <v>7.1987242182054798</v>
      </c>
      <c r="J23" s="16"/>
      <c r="K23" s="16">
        <f t="shared" si="7"/>
        <v>0.40011009966864042</v>
      </c>
      <c r="L23" s="16">
        <f t="shared" si="3"/>
        <v>6.2683915614753669</v>
      </c>
      <c r="N23" s="16"/>
    </row>
    <row r="24" spans="1:20">
      <c r="A24" s="56">
        <v>19</v>
      </c>
      <c r="B24" s="16">
        <f t="shared" si="4"/>
        <v>0.45856996564987718</v>
      </c>
      <c r="C24" s="16">
        <f t="shared" si="0"/>
        <v>8.7128293473476663</v>
      </c>
      <c r="D24" s="16"/>
      <c r="E24" s="16">
        <f t="shared" si="5"/>
        <v>0.33541342399870788</v>
      </c>
      <c r="F24" s="16">
        <f t="shared" si="1"/>
        <v>5.2548103093130898</v>
      </c>
      <c r="G24" s="16"/>
      <c r="H24" s="16">
        <f t="shared" si="6"/>
        <v>0.43192345309232877</v>
      </c>
      <c r="I24" s="16">
        <f t="shared" si="2"/>
        <v>6.7668007651131514</v>
      </c>
      <c r="J24" s="16"/>
      <c r="K24" s="16">
        <f t="shared" si="7"/>
        <v>0.37610349368852203</v>
      </c>
      <c r="L24" s="16">
        <f t="shared" si="3"/>
        <v>5.8922880677868452</v>
      </c>
      <c r="N24" s="16"/>
    </row>
    <row r="25" spans="1:20">
      <c r="A25" s="56">
        <v>20</v>
      </c>
      <c r="B25" s="16">
        <f t="shared" si="4"/>
        <v>0.43564146736738335</v>
      </c>
      <c r="C25" s="16">
        <f t="shared" si="0"/>
        <v>8.2771878799802838</v>
      </c>
      <c r="D25" s="16"/>
      <c r="E25" s="16">
        <f t="shared" si="5"/>
        <v>0.31528861855878537</v>
      </c>
      <c r="F25" s="16">
        <f t="shared" si="1"/>
        <v>4.9395216907543045</v>
      </c>
      <c r="G25" s="16"/>
      <c r="H25" s="16">
        <f t="shared" si="6"/>
        <v>0.40600804590678907</v>
      </c>
      <c r="I25" s="16">
        <f t="shared" si="2"/>
        <v>6.360792719206362</v>
      </c>
      <c r="J25" s="16"/>
      <c r="K25" s="16">
        <f t="shared" si="7"/>
        <v>0.35353728406721069</v>
      </c>
      <c r="L25" s="16">
        <f t="shared" si="3"/>
        <v>5.5387507837196344</v>
      </c>
      <c r="N25" s="16"/>
    </row>
    <row r="26" spans="1:20">
      <c r="A26" s="56"/>
      <c r="B26" s="16"/>
    </row>
    <row r="30" spans="1:20">
      <c r="A30" s="67" t="s">
        <v>93</v>
      </c>
      <c r="B30" s="67"/>
      <c r="C30" s="67"/>
      <c r="D30" s="67"/>
      <c r="E30" s="67"/>
      <c r="F30" s="67"/>
      <c r="H30" s="67" t="s">
        <v>94</v>
      </c>
      <c r="I30" s="67"/>
      <c r="J30" s="67"/>
      <c r="K30" s="67"/>
      <c r="L30" s="67"/>
      <c r="M30" s="67"/>
    </row>
    <row r="31" spans="1:20">
      <c r="A31" s="45" t="s">
        <v>55</v>
      </c>
      <c r="B31" s="46" t="s">
        <v>95</v>
      </c>
      <c r="C31" s="46" t="s">
        <v>91</v>
      </c>
      <c r="D31" s="46" t="s">
        <v>96</v>
      </c>
      <c r="E31" s="46" t="s">
        <v>97</v>
      </c>
      <c r="F31" s="46" t="s">
        <v>98</v>
      </c>
      <c r="G31" s="16"/>
      <c r="H31" s="45" t="s">
        <v>55</v>
      </c>
      <c r="I31" s="46" t="s">
        <v>95</v>
      </c>
      <c r="J31" s="46" t="s">
        <v>91</v>
      </c>
      <c r="K31" s="46" t="s">
        <v>96</v>
      </c>
      <c r="L31" s="46" t="s">
        <v>97</v>
      </c>
      <c r="M31" s="46" t="s">
        <v>98</v>
      </c>
      <c r="N31" s="16"/>
      <c r="O31" s="16"/>
      <c r="P31" s="16"/>
      <c r="Q31" s="16"/>
      <c r="R31" s="16"/>
      <c r="S31" s="16"/>
      <c r="T31" s="16"/>
    </row>
    <row r="32" spans="1:20">
      <c r="A32" s="58">
        <v>0</v>
      </c>
      <c r="B32" s="16">
        <f>'ECONOMIC ANALYSIS'!I5</f>
        <v>-22.4972636</v>
      </c>
      <c r="C32" s="16">
        <f>B5</f>
        <v>0</v>
      </c>
      <c r="D32" s="16"/>
      <c r="E32" s="16"/>
      <c r="F32" s="16">
        <f>B32-E32</f>
        <v>-22.4972636</v>
      </c>
      <c r="G32" s="16"/>
      <c r="H32" s="58">
        <v>0</v>
      </c>
      <c r="I32" s="16">
        <f>'ECONOMIC ANALYSIS'!I33</f>
        <v>-16.5</v>
      </c>
      <c r="J32" s="16">
        <f>E5</f>
        <v>0</v>
      </c>
      <c r="K32" s="16"/>
      <c r="L32" s="16"/>
      <c r="M32" s="16">
        <f>I32-L32</f>
        <v>-16.5</v>
      </c>
      <c r="N32" s="16"/>
      <c r="O32" s="16"/>
      <c r="P32" s="16"/>
      <c r="Q32" s="16"/>
      <c r="R32" s="16"/>
      <c r="S32" s="16"/>
      <c r="T32" s="16"/>
    </row>
    <row r="33" spans="1:20">
      <c r="A33" s="58">
        <v>1</v>
      </c>
      <c r="B33" s="16">
        <f>'ECONOMIC ANALYSIS'!I6</f>
        <v>3.2825860000000002</v>
      </c>
      <c r="C33" s="16">
        <f t="shared" ref="C33:C51" si="8">B6</f>
        <v>0.56243158999999998</v>
      </c>
      <c r="D33" s="16">
        <f>B33-C33</f>
        <v>2.7201544100000001</v>
      </c>
      <c r="E33" s="16">
        <f>38%*D33</f>
        <v>1.0336586758000001</v>
      </c>
      <c r="F33" s="16">
        <f t="shared" ref="F33:F52" si="9">B33-E33</f>
        <v>2.2489273242000003</v>
      </c>
      <c r="G33" s="16"/>
      <c r="H33" s="58">
        <v>1</v>
      </c>
      <c r="I33" s="16">
        <f>'ECONOMIC ANALYSIS'!I34</f>
        <v>2.3199000000000005</v>
      </c>
      <c r="J33" s="16">
        <f t="shared" ref="J33:J52" si="10">E6</f>
        <v>0.495</v>
      </c>
      <c r="K33" s="16">
        <f>I33-J33</f>
        <v>1.8249000000000004</v>
      </c>
      <c r="L33" s="16">
        <f>38%*K33</f>
        <v>0.69346200000000013</v>
      </c>
      <c r="M33" s="16">
        <f t="shared" ref="M33:M52" si="11">I33-L33</f>
        <v>1.6264380000000003</v>
      </c>
      <c r="N33" s="16"/>
      <c r="O33" s="16"/>
      <c r="P33" s="16"/>
      <c r="Q33" s="16"/>
      <c r="R33" s="16"/>
      <c r="S33" s="16"/>
      <c r="T33" s="16"/>
    </row>
    <row r="34" spans="1:20">
      <c r="A34" s="58">
        <v>2</v>
      </c>
      <c r="B34" s="16">
        <f>'ECONOMIC ANALYSIS'!I7</f>
        <v>3.2825860000000002</v>
      </c>
      <c r="C34" s="16">
        <f t="shared" si="8"/>
        <v>1.0967416005000001</v>
      </c>
      <c r="D34" s="16">
        <f t="shared" ref="D34:D52" si="12">B34-C34</f>
        <v>2.1858443995000001</v>
      </c>
      <c r="E34" s="16">
        <f t="shared" ref="E34:E52" si="13">38%*D34</f>
        <v>0.83062087180999999</v>
      </c>
      <c r="F34" s="16">
        <f t="shared" si="9"/>
        <v>2.4519651281900003</v>
      </c>
      <c r="G34" s="16"/>
      <c r="H34" s="58">
        <v>2</v>
      </c>
      <c r="I34" s="16">
        <f>'ECONOMIC ANALYSIS'!I35</f>
        <v>2.3199000000000005</v>
      </c>
      <c r="J34" s="16">
        <f t="shared" si="10"/>
        <v>0.96029999999999993</v>
      </c>
      <c r="K34" s="16">
        <f t="shared" ref="K34:K52" si="14">I34-J34</f>
        <v>1.3596000000000006</v>
      </c>
      <c r="L34" s="16">
        <f t="shared" ref="L34:L52" si="15">38%*K34</f>
        <v>0.51664800000000022</v>
      </c>
      <c r="M34" s="16">
        <f t="shared" si="11"/>
        <v>1.8032520000000003</v>
      </c>
      <c r="N34" s="16"/>
      <c r="O34" s="16"/>
      <c r="P34" s="16"/>
      <c r="Q34" s="16"/>
      <c r="R34" s="16"/>
      <c r="S34" s="16"/>
      <c r="T34" s="16"/>
    </row>
    <row r="35" spans="1:20">
      <c r="A35" s="58">
        <v>3</v>
      </c>
      <c r="B35" s="16">
        <f>'ECONOMIC ANALYSIS'!I8</f>
        <v>3.2825860000000002</v>
      </c>
      <c r="C35" s="16">
        <f t="shared" si="8"/>
        <v>1.0419045204750002</v>
      </c>
      <c r="D35" s="16">
        <f t="shared" si="12"/>
        <v>2.2406814795250001</v>
      </c>
      <c r="E35" s="16">
        <f t="shared" si="13"/>
        <v>0.85145896221950002</v>
      </c>
      <c r="F35" s="16">
        <f t="shared" si="9"/>
        <v>2.4311270377805001</v>
      </c>
      <c r="G35" s="16"/>
      <c r="H35" s="58">
        <v>3</v>
      </c>
      <c r="I35" s="16">
        <f>'ECONOMIC ANALYSIS'!I36</f>
        <v>2.3199000000000005</v>
      </c>
      <c r="J35" s="16">
        <f t="shared" si="10"/>
        <v>0.90268199999999987</v>
      </c>
      <c r="K35" s="16">
        <f t="shared" si="14"/>
        <v>1.4172180000000005</v>
      </c>
      <c r="L35" s="16">
        <f t="shared" si="15"/>
        <v>0.53854284000000019</v>
      </c>
      <c r="M35" s="16">
        <f t="shared" si="11"/>
        <v>1.7813571600000002</v>
      </c>
      <c r="N35" s="16"/>
      <c r="O35" s="16"/>
      <c r="P35" s="16"/>
      <c r="Q35" s="16"/>
      <c r="R35" s="16"/>
      <c r="S35" s="16"/>
      <c r="T35" s="16"/>
    </row>
    <row r="36" spans="1:20">
      <c r="A36" s="58">
        <v>4</v>
      </c>
      <c r="B36" s="16">
        <f>'ECONOMIC ANALYSIS'!I9</f>
        <v>3.2825860000000002</v>
      </c>
      <c r="C36" s="16">
        <f t="shared" si="8"/>
        <v>0.9898092944512501</v>
      </c>
      <c r="D36" s="16">
        <f t="shared" si="12"/>
        <v>2.29277670554875</v>
      </c>
      <c r="E36" s="16">
        <f t="shared" si="13"/>
        <v>0.871255148108525</v>
      </c>
      <c r="F36" s="16">
        <f t="shared" si="9"/>
        <v>2.4113308518914751</v>
      </c>
      <c r="G36" s="16"/>
      <c r="H36" s="58">
        <v>4</v>
      </c>
      <c r="I36" s="16">
        <f>'ECONOMIC ANALYSIS'!I37</f>
        <v>2.3199000000000005</v>
      </c>
      <c r="J36" s="16">
        <f t="shared" si="10"/>
        <v>0.84852107999999993</v>
      </c>
      <c r="K36" s="16">
        <f t="shared" si="14"/>
        <v>1.4713789200000007</v>
      </c>
      <c r="L36" s="16">
        <f t="shared" si="15"/>
        <v>0.55912398960000032</v>
      </c>
      <c r="M36" s="16">
        <f t="shared" si="11"/>
        <v>1.7607760104000003</v>
      </c>
      <c r="N36" s="16"/>
      <c r="O36" s="16"/>
      <c r="P36" s="16"/>
      <c r="Q36" s="16"/>
      <c r="R36" s="16"/>
      <c r="S36" s="16"/>
      <c r="T36" s="16"/>
    </row>
    <row r="37" spans="1:20">
      <c r="A37" s="58">
        <v>5</v>
      </c>
      <c r="B37" s="16">
        <f>'ECONOMIC ANALYSIS'!I10</f>
        <v>3.2825860000000002</v>
      </c>
      <c r="C37" s="16">
        <f t="shared" si="8"/>
        <v>0.94031882972868763</v>
      </c>
      <c r="D37" s="16">
        <f t="shared" si="12"/>
        <v>2.3422671702713127</v>
      </c>
      <c r="E37" s="16">
        <f t="shared" si="13"/>
        <v>0.89006152470309885</v>
      </c>
      <c r="F37" s="16">
        <f t="shared" si="9"/>
        <v>2.3925244752969013</v>
      </c>
      <c r="G37" s="16"/>
      <c r="H37" s="58">
        <v>5</v>
      </c>
      <c r="I37" s="16">
        <f>'ECONOMIC ANALYSIS'!I38</f>
        <v>2.3199000000000005</v>
      </c>
      <c r="J37" s="16">
        <f t="shared" si="10"/>
        <v>0.79760981519999996</v>
      </c>
      <c r="K37" s="16">
        <f t="shared" si="14"/>
        <v>1.5222901848000006</v>
      </c>
      <c r="L37" s="16">
        <f t="shared" si="15"/>
        <v>0.57847027022400022</v>
      </c>
      <c r="M37" s="16">
        <f t="shared" si="11"/>
        <v>1.7414297297760002</v>
      </c>
      <c r="N37" s="16"/>
      <c r="O37" s="16"/>
      <c r="P37" s="16"/>
      <c r="Q37" s="16"/>
      <c r="R37" s="16"/>
      <c r="S37" s="16"/>
      <c r="T37" s="16"/>
    </row>
    <row r="38" spans="1:20">
      <c r="A38" s="58">
        <v>6</v>
      </c>
      <c r="B38" s="16">
        <f>'ECONOMIC ANALYSIS'!I11</f>
        <v>2.381494</v>
      </c>
      <c r="C38" s="16">
        <f t="shared" si="8"/>
        <v>0.89330288824225323</v>
      </c>
      <c r="D38" s="16">
        <f t="shared" si="12"/>
        <v>1.4881911117577467</v>
      </c>
      <c r="E38" s="16">
        <f t="shared" si="13"/>
        <v>0.56551262246794376</v>
      </c>
      <c r="F38" s="16">
        <f t="shared" si="9"/>
        <v>1.8159813775320561</v>
      </c>
      <c r="G38" s="16"/>
      <c r="H38" s="58">
        <v>6</v>
      </c>
      <c r="I38" s="16">
        <f>'ECONOMIC ANALYSIS'!I39</f>
        <v>1.2804000000000002</v>
      </c>
      <c r="J38" s="16">
        <f t="shared" si="10"/>
        <v>0.7497532262879999</v>
      </c>
      <c r="K38" s="16">
        <f t="shared" si="14"/>
        <v>0.53064677371200031</v>
      </c>
      <c r="L38" s="16">
        <f t="shared" si="15"/>
        <v>0.20164577401056011</v>
      </c>
      <c r="M38" s="16">
        <f t="shared" si="11"/>
        <v>1.07875422598944</v>
      </c>
      <c r="N38" s="16"/>
      <c r="O38" s="16"/>
      <c r="P38" s="16"/>
      <c r="Q38" s="16"/>
      <c r="R38" s="16"/>
      <c r="S38" s="16"/>
      <c r="T38" s="16"/>
    </row>
    <row r="39" spans="1:20">
      <c r="A39" s="58">
        <v>7</v>
      </c>
      <c r="B39" s="16">
        <f>'ECONOMIC ANALYSIS'!I12</f>
        <v>-6.1983679255074895</v>
      </c>
      <c r="C39" s="16">
        <f t="shared" si="8"/>
        <v>0.84863774383014057</v>
      </c>
      <c r="D39" s="16">
        <f t="shared" si="12"/>
        <v>-7.0470056693376302</v>
      </c>
      <c r="E39" s="16">
        <f t="shared" si="13"/>
        <v>-2.6778621543482997</v>
      </c>
      <c r="F39" s="16">
        <f t="shared" si="9"/>
        <v>-3.5205057711591898</v>
      </c>
      <c r="G39" s="16"/>
      <c r="H39" s="58">
        <v>7</v>
      </c>
      <c r="I39" s="16">
        <f>'ECONOMIC ANALYSIS'!I40</f>
        <v>0.42370921489850222</v>
      </c>
      <c r="J39" s="16">
        <f t="shared" si="10"/>
        <v>0.70476803271071997</v>
      </c>
      <c r="K39" s="16">
        <f t="shared" si="14"/>
        <v>-0.28105881781221775</v>
      </c>
      <c r="L39" s="16">
        <f t="shared" si="15"/>
        <v>-0.10680235076864275</v>
      </c>
      <c r="M39" s="16">
        <f t="shared" si="11"/>
        <v>0.53051156566714497</v>
      </c>
      <c r="N39" s="16"/>
      <c r="O39" s="16"/>
      <c r="P39" s="16"/>
      <c r="Q39" s="16"/>
      <c r="R39" s="16"/>
      <c r="S39" s="16"/>
      <c r="T39" s="16"/>
    </row>
    <row r="40" spans="1:20">
      <c r="A40" s="58">
        <v>8</v>
      </c>
      <c r="B40" s="16">
        <f>'ECONOMIC ANALYSIS'!I13</f>
        <v>3.2825860000000002</v>
      </c>
      <c r="C40" s="16">
        <f t="shared" si="8"/>
        <v>0.80620585663863364</v>
      </c>
      <c r="D40" s="16">
        <f t="shared" si="12"/>
        <v>2.4763801433613666</v>
      </c>
      <c r="E40" s="16">
        <f t="shared" si="13"/>
        <v>0.94102445447731931</v>
      </c>
      <c r="F40" s="16">
        <f t="shared" si="9"/>
        <v>2.3415615455226808</v>
      </c>
      <c r="G40" s="16"/>
      <c r="H40" s="58">
        <v>8</v>
      </c>
      <c r="I40" s="16">
        <f>'ECONOMIC ANALYSIS'!I41</f>
        <v>2.3199000000000005</v>
      </c>
      <c r="J40" s="16">
        <f t="shared" si="10"/>
        <v>0.66248195074807681</v>
      </c>
      <c r="K40" s="16">
        <f t="shared" si="14"/>
        <v>1.6574180492519237</v>
      </c>
      <c r="L40" s="16">
        <f t="shared" si="15"/>
        <v>0.62981885871573107</v>
      </c>
      <c r="M40" s="16">
        <f t="shared" si="11"/>
        <v>1.6900811412842693</v>
      </c>
      <c r="N40" s="16"/>
      <c r="O40" s="16"/>
      <c r="P40" s="16"/>
      <c r="Q40" s="16"/>
      <c r="R40" s="16"/>
      <c r="S40" s="16"/>
      <c r="T40" s="16"/>
    </row>
    <row r="41" spans="1:20">
      <c r="A41" s="58">
        <v>9</v>
      </c>
      <c r="B41" s="16">
        <f>'ECONOMIC ANALYSIS'!I14</f>
        <v>3.2825860000000002</v>
      </c>
      <c r="C41" s="16">
        <f t="shared" si="8"/>
        <v>0.76589556380670187</v>
      </c>
      <c r="D41" s="16">
        <f t="shared" si="12"/>
        <v>2.5166904361932985</v>
      </c>
      <c r="E41" s="16">
        <f t="shared" si="13"/>
        <v>0.95634236575345344</v>
      </c>
      <c r="F41" s="16">
        <f t="shared" si="9"/>
        <v>2.3262436342465467</v>
      </c>
      <c r="G41" s="16"/>
      <c r="H41" s="58">
        <v>9</v>
      </c>
      <c r="I41" s="16">
        <f>'ECONOMIC ANALYSIS'!I42</f>
        <v>2.3199000000000005</v>
      </c>
      <c r="J41" s="16">
        <f t="shared" si="10"/>
        <v>0.62273303370319222</v>
      </c>
      <c r="K41" s="16">
        <f t="shared" si="14"/>
        <v>1.6971669662968083</v>
      </c>
      <c r="L41" s="16">
        <f t="shared" si="15"/>
        <v>0.64492344719278716</v>
      </c>
      <c r="M41" s="16">
        <f t="shared" si="11"/>
        <v>1.6749765528072134</v>
      </c>
      <c r="N41" s="16"/>
      <c r="O41" s="16"/>
      <c r="P41" s="16"/>
      <c r="Q41" s="16"/>
      <c r="R41" s="16"/>
      <c r="S41" s="16"/>
      <c r="T41" s="16"/>
    </row>
    <row r="42" spans="1:20">
      <c r="A42" s="58">
        <v>10</v>
      </c>
      <c r="B42" s="16">
        <f>'ECONOMIC ANALYSIS'!I15</f>
        <v>3.2825860000000002</v>
      </c>
      <c r="C42" s="16">
        <f t="shared" si="8"/>
        <v>0.72760078561636687</v>
      </c>
      <c r="D42" s="16">
        <f t="shared" si="12"/>
        <v>2.5549852143836334</v>
      </c>
      <c r="E42" s="16">
        <f t="shared" si="13"/>
        <v>0.97089438146578066</v>
      </c>
      <c r="F42" s="16">
        <f t="shared" si="9"/>
        <v>2.3116916185342196</v>
      </c>
      <c r="G42" s="16"/>
      <c r="H42" s="58">
        <v>10</v>
      </c>
      <c r="I42" s="16">
        <f>'ECONOMIC ANALYSIS'!I43</f>
        <v>2.3199000000000005</v>
      </c>
      <c r="J42" s="16">
        <f t="shared" si="10"/>
        <v>0.58536905168100073</v>
      </c>
      <c r="K42" s="16">
        <f t="shared" si="14"/>
        <v>1.7345309483189997</v>
      </c>
      <c r="L42" s="16">
        <f t="shared" si="15"/>
        <v>0.65912176036121983</v>
      </c>
      <c r="M42" s="16">
        <f t="shared" si="11"/>
        <v>1.6607782396387807</v>
      </c>
      <c r="N42" s="16"/>
      <c r="O42" s="16"/>
      <c r="P42" s="16"/>
      <c r="Q42" s="16"/>
      <c r="R42" s="16"/>
      <c r="S42" s="16"/>
      <c r="T42" s="16"/>
    </row>
    <row r="43" spans="1:20">
      <c r="A43" s="58">
        <v>11</v>
      </c>
      <c r="B43" s="16">
        <f>'ECONOMIC ANALYSIS'!I16</f>
        <v>3.2825860000000002</v>
      </c>
      <c r="C43" s="16">
        <f t="shared" si="8"/>
        <v>0.69122074633554842</v>
      </c>
      <c r="D43" s="16">
        <f t="shared" si="12"/>
        <v>2.5913652536644518</v>
      </c>
      <c r="E43" s="16">
        <f t="shared" si="13"/>
        <v>0.98471879639249171</v>
      </c>
      <c r="F43" s="16">
        <f t="shared" si="9"/>
        <v>2.2978672036075087</v>
      </c>
      <c r="G43" s="16"/>
      <c r="H43" s="58">
        <v>11</v>
      </c>
      <c r="I43" s="16">
        <f>'ECONOMIC ANALYSIS'!I44</f>
        <v>2.3199000000000005</v>
      </c>
      <c r="J43" s="16">
        <f t="shared" si="10"/>
        <v>0.55024690858014058</v>
      </c>
      <c r="K43" s="16">
        <f t="shared" si="14"/>
        <v>1.76965309141986</v>
      </c>
      <c r="L43" s="16">
        <f t="shared" si="15"/>
        <v>0.67246817473954679</v>
      </c>
      <c r="M43" s="16">
        <f t="shared" si="11"/>
        <v>1.6474318252604538</v>
      </c>
      <c r="N43" s="16"/>
      <c r="O43" s="16"/>
      <c r="P43" s="16"/>
      <c r="Q43" s="16"/>
      <c r="R43" s="16"/>
      <c r="S43" s="16"/>
      <c r="T43" s="16"/>
    </row>
    <row r="44" spans="1:20">
      <c r="A44" s="58">
        <v>12</v>
      </c>
      <c r="B44" s="16">
        <f>'ECONOMIC ANALYSIS'!I17</f>
        <v>2.381494</v>
      </c>
      <c r="C44" s="16">
        <f t="shared" si="8"/>
        <v>0.65665970901877102</v>
      </c>
      <c r="D44" s="16">
        <f t="shared" si="12"/>
        <v>1.7248342909812289</v>
      </c>
      <c r="E44" s="16">
        <f t="shared" si="13"/>
        <v>0.65543703057286695</v>
      </c>
      <c r="F44" s="16">
        <f t="shared" si="9"/>
        <v>1.726056969427133</v>
      </c>
      <c r="G44" s="16"/>
      <c r="H44" s="58">
        <v>12</v>
      </c>
      <c r="I44" s="16">
        <f>'ECONOMIC ANALYSIS'!I45</f>
        <v>1.2804000000000002</v>
      </c>
      <c r="J44" s="16">
        <f t="shared" si="10"/>
        <v>0.51723209406533222</v>
      </c>
      <c r="K44" s="16">
        <f t="shared" si="14"/>
        <v>0.76316790593466799</v>
      </c>
      <c r="L44" s="16">
        <f t="shared" si="15"/>
        <v>0.29000380425517386</v>
      </c>
      <c r="M44" s="16">
        <f t="shared" si="11"/>
        <v>0.9903961957448264</v>
      </c>
      <c r="N44" s="16"/>
      <c r="O44" s="16"/>
      <c r="P44" s="16"/>
      <c r="Q44" s="16"/>
      <c r="R44" s="16"/>
      <c r="S44" s="16"/>
      <c r="T44" s="16"/>
    </row>
    <row r="45" spans="1:20">
      <c r="A45" s="58">
        <v>13</v>
      </c>
      <c r="B45" s="16">
        <f>'ECONOMIC ANALYSIS'!I18</f>
        <v>3.2825860000000002</v>
      </c>
      <c r="C45" s="16">
        <f t="shared" si="8"/>
        <v>0.62382672356783253</v>
      </c>
      <c r="D45" s="16">
        <f t="shared" si="12"/>
        <v>2.6587592764321677</v>
      </c>
      <c r="E45" s="16">
        <f t="shared" si="13"/>
        <v>1.0103285250442238</v>
      </c>
      <c r="F45" s="16">
        <f t="shared" si="9"/>
        <v>2.2722574749557767</v>
      </c>
      <c r="G45" s="16"/>
      <c r="H45" s="58">
        <v>13</v>
      </c>
      <c r="I45" s="16">
        <f>'ECONOMIC ANALYSIS'!I46</f>
        <v>2.3199000000000005</v>
      </c>
      <c r="J45" s="16">
        <f t="shared" si="10"/>
        <v>0.48619816842141234</v>
      </c>
      <c r="K45" s="16">
        <f t="shared" si="14"/>
        <v>1.8337018315785882</v>
      </c>
      <c r="L45" s="16">
        <f t="shared" si="15"/>
        <v>0.69680669599986356</v>
      </c>
      <c r="M45" s="16">
        <f t="shared" si="11"/>
        <v>1.623093304000137</v>
      </c>
      <c r="N45" s="16"/>
      <c r="O45" s="16"/>
      <c r="P45" s="16"/>
      <c r="Q45" s="16"/>
      <c r="R45" s="16"/>
      <c r="S45" s="16"/>
      <c r="T45" s="16"/>
    </row>
    <row r="46" spans="1:20">
      <c r="A46" s="58">
        <v>14</v>
      </c>
      <c r="B46" s="16">
        <f>'ECONOMIC ANALYSIS'!I19</f>
        <v>3.2825860000000002</v>
      </c>
      <c r="C46" s="16">
        <f t="shared" si="8"/>
        <v>0.59263538738944088</v>
      </c>
      <c r="D46" s="16">
        <f t="shared" si="12"/>
        <v>2.6899506126105592</v>
      </c>
      <c r="E46" s="16">
        <f t="shared" si="13"/>
        <v>1.0221812327920126</v>
      </c>
      <c r="F46" s="16">
        <f t="shared" si="9"/>
        <v>2.2604047672079877</v>
      </c>
      <c r="G46" s="16"/>
      <c r="H46" s="58">
        <v>14</v>
      </c>
      <c r="I46" s="16">
        <f>'ECONOMIC ANALYSIS'!I47</f>
        <v>2.3199000000000005</v>
      </c>
      <c r="J46" s="16">
        <f t="shared" si="10"/>
        <v>0.45702627831612758</v>
      </c>
      <c r="K46" s="16">
        <f t="shared" si="14"/>
        <v>1.8628737216838729</v>
      </c>
      <c r="L46" s="16">
        <f t="shared" si="15"/>
        <v>0.70789201423987169</v>
      </c>
      <c r="M46" s="16">
        <f t="shared" si="11"/>
        <v>1.6120079857601288</v>
      </c>
      <c r="N46" s="16"/>
      <c r="O46" s="16"/>
      <c r="P46" s="16"/>
      <c r="Q46" s="16"/>
      <c r="R46" s="16"/>
      <c r="S46" s="16"/>
      <c r="T46" s="16"/>
    </row>
    <row r="47" spans="1:20">
      <c r="A47" s="58">
        <v>15</v>
      </c>
      <c r="B47" s="16">
        <f>'ECONOMIC ANALYSIS'!I20</f>
        <v>3.2825860000000002</v>
      </c>
      <c r="C47" s="16">
        <f>B20</f>
        <v>0.56300361801996879</v>
      </c>
      <c r="D47" s="16">
        <f t="shared" si="12"/>
        <v>2.7195823819800315</v>
      </c>
      <c r="E47" s="16">
        <f t="shared" si="13"/>
        <v>1.0334413051524121</v>
      </c>
      <c r="F47" s="16">
        <f t="shared" si="9"/>
        <v>2.2491446948475882</v>
      </c>
      <c r="G47" s="16"/>
      <c r="H47" s="58">
        <v>15</v>
      </c>
      <c r="I47" s="16">
        <f>'ECONOMIC ANALYSIS'!I48</f>
        <v>2.3199000000000005</v>
      </c>
      <c r="J47" s="16">
        <f t="shared" si="10"/>
        <v>0.42960470161715991</v>
      </c>
      <c r="K47" s="16">
        <f t="shared" si="14"/>
        <v>1.8902952983828407</v>
      </c>
      <c r="L47" s="16">
        <f t="shared" si="15"/>
        <v>0.71831221338547946</v>
      </c>
      <c r="M47" s="16">
        <f t="shared" si="11"/>
        <v>1.6015877866145209</v>
      </c>
      <c r="N47" s="16"/>
      <c r="O47" s="16"/>
      <c r="P47" s="16"/>
      <c r="Q47" s="16"/>
      <c r="R47" s="16"/>
      <c r="S47" s="16"/>
      <c r="T47" s="16"/>
    </row>
    <row r="48" spans="1:20">
      <c r="A48" s="58">
        <v>16</v>
      </c>
      <c r="B48" s="16">
        <f>'ECONOMIC ANALYSIS'!I21</f>
        <v>3.2825860000000002</v>
      </c>
      <c r="C48" s="16">
        <f t="shared" si="8"/>
        <v>0.53485343711897027</v>
      </c>
      <c r="D48" s="16">
        <f t="shared" si="12"/>
        <v>2.7477325628810298</v>
      </c>
      <c r="E48" s="16">
        <f t="shared" si="13"/>
        <v>1.0441383738947914</v>
      </c>
      <c r="F48" s="16">
        <f t="shared" si="9"/>
        <v>2.2384476261052089</v>
      </c>
      <c r="G48" s="16"/>
      <c r="H48" s="58">
        <v>16</v>
      </c>
      <c r="I48" s="16">
        <f>'ECONOMIC ANALYSIS'!I49</f>
        <v>2.3199000000000005</v>
      </c>
      <c r="J48" s="16">
        <f t="shared" si="10"/>
        <v>0.40382841952013032</v>
      </c>
      <c r="K48" s="16">
        <f t="shared" si="14"/>
        <v>1.9160715804798703</v>
      </c>
      <c r="L48" s="16">
        <f t="shared" si="15"/>
        <v>0.72810720058235068</v>
      </c>
      <c r="M48" s="16">
        <f t="shared" si="11"/>
        <v>1.5917927994176497</v>
      </c>
      <c r="N48" s="16"/>
      <c r="O48" s="16"/>
      <c r="P48" s="16"/>
      <c r="Q48" s="16"/>
      <c r="R48" s="16"/>
      <c r="S48" s="16"/>
      <c r="T48" s="16"/>
    </row>
    <row r="49" spans="1:20">
      <c r="A49" s="58">
        <v>17</v>
      </c>
      <c r="B49" s="16">
        <f>'ECONOMIC ANALYSIS'!I22</f>
        <v>3.2825860000000002</v>
      </c>
      <c r="C49" s="16">
        <f t="shared" si="8"/>
        <v>0.50811076526302179</v>
      </c>
      <c r="D49" s="16">
        <f t="shared" si="12"/>
        <v>2.7744752347369785</v>
      </c>
      <c r="E49" s="16">
        <f t="shared" si="13"/>
        <v>1.0543005892000519</v>
      </c>
      <c r="F49" s="16">
        <f t="shared" si="9"/>
        <v>2.2282854107999484</v>
      </c>
      <c r="G49" s="16"/>
      <c r="H49" s="58">
        <v>17</v>
      </c>
      <c r="I49" s="16">
        <f>'ECONOMIC ANALYSIS'!I50</f>
        <v>2.3199000000000005</v>
      </c>
      <c r="J49" s="16">
        <f t="shared" si="10"/>
        <v>0.37959871434892245</v>
      </c>
      <c r="K49" s="16">
        <f t="shared" si="14"/>
        <v>1.9403012856510782</v>
      </c>
      <c r="L49" s="16">
        <f t="shared" si="15"/>
        <v>0.73731448854740966</v>
      </c>
      <c r="M49" s="16">
        <f t="shared" si="11"/>
        <v>1.5825855114525909</v>
      </c>
      <c r="N49" s="16"/>
      <c r="O49" s="16"/>
      <c r="P49" s="16"/>
      <c r="Q49" s="16"/>
      <c r="R49" s="16"/>
      <c r="S49" s="16"/>
      <c r="T49" s="16"/>
    </row>
    <row r="50" spans="1:20">
      <c r="A50" s="58">
        <v>18</v>
      </c>
      <c r="B50" s="16">
        <f>'ECONOMIC ANALYSIS'!I23</f>
        <v>2.381494</v>
      </c>
      <c r="C50" s="16">
        <f t="shared" si="8"/>
        <v>0.48270522699987073</v>
      </c>
      <c r="D50" s="16">
        <f t="shared" si="12"/>
        <v>1.8987887730001294</v>
      </c>
      <c r="E50" s="16">
        <f t="shared" si="13"/>
        <v>0.72153973374004921</v>
      </c>
      <c r="F50" s="16">
        <f t="shared" si="9"/>
        <v>1.6599542662599509</v>
      </c>
      <c r="G50" s="16"/>
      <c r="H50" s="58">
        <v>18</v>
      </c>
      <c r="I50" s="16">
        <f>'ECONOMIC ANALYSIS'!I51</f>
        <v>1.2804000000000002</v>
      </c>
      <c r="J50" s="16">
        <f t="shared" si="10"/>
        <v>0.35682279148798712</v>
      </c>
      <c r="K50" s="16">
        <f t="shared" si="14"/>
        <v>0.92357720851201308</v>
      </c>
      <c r="L50" s="16">
        <f t="shared" si="15"/>
        <v>0.35095933923456496</v>
      </c>
      <c r="M50" s="16">
        <f t="shared" si="11"/>
        <v>0.9294406607654353</v>
      </c>
      <c r="N50" s="16"/>
      <c r="O50" s="16"/>
      <c r="P50" s="16"/>
      <c r="Q50" s="16"/>
      <c r="R50" s="16"/>
      <c r="S50" s="16"/>
      <c r="T50" s="16"/>
    </row>
    <row r="51" spans="1:20">
      <c r="A51" s="58">
        <v>19</v>
      </c>
      <c r="B51" s="16">
        <f>'ECONOMIC ANALYSIS'!I24</f>
        <v>3.2825860000000002</v>
      </c>
      <c r="C51" s="16">
        <f t="shared" si="8"/>
        <v>0.45856996564987718</v>
      </c>
      <c r="D51" s="16">
        <f t="shared" si="12"/>
        <v>2.824016034350123</v>
      </c>
      <c r="E51" s="16">
        <f t="shared" si="13"/>
        <v>1.0731260930530468</v>
      </c>
      <c r="F51" s="16">
        <f t="shared" si="9"/>
        <v>2.2094599069469534</v>
      </c>
      <c r="G51" s="16"/>
      <c r="H51" s="58">
        <v>19</v>
      </c>
      <c r="I51" s="16">
        <f>'ECONOMIC ANALYSIS'!I52</f>
        <v>2.3199000000000005</v>
      </c>
      <c r="J51" s="16">
        <f t="shared" si="10"/>
        <v>0.33541342399870788</v>
      </c>
      <c r="K51" s="16">
        <f t="shared" si="14"/>
        <v>1.9844865760012926</v>
      </c>
      <c r="L51" s="16">
        <f t="shared" si="15"/>
        <v>0.75410489888049126</v>
      </c>
      <c r="M51" s="16">
        <f t="shared" si="11"/>
        <v>1.5657951011195093</v>
      </c>
      <c r="N51" s="16"/>
      <c r="O51" s="16"/>
      <c r="P51" s="16"/>
      <c r="Q51" s="16"/>
      <c r="R51" s="16"/>
      <c r="S51" s="16"/>
      <c r="T51" s="16"/>
    </row>
    <row r="52" spans="1:20">
      <c r="A52" s="58">
        <v>20</v>
      </c>
      <c r="B52" s="16">
        <f>'ECONOMIC ANALYSIS'!I25</f>
        <v>0.64147966628708541</v>
      </c>
      <c r="C52" s="16">
        <f>B25</f>
        <v>0.43564146736738335</v>
      </c>
      <c r="D52" s="16">
        <f t="shared" si="12"/>
        <v>0.20583819891970206</v>
      </c>
      <c r="E52" s="16">
        <f t="shared" si="13"/>
        <v>7.8218515589486781E-2</v>
      </c>
      <c r="F52" s="16">
        <f t="shared" si="9"/>
        <v>0.56326115069759863</v>
      </c>
      <c r="G52" s="16"/>
      <c r="H52" s="58">
        <v>20</v>
      </c>
      <c r="I52" s="16">
        <f>'ECONOMIC ANALYSIS'!I53</f>
        <v>-0.38963355810348432</v>
      </c>
      <c r="J52" s="16">
        <f t="shared" si="10"/>
        <v>0.31528861855878537</v>
      </c>
      <c r="K52" s="16">
        <f t="shared" si="14"/>
        <v>-0.70492217666226975</v>
      </c>
      <c r="L52" s="16">
        <f t="shared" si="15"/>
        <v>-0.26787042713166248</v>
      </c>
      <c r="M52" s="16">
        <f t="shared" si="11"/>
        <v>-0.12176313097182184</v>
      </c>
      <c r="N52" s="16"/>
      <c r="O52" s="16"/>
      <c r="P52" s="16"/>
      <c r="Q52" s="16"/>
      <c r="R52" s="16"/>
      <c r="S52" s="16"/>
      <c r="T52" s="16"/>
    </row>
    <row r="53" spans="1:20">
      <c r="A53" s="59"/>
      <c r="B53" s="16"/>
      <c r="C53" s="16"/>
      <c r="D53" s="16"/>
      <c r="E53" s="46" t="s">
        <v>99</v>
      </c>
      <c r="F53" s="21">
        <f>F32+NPV(0.0434,F33:F52)</f>
        <v>2.014170332581589</v>
      </c>
      <c r="G53" s="16"/>
      <c r="H53" s="16"/>
      <c r="I53" s="16"/>
      <c r="J53" s="16"/>
      <c r="K53" s="16"/>
      <c r="L53" s="46" t="s">
        <v>99</v>
      </c>
      <c r="M53" s="21">
        <f>M32+NPV(0.0434,M33:M52)</f>
        <v>2.7908916180309831</v>
      </c>
      <c r="N53" s="16"/>
      <c r="O53" s="16"/>
      <c r="P53" s="16"/>
      <c r="Q53" s="16"/>
      <c r="R53" s="16"/>
      <c r="S53" s="16"/>
      <c r="T53" s="16"/>
    </row>
    <row r="54" spans="1:20">
      <c r="A54" s="59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 spans="1:20">
      <c r="A55" s="68" t="s">
        <v>100</v>
      </c>
      <c r="B55" s="68"/>
      <c r="C55" s="68"/>
      <c r="D55" s="68"/>
      <c r="E55" s="68"/>
      <c r="F55" s="68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 spans="1:20">
      <c r="A56" s="45" t="s">
        <v>55</v>
      </c>
      <c r="B56" s="46" t="s">
        <v>95</v>
      </c>
      <c r="C56" s="46" t="s">
        <v>91</v>
      </c>
      <c r="D56" s="46" t="s">
        <v>96</v>
      </c>
      <c r="E56" s="46" t="s">
        <v>97</v>
      </c>
      <c r="F56" s="46" t="s">
        <v>98</v>
      </c>
      <c r="G56" s="16"/>
      <c r="H56" s="45" t="s">
        <v>55</v>
      </c>
      <c r="I56" s="46" t="s">
        <v>95</v>
      </c>
      <c r="J56" s="46" t="s">
        <v>91</v>
      </c>
      <c r="K56" s="46" t="s">
        <v>96</v>
      </c>
      <c r="L56" s="46" t="s">
        <v>97</v>
      </c>
      <c r="M56" s="46" t="s">
        <v>98</v>
      </c>
      <c r="N56" s="16"/>
      <c r="O56" s="16"/>
      <c r="P56" s="16"/>
      <c r="Q56" s="16"/>
      <c r="R56" s="16"/>
      <c r="S56" s="16"/>
      <c r="T56" s="16"/>
    </row>
    <row r="57" spans="1:20">
      <c r="A57" s="58">
        <v>0</v>
      </c>
      <c r="B57" s="16">
        <f>'ECONOMIC ANALYSIS'!I61</f>
        <v>-21.247620000000001</v>
      </c>
      <c r="C57" s="16">
        <f>H5</f>
        <v>0</v>
      </c>
      <c r="D57" s="16"/>
      <c r="E57" s="16"/>
      <c r="F57" s="16">
        <f>B57-E57</f>
        <v>-21.247620000000001</v>
      </c>
      <c r="G57" s="16"/>
      <c r="H57" s="58">
        <v>0</v>
      </c>
      <c r="I57" s="16">
        <f>'ECONOMIC ANALYSIS'!I89</f>
        <v>-18.5016675</v>
      </c>
      <c r="J57" s="16">
        <f>K5</f>
        <v>0</v>
      </c>
      <c r="K57" s="16"/>
      <c r="L57" s="16"/>
      <c r="M57" s="16">
        <f>I57-L57</f>
        <v>-18.5016675</v>
      </c>
      <c r="N57" s="16"/>
      <c r="O57" s="16"/>
      <c r="P57" s="16"/>
      <c r="Q57" s="16"/>
      <c r="R57" s="16"/>
      <c r="S57" s="16"/>
      <c r="T57" s="16"/>
    </row>
    <row r="58" spans="1:20">
      <c r="A58" s="58">
        <v>1</v>
      </c>
      <c r="B58" s="16">
        <f>'ECONOMIC ANALYSIS'!I62</f>
        <v>3.1306500000000002</v>
      </c>
      <c r="C58" s="16">
        <f t="shared" ref="C58:C77" si="16">H6</f>
        <v>0.63742860000000001</v>
      </c>
      <c r="D58" s="16">
        <f>B58-C58</f>
        <v>2.4932214000000004</v>
      </c>
      <c r="E58" s="16">
        <f>38%*D58</f>
        <v>0.9474241320000002</v>
      </c>
      <c r="F58" s="16">
        <f t="shared" ref="F58:F77" si="17">B58-E58</f>
        <v>2.1832258680000001</v>
      </c>
      <c r="G58" s="16"/>
      <c r="H58" s="58">
        <v>1</v>
      </c>
      <c r="I58" s="16">
        <f>'ECONOMIC ANALYSIS'!I90</f>
        <v>2.45275</v>
      </c>
      <c r="J58" s="16">
        <f t="shared" ref="J58:J76" si="18">K6</f>
        <v>0.555050025</v>
      </c>
      <c r="K58" s="16">
        <f>I58-J58</f>
        <v>1.8976999750000001</v>
      </c>
      <c r="L58" s="16">
        <f>38%*K58</f>
        <v>0.72112599050000004</v>
      </c>
      <c r="M58" s="16">
        <f t="shared" ref="M58:M77" si="19">I58-L58</f>
        <v>1.7316240094999999</v>
      </c>
      <c r="N58" s="16"/>
      <c r="O58" s="16"/>
      <c r="P58" s="16"/>
      <c r="Q58" s="16"/>
      <c r="R58" s="16"/>
      <c r="S58" s="16"/>
      <c r="T58" s="16"/>
    </row>
    <row r="59" spans="1:20">
      <c r="A59" s="58">
        <v>2</v>
      </c>
      <c r="B59" s="16">
        <f>'ECONOMIC ANALYSIS'!I63</f>
        <v>3.1306500000000002</v>
      </c>
      <c r="C59" s="16">
        <f t="shared" si="16"/>
        <v>1.236611484</v>
      </c>
      <c r="D59" s="16">
        <f t="shared" ref="D59:D77" si="20">B59-C59</f>
        <v>1.8940385160000002</v>
      </c>
      <c r="E59" s="16">
        <f t="shared" ref="E59:E77" si="21">38%*D59</f>
        <v>0.7197346360800001</v>
      </c>
      <c r="F59" s="16">
        <f t="shared" si="17"/>
        <v>2.4109153639200001</v>
      </c>
      <c r="G59" s="16"/>
      <c r="H59" s="58">
        <v>2</v>
      </c>
      <c r="I59" s="16">
        <f>'ECONOMIC ANALYSIS'!I91</f>
        <v>2.45275</v>
      </c>
      <c r="J59" s="16">
        <f t="shared" si="18"/>
        <v>1.0767970485</v>
      </c>
      <c r="K59" s="16">
        <f t="shared" ref="K59:K77" si="22">I59-J59</f>
        <v>1.3759529515</v>
      </c>
      <c r="L59" s="16">
        <f t="shared" ref="L59:L77" si="23">38%*K59</f>
        <v>0.52286212157</v>
      </c>
      <c r="M59" s="16">
        <f t="shared" si="19"/>
        <v>1.92988787843</v>
      </c>
      <c r="N59" s="16"/>
      <c r="O59" s="16"/>
      <c r="P59" s="16"/>
      <c r="Q59" s="16"/>
      <c r="R59" s="16"/>
      <c r="S59" s="16"/>
      <c r="T59" s="16"/>
    </row>
    <row r="60" spans="1:20">
      <c r="A60" s="58">
        <v>3</v>
      </c>
      <c r="B60" s="16">
        <f>'ECONOMIC ANALYSIS'!I64</f>
        <v>3.1306500000000002</v>
      </c>
      <c r="C60" s="16">
        <f t="shared" si="16"/>
        <v>1.1624147949599999</v>
      </c>
      <c r="D60" s="16">
        <f>B60-C60</f>
        <v>1.9682352050400003</v>
      </c>
      <c r="E60" s="16">
        <f t="shared" si="21"/>
        <v>0.74792937791520009</v>
      </c>
      <c r="F60" s="16">
        <f t="shared" si="17"/>
        <v>2.3827206220848001</v>
      </c>
      <c r="G60" s="16"/>
      <c r="H60" s="58">
        <v>3</v>
      </c>
      <c r="I60" s="16">
        <f>'ECONOMIC ANALYSIS'!I92</f>
        <v>2.45275</v>
      </c>
      <c r="J60" s="16">
        <f t="shared" si="18"/>
        <v>1.0121892255899998</v>
      </c>
      <c r="K60" s="16">
        <f t="shared" si="22"/>
        <v>1.4405607744100002</v>
      </c>
      <c r="L60" s="16">
        <f t="shared" si="23"/>
        <v>0.54741309427580009</v>
      </c>
      <c r="M60" s="16">
        <f t="shared" si="19"/>
        <v>1.9053369057241998</v>
      </c>
      <c r="N60" s="16"/>
      <c r="O60" s="16"/>
      <c r="P60" s="16"/>
      <c r="Q60" s="16"/>
      <c r="R60" s="16"/>
      <c r="S60" s="16"/>
      <c r="T60" s="16"/>
    </row>
    <row r="61" spans="1:20">
      <c r="A61" s="58">
        <v>4</v>
      </c>
      <c r="B61" s="16">
        <f>'ECONOMIC ANALYSIS'!I65</f>
        <v>3.1306500000000002</v>
      </c>
      <c r="C61" s="16">
        <f t="shared" si="16"/>
        <v>1.0926699072624</v>
      </c>
      <c r="D61" s="16">
        <f t="shared" si="20"/>
        <v>2.0379800927375999</v>
      </c>
      <c r="E61" s="16">
        <f t="shared" si="21"/>
        <v>0.77443243524028804</v>
      </c>
      <c r="F61" s="16">
        <f t="shared" si="17"/>
        <v>2.3562175647597119</v>
      </c>
      <c r="G61" s="16"/>
      <c r="H61" s="58">
        <v>4</v>
      </c>
      <c r="I61" s="16">
        <f>'ECONOMIC ANALYSIS'!I93</f>
        <v>2.45275</v>
      </c>
      <c r="J61" s="16">
        <f t="shared" si="18"/>
        <v>0.95145787205459997</v>
      </c>
      <c r="K61" s="16">
        <f t="shared" si="22"/>
        <v>1.5012921279453999</v>
      </c>
      <c r="L61" s="16">
        <f t="shared" si="23"/>
        <v>0.57049100861925195</v>
      </c>
      <c r="M61" s="16">
        <f t="shared" si="19"/>
        <v>1.8822589913807479</v>
      </c>
      <c r="N61" s="16"/>
      <c r="O61" s="16"/>
      <c r="P61" s="16"/>
      <c r="Q61" s="16"/>
      <c r="R61" s="16"/>
      <c r="S61" s="16"/>
      <c r="T61" s="16"/>
    </row>
    <row r="62" spans="1:20">
      <c r="A62" s="58">
        <v>5</v>
      </c>
      <c r="B62" s="16">
        <f>'ECONOMIC ANALYSIS'!I66</f>
        <v>3.1306500000000002</v>
      </c>
      <c r="C62" s="16">
        <f t="shared" si="16"/>
        <v>1.027109712826656</v>
      </c>
      <c r="D62" s="16">
        <f t="shared" si="20"/>
        <v>2.1035402871733444</v>
      </c>
      <c r="E62" s="16">
        <f t="shared" si="21"/>
        <v>0.79934530912587087</v>
      </c>
      <c r="F62" s="16">
        <f t="shared" si="17"/>
        <v>2.3313046908741293</v>
      </c>
      <c r="G62" s="16"/>
      <c r="H62" s="58">
        <v>5</v>
      </c>
      <c r="I62" s="16">
        <f>'ECONOMIC ANALYSIS'!I94</f>
        <v>2.45275</v>
      </c>
      <c r="J62" s="16">
        <f t="shared" si="18"/>
        <v>0.89437039973132393</v>
      </c>
      <c r="K62" s="16">
        <f t="shared" si="22"/>
        <v>1.5583796002686761</v>
      </c>
      <c r="L62" s="16">
        <f t="shared" si="23"/>
        <v>0.59218424810209691</v>
      </c>
      <c r="M62" s="16">
        <f t="shared" si="19"/>
        <v>1.8605657518979031</v>
      </c>
      <c r="N62" s="16"/>
      <c r="O62" s="16"/>
      <c r="P62" s="16"/>
      <c r="Q62" s="16"/>
      <c r="R62" s="16"/>
      <c r="S62" s="16"/>
      <c r="T62" s="16"/>
    </row>
    <row r="63" spans="1:20">
      <c r="A63" s="58">
        <v>6</v>
      </c>
      <c r="B63" s="16">
        <f>'ECONOMIC ANALYSIS'!I67</f>
        <v>3.1306500000000002</v>
      </c>
      <c r="C63" s="16">
        <f t="shared" si="16"/>
        <v>0.96548313005705644</v>
      </c>
      <c r="D63" s="16">
        <f t="shared" si="20"/>
        <v>2.1651668699429436</v>
      </c>
      <c r="E63" s="16">
        <f t="shared" si="21"/>
        <v>0.82276341057831859</v>
      </c>
      <c r="F63" s="16">
        <f t="shared" si="17"/>
        <v>2.3078865894216816</v>
      </c>
      <c r="G63" s="16"/>
      <c r="H63" s="58">
        <v>6</v>
      </c>
      <c r="I63" s="16">
        <f>'ECONOMIC ANALYSIS'!I95</f>
        <v>2.45275</v>
      </c>
      <c r="J63" s="16">
        <f t="shared" si="18"/>
        <v>0.8407081757474445</v>
      </c>
      <c r="K63" s="16">
        <f t="shared" si="22"/>
        <v>1.6120418242525556</v>
      </c>
      <c r="L63" s="16">
        <f t="shared" si="23"/>
        <v>0.61257589321597117</v>
      </c>
      <c r="M63" s="16">
        <f t="shared" si="19"/>
        <v>1.8401741067840289</v>
      </c>
      <c r="N63" s="16"/>
      <c r="O63" s="16"/>
      <c r="P63" s="16"/>
      <c r="Q63" s="16"/>
      <c r="R63" s="16"/>
      <c r="S63" s="16"/>
      <c r="T63" s="16"/>
    </row>
    <row r="64" spans="1:20">
      <c r="A64" s="58">
        <v>7</v>
      </c>
      <c r="B64" s="16">
        <f>'ECONOMIC ANALYSIS'!I68</f>
        <v>-4.7701449379229075</v>
      </c>
      <c r="C64" s="16">
        <f t="shared" si="16"/>
        <v>0.90755414225363318</v>
      </c>
      <c r="D64" s="16">
        <f t="shared" si="20"/>
        <v>-5.6776990801765406</v>
      </c>
      <c r="E64" s="16">
        <f t="shared" si="21"/>
        <v>-2.1575256504670852</v>
      </c>
      <c r="F64" s="16">
        <f t="shared" si="17"/>
        <v>-2.6126192874558223</v>
      </c>
      <c r="G64" s="16"/>
      <c r="H64" s="58">
        <v>7</v>
      </c>
      <c r="I64" s="16">
        <f>'ECONOMIC ANALYSIS'!I96</f>
        <v>-1.9716951652368286</v>
      </c>
      <c r="J64" s="16">
        <f t="shared" si="18"/>
        <v>0.79026568520259777</v>
      </c>
      <c r="K64" s="16">
        <f t="shared" si="22"/>
        <v>-2.7619608504394266</v>
      </c>
      <c r="L64" s="16">
        <f t="shared" si="23"/>
        <v>-1.0495451231669821</v>
      </c>
      <c r="M64" s="16">
        <f t="shared" si="19"/>
        <v>-0.92215004206984652</v>
      </c>
      <c r="N64" s="16"/>
      <c r="O64" s="16"/>
      <c r="P64" s="16"/>
      <c r="Q64" s="16"/>
      <c r="R64" s="16"/>
      <c r="S64" s="16"/>
      <c r="T64" s="16"/>
    </row>
    <row r="65" spans="1:20">
      <c r="A65" s="58">
        <v>8</v>
      </c>
      <c r="B65" s="16">
        <f>'ECONOMIC ANALYSIS'!I69</f>
        <v>1.9418400000000005</v>
      </c>
      <c r="C65" s="16">
        <f t="shared" si="16"/>
        <v>0.85310089371841513</v>
      </c>
      <c r="D65" s="16">
        <f t="shared" si="20"/>
        <v>1.0887391062815852</v>
      </c>
      <c r="E65" s="16">
        <f t="shared" si="21"/>
        <v>0.4137208603870024</v>
      </c>
      <c r="F65" s="16">
        <f t="shared" si="17"/>
        <v>1.5281191396129981</v>
      </c>
      <c r="G65" s="16"/>
      <c r="H65" s="58">
        <v>8</v>
      </c>
      <c r="I65" s="16">
        <f>'ECONOMIC ANALYSIS'!I97</f>
        <v>2.1378280000000003</v>
      </c>
      <c r="J65" s="16">
        <f t="shared" si="18"/>
        <v>0.74284974409044191</v>
      </c>
      <c r="K65" s="16">
        <f t="shared" si="22"/>
        <v>1.3949782559095585</v>
      </c>
      <c r="L65" s="16">
        <f t="shared" si="23"/>
        <v>0.53009173724563219</v>
      </c>
      <c r="M65" s="16">
        <f t="shared" si="19"/>
        <v>1.6077362627543681</v>
      </c>
      <c r="N65" s="16"/>
      <c r="O65" s="16"/>
      <c r="P65" s="16"/>
      <c r="Q65" s="16"/>
      <c r="R65" s="16"/>
      <c r="S65" s="16"/>
      <c r="T65" s="16"/>
    </row>
    <row r="66" spans="1:20">
      <c r="A66" s="58">
        <v>9</v>
      </c>
      <c r="B66" s="16">
        <f>'ECONOMIC ANALYSIS'!I70</f>
        <v>3.1306500000000002</v>
      </c>
      <c r="C66" s="16">
        <f t="shared" si="16"/>
        <v>0.80191484009531022</v>
      </c>
      <c r="D66" s="16">
        <f t="shared" si="20"/>
        <v>2.3287351599046899</v>
      </c>
      <c r="E66" s="16">
        <f t="shared" si="21"/>
        <v>0.88491936076378219</v>
      </c>
      <c r="F66" s="16">
        <f t="shared" si="17"/>
        <v>2.2457306392362177</v>
      </c>
      <c r="G66" s="16"/>
      <c r="H66" s="58">
        <v>9</v>
      </c>
      <c r="I66" s="16">
        <f>'ECONOMIC ANALYSIS'!I98</f>
        <v>2.45275</v>
      </c>
      <c r="J66" s="16">
        <f t="shared" si="18"/>
        <v>0.69827875944501538</v>
      </c>
      <c r="K66" s="16">
        <f t="shared" si="22"/>
        <v>1.7544712405549845</v>
      </c>
      <c r="L66" s="16">
        <f t="shared" si="23"/>
        <v>0.66669907141089413</v>
      </c>
      <c r="M66" s="16">
        <f t="shared" si="19"/>
        <v>1.786050928589106</v>
      </c>
      <c r="N66" s="16"/>
      <c r="O66" s="16"/>
      <c r="P66" s="16"/>
      <c r="Q66" s="16"/>
      <c r="R66" s="16"/>
      <c r="S66" s="16"/>
      <c r="T66" s="16"/>
    </row>
    <row r="67" spans="1:20">
      <c r="A67" s="58">
        <v>10</v>
      </c>
      <c r="B67" s="16">
        <f>'ECONOMIC ANALYSIS'!I71</f>
        <v>3.1306500000000002</v>
      </c>
      <c r="C67" s="16">
        <f t="shared" si="16"/>
        <v>0.75379994968959163</v>
      </c>
      <c r="D67" s="16">
        <f t="shared" si="20"/>
        <v>2.3768500503104084</v>
      </c>
      <c r="E67" s="16">
        <f t="shared" si="21"/>
        <v>0.9032030191179552</v>
      </c>
      <c r="F67" s="16">
        <f t="shared" si="17"/>
        <v>2.227446980882045</v>
      </c>
      <c r="G67" s="16"/>
      <c r="H67" s="58">
        <v>10</v>
      </c>
      <c r="I67" s="16">
        <f>'ECONOMIC ANALYSIS'!I99</f>
        <v>2.45275</v>
      </c>
      <c r="J67" s="16">
        <f t="shared" si="18"/>
        <v>0.6563820338783144</v>
      </c>
      <c r="K67" s="16">
        <f t="shared" si="22"/>
        <v>1.7963679661216856</v>
      </c>
      <c r="L67" s="16">
        <f t="shared" si="23"/>
        <v>0.68261982712624059</v>
      </c>
      <c r="M67" s="16">
        <f t="shared" si="19"/>
        <v>1.7701301728737593</v>
      </c>
      <c r="N67" s="16"/>
      <c r="O67" s="16"/>
      <c r="P67" s="16"/>
      <c r="Q67" s="16"/>
      <c r="R67" s="16"/>
      <c r="S67" s="16"/>
      <c r="T67" s="16"/>
    </row>
    <row r="68" spans="1:20">
      <c r="A68" s="58">
        <v>11</v>
      </c>
      <c r="B68" s="16">
        <f>'ECONOMIC ANALYSIS'!I72</f>
        <v>3.1306500000000002</v>
      </c>
      <c r="C68" s="16">
        <f t="shared" si="16"/>
        <v>0.70857195270821616</v>
      </c>
      <c r="D68" s="16">
        <f t="shared" si="20"/>
        <v>2.4220780472917838</v>
      </c>
      <c r="E68" s="16">
        <f t="shared" si="21"/>
        <v>0.92038965797087779</v>
      </c>
      <c r="F68" s="16">
        <f t="shared" si="17"/>
        <v>2.2102603420291222</v>
      </c>
      <c r="G68" s="16"/>
      <c r="H68" s="58">
        <v>11</v>
      </c>
      <c r="I68" s="16">
        <f>'ECONOMIC ANALYSIS'!I100</f>
        <v>2.45275</v>
      </c>
      <c r="J68" s="16">
        <f t="shared" si="18"/>
        <v>0.61699911184561562</v>
      </c>
      <c r="K68" s="16">
        <f t="shared" si="22"/>
        <v>1.8357508881543843</v>
      </c>
      <c r="L68" s="16">
        <f t="shared" si="23"/>
        <v>0.69758533749866602</v>
      </c>
      <c r="M68" s="16">
        <f t="shared" si="19"/>
        <v>1.755164662501334</v>
      </c>
      <c r="N68" s="16"/>
      <c r="O68" s="16"/>
      <c r="P68" s="16"/>
      <c r="Q68" s="16"/>
      <c r="R68" s="16"/>
      <c r="S68" s="16"/>
      <c r="T68" s="16"/>
    </row>
    <row r="69" spans="1:20">
      <c r="A69" s="58">
        <v>12</v>
      </c>
      <c r="B69" s="16">
        <f>'ECONOMIC ANALYSIS'!I73</f>
        <v>3.1306500000000002</v>
      </c>
      <c r="C69" s="16">
        <f t="shared" si="16"/>
        <v>0.66605763554572317</v>
      </c>
      <c r="D69" s="16">
        <f t="shared" si="20"/>
        <v>2.4645923644542771</v>
      </c>
      <c r="E69" s="16">
        <f t="shared" si="21"/>
        <v>0.93654509849262535</v>
      </c>
      <c r="F69" s="16">
        <f t="shared" si="17"/>
        <v>2.1941049015073748</v>
      </c>
      <c r="G69" s="16"/>
      <c r="H69" s="58">
        <v>12</v>
      </c>
      <c r="I69" s="16">
        <f>'ECONOMIC ANALYSIS'!I101</f>
        <v>2.45275</v>
      </c>
      <c r="J69" s="16">
        <f t="shared" si="18"/>
        <v>0.57997916513487868</v>
      </c>
      <c r="K69" s="16">
        <f t="shared" si="22"/>
        <v>1.8727708348651213</v>
      </c>
      <c r="L69" s="16">
        <f t="shared" si="23"/>
        <v>0.71165291724874613</v>
      </c>
      <c r="M69" s="16">
        <f t="shared" si="19"/>
        <v>1.7410970827512537</v>
      </c>
      <c r="N69" s="16"/>
      <c r="O69" s="16"/>
      <c r="P69" s="16"/>
      <c r="Q69" s="16"/>
      <c r="R69" s="16"/>
      <c r="S69" s="16"/>
      <c r="T69" s="16"/>
    </row>
    <row r="70" spans="1:20">
      <c r="A70" s="58">
        <v>13</v>
      </c>
      <c r="B70" s="16">
        <f>'ECONOMIC ANALYSIS'!I74</f>
        <v>3.1306500000000002</v>
      </c>
      <c r="C70" s="16">
        <f t="shared" si="16"/>
        <v>0.62609417741297979</v>
      </c>
      <c r="D70" s="16">
        <f t="shared" si="20"/>
        <v>2.5045558225870206</v>
      </c>
      <c r="E70" s="16">
        <f t="shared" si="21"/>
        <v>0.95173121258306781</v>
      </c>
      <c r="F70" s="16">
        <f t="shared" si="17"/>
        <v>2.1789187874169325</v>
      </c>
      <c r="G70" s="16"/>
      <c r="H70" s="58">
        <v>13</v>
      </c>
      <c r="I70" s="16">
        <f>'ECONOMIC ANALYSIS'!I102</f>
        <v>2.45275</v>
      </c>
      <c r="J70" s="16">
        <f t="shared" si="18"/>
        <v>0.54518041522678595</v>
      </c>
      <c r="K70" s="16">
        <f t="shared" si="22"/>
        <v>1.9075695847732139</v>
      </c>
      <c r="L70" s="16">
        <f t="shared" si="23"/>
        <v>0.7248764422138213</v>
      </c>
      <c r="M70" s="16">
        <f t="shared" si="19"/>
        <v>1.7278735577861788</v>
      </c>
      <c r="N70" s="16"/>
      <c r="O70" s="16"/>
      <c r="P70" s="16"/>
      <c r="Q70" s="16"/>
      <c r="R70" s="16"/>
      <c r="S70" s="16"/>
      <c r="T70" s="16"/>
    </row>
    <row r="71" spans="1:20">
      <c r="A71" s="58">
        <v>14</v>
      </c>
      <c r="B71" s="16">
        <f>'ECONOMIC ANALYSIS'!I75</f>
        <v>3.1306500000000002</v>
      </c>
      <c r="C71" s="16">
        <f t="shared" si="16"/>
        <v>0.588528526768201</v>
      </c>
      <c r="D71" s="16">
        <f t="shared" si="20"/>
        <v>2.5421214732317994</v>
      </c>
      <c r="E71" s="16">
        <f t="shared" si="21"/>
        <v>0.9660061598280838</v>
      </c>
      <c r="F71" s="16">
        <f t="shared" si="17"/>
        <v>2.1646438401719164</v>
      </c>
      <c r="G71" s="16"/>
      <c r="H71" s="58">
        <v>14</v>
      </c>
      <c r="I71" s="16">
        <f>'ECONOMIC ANALYSIS'!I103</f>
        <v>2.45275</v>
      </c>
      <c r="J71" s="16">
        <f t="shared" si="18"/>
        <v>0.51246959031317885</v>
      </c>
      <c r="K71" s="16">
        <f t="shared" si="22"/>
        <v>1.9402804096868211</v>
      </c>
      <c r="L71" s="16">
        <f t="shared" si="23"/>
        <v>0.73730655568099202</v>
      </c>
      <c r="M71" s="16">
        <f t="shared" si="19"/>
        <v>1.7154434443190079</v>
      </c>
      <c r="N71" s="16"/>
      <c r="O71" s="16"/>
      <c r="P71" s="16"/>
      <c r="Q71" s="16"/>
      <c r="R71" s="16"/>
      <c r="S71" s="16"/>
      <c r="T71" s="16"/>
    </row>
    <row r="72" spans="1:20">
      <c r="A72" s="58">
        <v>15</v>
      </c>
      <c r="B72" s="16">
        <f>'ECONOMIC ANALYSIS'!I76</f>
        <v>3.1306500000000002</v>
      </c>
      <c r="C72" s="16">
        <f t="shared" si="16"/>
        <v>0.55321681516210897</v>
      </c>
      <c r="D72" s="16">
        <f t="shared" si="20"/>
        <v>2.5774331848378913</v>
      </c>
      <c r="E72" s="16">
        <f t="shared" si="21"/>
        <v>0.97942461023839866</v>
      </c>
      <c r="F72" s="16">
        <f t="shared" si="17"/>
        <v>2.1512253897616014</v>
      </c>
      <c r="G72" s="16"/>
      <c r="H72" s="58">
        <v>15</v>
      </c>
      <c r="I72" s="16">
        <f>'ECONOMIC ANALYSIS'!I104</f>
        <v>2.45275</v>
      </c>
      <c r="J72" s="16">
        <f t="shared" si="18"/>
        <v>0.48172141489438808</v>
      </c>
      <c r="K72" s="16">
        <f t="shared" si="22"/>
        <v>1.971028585105612</v>
      </c>
      <c r="L72" s="16">
        <f t="shared" si="23"/>
        <v>0.74899086234013257</v>
      </c>
      <c r="M72" s="16">
        <f t="shared" si="19"/>
        <v>1.7037591376598673</v>
      </c>
      <c r="N72" s="16"/>
      <c r="O72" s="16"/>
      <c r="P72" s="16"/>
      <c r="Q72" s="16"/>
      <c r="R72" s="16"/>
      <c r="S72" s="16"/>
      <c r="T72" s="16"/>
    </row>
    <row r="73" spans="1:20">
      <c r="A73" s="58">
        <v>16</v>
      </c>
      <c r="B73" s="16">
        <f>'ECONOMIC ANALYSIS'!I77</f>
        <v>1.9418400000000005</v>
      </c>
      <c r="C73" s="16">
        <f t="shared" si="16"/>
        <v>0.52002380625238231</v>
      </c>
      <c r="D73" s="16">
        <f t="shared" si="20"/>
        <v>1.4218161937476181</v>
      </c>
      <c r="E73" s="16">
        <f t="shared" si="21"/>
        <v>0.54029015362409494</v>
      </c>
      <c r="F73" s="16">
        <f t="shared" si="17"/>
        <v>1.4015498463759055</v>
      </c>
      <c r="G73" s="16"/>
      <c r="H73" s="58">
        <v>16</v>
      </c>
      <c r="I73" s="16">
        <f>'ECONOMIC ANALYSIS'!I105</f>
        <v>2.1378280000000003</v>
      </c>
      <c r="J73" s="16">
        <f t="shared" si="18"/>
        <v>0.45281813000072474</v>
      </c>
      <c r="K73" s="16">
        <f t="shared" si="22"/>
        <v>1.6850098699992755</v>
      </c>
      <c r="L73" s="16">
        <f t="shared" si="23"/>
        <v>0.64030375059972466</v>
      </c>
      <c r="M73" s="16">
        <f t="shared" si="19"/>
        <v>1.4975242494002756</v>
      </c>
      <c r="N73" s="16"/>
      <c r="O73" s="16"/>
      <c r="P73" s="16"/>
      <c r="Q73" s="16"/>
      <c r="R73" s="16"/>
      <c r="S73" s="16"/>
      <c r="T73" s="16"/>
    </row>
    <row r="74" spans="1:20">
      <c r="A74" s="58">
        <v>17</v>
      </c>
      <c r="B74" s="16">
        <f>'ECONOMIC ANALYSIS'!I78</f>
        <v>3.1306500000000002</v>
      </c>
      <c r="C74" s="16">
        <f t="shared" si="16"/>
        <v>0.48882237787723942</v>
      </c>
      <c r="D74" s="16">
        <f t="shared" si="20"/>
        <v>2.6418276221227606</v>
      </c>
      <c r="E74" s="16">
        <f t="shared" si="21"/>
        <v>1.003894496406649</v>
      </c>
      <c r="F74" s="16">
        <f t="shared" si="17"/>
        <v>2.1267555035933512</v>
      </c>
      <c r="G74" s="16"/>
      <c r="H74" s="58">
        <v>17</v>
      </c>
      <c r="I74" s="16">
        <f>'ECONOMIC ANALYSIS'!I106</f>
        <v>2.45275</v>
      </c>
      <c r="J74" s="16">
        <f t="shared" si="18"/>
        <v>0.42564904220068128</v>
      </c>
      <c r="K74" s="16">
        <f t="shared" si="22"/>
        <v>2.0271009577993189</v>
      </c>
      <c r="L74" s="16">
        <f t="shared" si="23"/>
        <v>0.77029836396374118</v>
      </c>
      <c r="M74" s="16">
        <f t="shared" si="19"/>
        <v>1.6824516360362587</v>
      </c>
      <c r="N74" s="16"/>
      <c r="O74" s="16"/>
      <c r="P74" s="16"/>
      <c r="Q74" s="16"/>
      <c r="R74" s="16"/>
      <c r="S74" s="16"/>
      <c r="T74" s="16"/>
    </row>
    <row r="75" spans="1:20">
      <c r="A75" s="58">
        <v>18</v>
      </c>
      <c r="B75" s="16">
        <f>'ECONOMIC ANALYSIS'!I79</f>
        <v>3.1306500000000002</v>
      </c>
      <c r="C75" s="16">
        <f t="shared" si="16"/>
        <v>0.45949303520460505</v>
      </c>
      <c r="D75" s="16">
        <f t="shared" si="20"/>
        <v>2.671156964795395</v>
      </c>
      <c r="E75" s="16">
        <f t="shared" si="21"/>
        <v>1.0150396466222502</v>
      </c>
      <c r="F75" s="16">
        <f t="shared" si="17"/>
        <v>2.1156103533777499</v>
      </c>
      <c r="G75" s="16"/>
      <c r="H75" s="58">
        <v>18</v>
      </c>
      <c r="I75" s="16">
        <f>'ECONOMIC ANALYSIS'!I107</f>
        <v>2.45275</v>
      </c>
      <c r="J75" s="16">
        <f t="shared" si="18"/>
        <v>0.40011009966864042</v>
      </c>
      <c r="K75" s="16">
        <f t="shared" si="22"/>
        <v>2.0526399003313598</v>
      </c>
      <c r="L75" s="16">
        <f t="shared" si="23"/>
        <v>0.78000316212591669</v>
      </c>
      <c r="M75" s="16">
        <f t="shared" si="19"/>
        <v>1.6727468378740833</v>
      </c>
      <c r="N75" s="16"/>
      <c r="O75" s="16"/>
      <c r="P75" s="16"/>
      <c r="Q75" s="16"/>
      <c r="R75" s="16"/>
      <c r="S75" s="16"/>
      <c r="T75" s="16"/>
    </row>
    <row r="76" spans="1:20">
      <c r="A76" s="58">
        <v>19</v>
      </c>
      <c r="B76" s="16">
        <f>'ECONOMIC ANALYSIS'!I80</f>
        <v>3.1306500000000002</v>
      </c>
      <c r="C76" s="16">
        <f t="shared" si="16"/>
        <v>0.43192345309232877</v>
      </c>
      <c r="D76" s="16">
        <f t="shared" si="20"/>
        <v>2.6987265469076713</v>
      </c>
      <c r="E76" s="16">
        <f t="shared" si="21"/>
        <v>1.0255160878249152</v>
      </c>
      <c r="F76" s="16">
        <f t="shared" si="17"/>
        <v>2.1051339121750852</v>
      </c>
      <c r="G76" s="16"/>
      <c r="H76" s="58">
        <v>19</v>
      </c>
      <c r="I76" s="16">
        <f>'ECONOMIC ANALYSIS'!I108</f>
        <v>2.45275</v>
      </c>
      <c r="J76" s="16">
        <f t="shared" si="18"/>
        <v>0.37610349368852203</v>
      </c>
      <c r="K76" s="16">
        <f t="shared" si="22"/>
        <v>2.0766465063114778</v>
      </c>
      <c r="L76" s="16">
        <f t="shared" si="23"/>
        <v>0.78912567239836162</v>
      </c>
      <c r="M76" s="16">
        <f t="shared" si="19"/>
        <v>1.6636243276016383</v>
      </c>
      <c r="N76" s="16"/>
      <c r="O76" s="16"/>
      <c r="P76" s="16"/>
      <c r="Q76" s="16"/>
      <c r="R76" s="16"/>
      <c r="S76" s="16"/>
      <c r="T76" s="16"/>
    </row>
    <row r="77" spans="1:20">
      <c r="A77" s="58">
        <v>20</v>
      </c>
      <c r="B77" s="16">
        <f>'ECONOMIC ANALYSIS'!I81</f>
        <v>0.46537626177263997</v>
      </c>
      <c r="C77" s="16">
        <f t="shared" si="16"/>
        <v>0.40600804590678907</v>
      </c>
      <c r="D77" s="16">
        <f t="shared" si="20"/>
        <v>5.9368215865850893E-2</v>
      </c>
      <c r="E77" s="16">
        <f t="shared" si="21"/>
        <v>2.2559922029023339E-2</v>
      </c>
      <c r="F77" s="16">
        <f t="shared" si="17"/>
        <v>0.44281633974361662</v>
      </c>
      <c r="G77" s="16"/>
      <c r="H77" s="58">
        <v>20</v>
      </c>
      <c r="I77" s="16">
        <f>'ECONOMIC ANALYSIS'!I109</f>
        <v>-0.24441461646198737</v>
      </c>
      <c r="J77" s="16">
        <f>K25</f>
        <v>0.35353728406721069</v>
      </c>
      <c r="K77" s="16">
        <f t="shared" si="22"/>
        <v>-0.597951900529198</v>
      </c>
      <c r="L77" s="16">
        <f t="shared" si="23"/>
        <v>-0.22722172220109524</v>
      </c>
      <c r="M77" s="16">
        <f t="shared" si="19"/>
        <v>-1.7192894260892128E-2</v>
      </c>
      <c r="N77" s="16"/>
      <c r="O77" s="16"/>
      <c r="P77" s="16"/>
      <c r="Q77" s="16"/>
      <c r="R77" s="16"/>
      <c r="S77" s="16"/>
      <c r="T77" s="16"/>
    </row>
    <row r="78" spans="1:20">
      <c r="A78" s="59"/>
      <c r="B78" s="16"/>
      <c r="C78" s="16"/>
      <c r="D78" s="16"/>
      <c r="E78" s="46" t="s">
        <v>99</v>
      </c>
      <c r="F78" s="21">
        <f>F57+NPV(0.0434,F58:F77)</f>
        <v>3.0995429067159677</v>
      </c>
      <c r="G78" s="16"/>
      <c r="H78" s="16"/>
      <c r="I78" s="16"/>
      <c r="J78" s="16"/>
      <c r="K78" s="16"/>
      <c r="L78" s="46" t="s">
        <v>99</v>
      </c>
      <c r="M78" s="21">
        <f>M57+NPV(0.0434,M58:M77)</f>
        <v>2.0389710729907016</v>
      </c>
      <c r="N78" s="16"/>
      <c r="O78" s="16"/>
      <c r="P78" s="16"/>
      <c r="Q78" s="16"/>
      <c r="R78" s="16"/>
      <c r="S78" s="16"/>
      <c r="T78" s="16"/>
    </row>
    <row r="79" spans="1:20">
      <c r="A79" s="59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</row>
    <row r="80" spans="1:20">
      <c r="A80" s="59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</row>
    <row r="81" spans="1:20">
      <c r="A81" s="68"/>
      <c r="B81" s="68"/>
      <c r="C81" s="68"/>
      <c r="D81" s="68"/>
      <c r="E81" s="68"/>
      <c r="F81" s="68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</row>
    <row r="82" spans="1:20">
      <c r="A82" s="46"/>
      <c r="B82" s="21"/>
      <c r="C82" s="21"/>
      <c r="D82" s="21"/>
      <c r="E82" s="21"/>
      <c r="F82" s="21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</row>
    <row r="83" spans="1:20">
      <c r="A83" s="58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</row>
    <row r="84" spans="1:20">
      <c r="A84" s="58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</row>
    <row r="85" spans="1:20">
      <c r="A85" s="58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</row>
    <row r="86" spans="1:20">
      <c r="A86" s="58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</row>
    <row r="87" spans="1:20">
      <c r="A87" s="58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</row>
    <row r="88" spans="1:20">
      <c r="A88" s="58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</row>
    <row r="89" spans="1:20">
      <c r="A89" s="58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</row>
    <row r="90" spans="1:20">
      <c r="A90" s="58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</row>
    <row r="91" spans="1:20">
      <c r="A91" s="58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</row>
    <row r="92" spans="1:20">
      <c r="A92" s="58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</row>
    <row r="93" spans="1:20">
      <c r="A93" s="58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</row>
    <row r="94" spans="1:20">
      <c r="A94" s="58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</row>
    <row r="95" spans="1:20">
      <c r="A95" s="58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</row>
    <row r="96" spans="1:20">
      <c r="A96" s="58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</row>
    <row r="97" spans="1:20">
      <c r="A97" s="58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</row>
    <row r="98" spans="1:20">
      <c r="A98" s="58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</row>
    <row r="99" spans="1:20">
      <c r="A99" s="58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</row>
    <row r="100" spans="1:20">
      <c r="A100" s="58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</row>
    <row r="101" spans="1:20">
      <c r="A101" s="58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</row>
    <row r="102" spans="1:20">
      <c r="A102" s="58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</row>
    <row r="103" spans="1:20">
      <c r="A103" s="58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</row>
    <row r="104" spans="1:20">
      <c r="A104" s="58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</row>
    <row r="105" spans="1:20">
      <c r="A105" s="58"/>
      <c r="B105" s="16"/>
      <c r="C105" s="16"/>
      <c r="D105" s="16"/>
      <c r="E105" s="21"/>
      <c r="F105" s="21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</row>
    <row r="106" spans="1:20">
      <c r="A106" s="58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</row>
    <row r="107" spans="1:20">
      <c r="A107" s="58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</row>
    <row r="108" spans="1:20">
      <c r="A108" s="58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</row>
    <row r="109" spans="1:20">
      <c r="A109" s="58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</row>
    <row r="110" spans="1:20">
      <c r="A110" s="58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</row>
    <row r="111" spans="1:20">
      <c r="A111" s="58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</row>
    <row r="112" spans="1:20">
      <c r="A112" s="58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</row>
    <row r="113" spans="1:20">
      <c r="A113" s="58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</row>
    <row r="114" spans="1:20">
      <c r="A114" s="58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</row>
    <row r="115" spans="1:20">
      <c r="A115" s="58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</row>
    <row r="116" spans="1:20">
      <c r="A116" s="58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</row>
    <row r="117" spans="1:20">
      <c r="A117" s="5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</row>
    <row r="118" spans="1:20">
      <c r="A118" s="5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</row>
    <row r="119" spans="1:20">
      <c r="A119" s="5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</row>
    <row r="120" spans="1:20">
      <c r="A120" s="5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</row>
    <row r="121" spans="1:20">
      <c r="A121" s="5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</row>
    <row r="122" spans="1:20">
      <c r="A122" s="59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</row>
    <row r="123" spans="1:20">
      <c r="A123" s="5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</row>
    <row r="124" spans="1:20">
      <c r="A124" s="5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</row>
    <row r="125" spans="1:20">
      <c r="A125" s="59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</row>
    <row r="126" spans="1:20">
      <c r="A126" s="59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</row>
    <row r="127" spans="1:20">
      <c r="A127" s="59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</row>
    <row r="128" spans="1:20">
      <c r="A128" s="59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</row>
    <row r="129" spans="1:20">
      <c r="A129" s="59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</row>
    <row r="130" spans="1:20">
      <c r="A130" s="59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</row>
    <row r="131" spans="1:20">
      <c r="A131" s="59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</row>
    <row r="132" spans="1:20">
      <c r="A132" s="59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</row>
    <row r="133" spans="1:20">
      <c r="A133" s="59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</row>
    <row r="134" spans="1:20">
      <c r="A134" s="59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</row>
    <row r="135" spans="1:20">
      <c r="A135" s="59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</row>
    <row r="136" spans="1:20">
      <c r="A136" s="59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</row>
    <row r="137" spans="1:20">
      <c r="A137" s="59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</row>
    <row r="138" spans="1:20">
      <c r="A138" s="59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</row>
    <row r="139" spans="1:20">
      <c r="A139" s="59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</row>
    <row r="140" spans="1:20">
      <c r="A140" s="59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</row>
    <row r="141" spans="1:20">
      <c r="A141" s="59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</row>
  </sheetData>
  <mergeCells count="10">
    <mergeCell ref="A81:F81"/>
    <mergeCell ref="A30:F30"/>
    <mergeCell ref="H30:M30"/>
    <mergeCell ref="A55:F55"/>
    <mergeCell ref="B1:C1"/>
    <mergeCell ref="B3:C3"/>
    <mergeCell ref="E3:F3"/>
    <mergeCell ref="H3:I3"/>
    <mergeCell ref="K3:L3"/>
    <mergeCell ref="H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O114"/>
  <sheetViews>
    <sheetView tabSelected="1" topLeftCell="E94" workbookViewId="0" xr3:uid="{51F8DEE0-4D01-5F28-A812-FC0BD7CAC4A5}">
      <selection activeCell="V111" sqref="V111"/>
    </sheetView>
  </sheetViews>
  <sheetFormatPr defaultRowHeight="15"/>
  <cols>
    <col min="2" max="2" width="10.85546875" customWidth="1"/>
    <col min="3" max="3" width="15.7109375" customWidth="1"/>
    <col min="4" max="4" width="13.42578125" customWidth="1"/>
    <col min="5" max="5" width="14.140625" customWidth="1"/>
    <col min="6" max="6" width="18" customWidth="1"/>
    <col min="8" max="8" width="18.42578125" customWidth="1"/>
    <col min="9" max="9" width="14.140625" customWidth="1"/>
  </cols>
  <sheetData>
    <row r="3" spans="3:13">
      <c r="C3" s="47" t="s">
        <v>0</v>
      </c>
    </row>
    <row r="4" spans="3:13">
      <c r="M4" s="16"/>
    </row>
    <row r="5" spans="3:13">
      <c r="C5" s="47" t="s">
        <v>101</v>
      </c>
      <c r="M5" s="16"/>
    </row>
    <row r="6" spans="3:13">
      <c r="M6" s="16"/>
    </row>
    <row r="7" spans="3:13">
      <c r="C7" s="51" t="s">
        <v>34</v>
      </c>
      <c r="D7" s="16">
        <f>Datasheet!C24</f>
        <v>4.5054600000000002</v>
      </c>
      <c r="F7" s="50" t="s">
        <v>102</v>
      </c>
      <c r="G7" s="52">
        <f>-Datasheet!C14-PV(D10,20,D7-D8,D11)+PV('SA1'!D10,6,0,D9)+PV('SA1'!D10,12,0,D9)+PV('SA1'!D10,18,0,D9)+PV(D10,7,0,Datasheet!C19)+PV(D10,19,Datasheet!C21)+PV(D10,20,0,Datasheet!C22)</f>
        <v>4.4245936915134507</v>
      </c>
      <c r="H7" s="16"/>
      <c r="M7" s="16"/>
    </row>
    <row r="8" spans="3:13">
      <c r="C8" t="s">
        <v>103</v>
      </c>
      <c r="D8" s="16">
        <f>Datasheet!C15</f>
        <v>1.051274</v>
      </c>
      <c r="G8" s="52"/>
      <c r="M8" s="16"/>
    </row>
    <row r="9" spans="3:13">
      <c r="C9" t="s">
        <v>104</v>
      </c>
      <c r="D9" s="16">
        <f>Datasheet!C16</f>
        <v>0.901092</v>
      </c>
      <c r="M9" s="16"/>
    </row>
    <row r="10" spans="3:13">
      <c r="C10" t="s">
        <v>105</v>
      </c>
      <c r="D10" s="48">
        <f>Datasheet!C36</f>
        <v>7.0000000000000007E-2</v>
      </c>
      <c r="G10" s="16"/>
      <c r="M10" s="16"/>
    </row>
    <row r="11" spans="3:13">
      <c r="C11" t="s">
        <v>106</v>
      </c>
      <c r="D11" s="17">
        <f>Datasheet!C25</f>
        <v>0.35889366628708519</v>
      </c>
      <c r="M11" s="16"/>
    </row>
    <row r="12" spans="3:13">
      <c r="C12" s="51" t="s">
        <v>107</v>
      </c>
      <c r="D12" s="49">
        <v>1.7899999999999999E-2</v>
      </c>
      <c r="M12" s="16"/>
    </row>
    <row r="13" spans="3:13">
      <c r="M13" s="16"/>
    </row>
    <row r="14" spans="3:13" ht="17.25" customHeight="1">
      <c r="M14" s="16"/>
    </row>
    <row r="15" spans="3:13">
      <c r="C15" t="s">
        <v>108</v>
      </c>
      <c r="D15" t="s">
        <v>34</v>
      </c>
      <c r="E15" t="s">
        <v>103</v>
      </c>
      <c r="F15" t="s">
        <v>104</v>
      </c>
      <c r="G15" t="s">
        <v>105</v>
      </c>
      <c r="H15" t="s">
        <v>109</v>
      </c>
      <c r="I15" t="s">
        <v>107</v>
      </c>
      <c r="M15" s="16"/>
    </row>
    <row r="16" spans="3:13">
      <c r="C16" s="26">
        <v>-0.5</v>
      </c>
      <c r="D16" s="16">
        <f>$D$7*(1+C16)</f>
        <v>2.2527300000000001</v>
      </c>
      <c r="E16" s="16">
        <f>$D$8*(1+C16)</f>
        <v>0.52563700000000002</v>
      </c>
      <c r="F16" s="16">
        <f>$D$9*(1+C16)</f>
        <v>0.450546</v>
      </c>
      <c r="G16" s="25">
        <f>$D$10*(1+C16)</f>
        <v>3.5000000000000003E-2</v>
      </c>
      <c r="H16" s="16">
        <f>$D$11*(1+C16)</f>
        <v>0.17944683314354259</v>
      </c>
      <c r="I16" s="25">
        <f>$D$12*(1+C16)</f>
        <v>8.9499999999999996E-3</v>
      </c>
      <c r="M16" s="16"/>
    </row>
    <row r="17" spans="3:13">
      <c r="C17" s="26">
        <v>-0.4</v>
      </c>
      <c r="D17" s="16">
        <f t="shared" ref="D17:D36" si="0">$D$7*(1+C17)</f>
        <v>2.7032760000000002</v>
      </c>
      <c r="E17" s="16">
        <f t="shared" ref="E17:E36" si="1">$D$8*(1+C17)</f>
        <v>0.6307644</v>
      </c>
      <c r="F17" s="16">
        <f t="shared" ref="F17:F30" si="2">$D$9*(1+C17)</f>
        <v>0.5406552</v>
      </c>
      <c r="G17" s="25">
        <f t="shared" ref="G17:G36" si="3">$D$10*(1+C17)</f>
        <v>4.2000000000000003E-2</v>
      </c>
      <c r="H17" s="16">
        <f t="shared" ref="H17:H36" si="4">$D$11*(1+C17)</f>
        <v>0.2153361997722511</v>
      </c>
      <c r="I17" s="25">
        <f t="shared" ref="I17:I36" si="5">$D$12*(1+C17)</f>
        <v>1.074E-2</v>
      </c>
      <c r="M17" s="16"/>
    </row>
    <row r="18" spans="3:13">
      <c r="C18" s="26">
        <v>-0.3</v>
      </c>
      <c r="D18" s="16">
        <f t="shared" si="0"/>
        <v>3.1538219999999999</v>
      </c>
      <c r="E18" s="16">
        <f t="shared" si="1"/>
        <v>0.73589179999999998</v>
      </c>
      <c r="F18" s="16">
        <f t="shared" si="2"/>
        <v>0.6307644</v>
      </c>
      <c r="G18" s="25">
        <f t="shared" si="3"/>
        <v>4.9000000000000002E-2</v>
      </c>
      <c r="H18" s="16">
        <f t="shared" si="4"/>
        <v>0.25122556640095961</v>
      </c>
      <c r="I18" s="25">
        <f t="shared" si="5"/>
        <v>1.2529999999999999E-2</v>
      </c>
      <c r="M18" s="16"/>
    </row>
    <row r="19" spans="3:13">
      <c r="C19" s="26">
        <v>-0.2</v>
      </c>
      <c r="D19" s="16">
        <f t="shared" si="0"/>
        <v>3.6043680000000005</v>
      </c>
      <c r="E19" s="16">
        <f t="shared" si="1"/>
        <v>0.84101920000000008</v>
      </c>
      <c r="F19" s="16">
        <f t="shared" si="2"/>
        <v>0.7208736</v>
      </c>
      <c r="G19" s="25">
        <f t="shared" si="3"/>
        <v>5.6000000000000008E-2</v>
      </c>
      <c r="H19" s="16">
        <f t="shared" si="4"/>
        <v>0.28711493302966817</v>
      </c>
      <c r="I19" s="25">
        <f t="shared" si="5"/>
        <v>1.4319999999999999E-2</v>
      </c>
      <c r="M19" s="16"/>
    </row>
    <row r="20" spans="3:13">
      <c r="C20" s="26">
        <v>-0.15</v>
      </c>
      <c r="D20" s="16">
        <f t="shared" si="0"/>
        <v>3.8296410000000001</v>
      </c>
      <c r="E20" s="16">
        <f t="shared" si="1"/>
        <v>0.89358289999999996</v>
      </c>
      <c r="F20" s="16">
        <f t="shared" si="2"/>
        <v>0.76592819999999995</v>
      </c>
      <c r="G20" s="25">
        <f t="shared" si="3"/>
        <v>5.9500000000000004E-2</v>
      </c>
      <c r="H20" s="16">
        <f t="shared" si="4"/>
        <v>0.3050596163440224</v>
      </c>
      <c r="I20" s="25">
        <f t="shared" si="5"/>
        <v>1.5214999999999999E-2</v>
      </c>
      <c r="M20" s="16"/>
    </row>
    <row r="21" spans="3:13">
      <c r="C21" s="26">
        <v>-0.1</v>
      </c>
      <c r="D21" s="16">
        <f t="shared" si="0"/>
        <v>4.0549140000000001</v>
      </c>
      <c r="E21" s="16">
        <f t="shared" si="1"/>
        <v>0.94614660000000006</v>
      </c>
      <c r="F21" s="16">
        <f t="shared" si="2"/>
        <v>0.8109828</v>
      </c>
      <c r="G21" s="25">
        <f t="shared" si="3"/>
        <v>6.3000000000000014E-2</v>
      </c>
      <c r="H21" s="16">
        <f t="shared" si="4"/>
        <v>0.32300429965837668</v>
      </c>
      <c r="I21" s="25">
        <f t="shared" si="5"/>
        <v>1.6109999999999999E-2</v>
      </c>
      <c r="M21" s="16"/>
    </row>
    <row r="22" spans="3:13">
      <c r="C22" s="26">
        <v>-0.08</v>
      </c>
      <c r="D22" s="16">
        <f t="shared" si="0"/>
        <v>4.1450232000000007</v>
      </c>
      <c r="E22" s="16">
        <f t="shared" si="1"/>
        <v>0.9671720800000001</v>
      </c>
      <c r="F22" s="16">
        <f t="shared" si="2"/>
        <v>0.82900464000000007</v>
      </c>
      <c r="G22" s="25">
        <f t="shared" si="3"/>
        <v>6.4400000000000013E-2</v>
      </c>
      <c r="H22" s="16">
        <f t="shared" si="4"/>
        <v>0.33018217298411839</v>
      </c>
      <c r="I22" s="25">
        <f t="shared" si="5"/>
        <v>1.6468E-2</v>
      </c>
      <c r="M22" s="16"/>
    </row>
    <row r="23" spans="3:13">
      <c r="C23" s="26">
        <v>-0.05</v>
      </c>
      <c r="D23" s="16">
        <f t="shared" si="0"/>
        <v>4.2801869999999997</v>
      </c>
      <c r="E23" s="16">
        <f t="shared" si="1"/>
        <v>0.99871029999999994</v>
      </c>
      <c r="F23" s="16">
        <f t="shared" si="2"/>
        <v>0.85603739999999995</v>
      </c>
      <c r="G23" s="25">
        <f t="shared" si="3"/>
        <v>6.6500000000000004E-2</v>
      </c>
      <c r="H23" s="16">
        <f t="shared" si="4"/>
        <v>0.34094898297273091</v>
      </c>
      <c r="I23" s="25">
        <f t="shared" si="5"/>
        <v>1.7004999999999999E-2</v>
      </c>
      <c r="M23" s="16"/>
    </row>
    <row r="24" spans="3:13">
      <c r="C24" s="26">
        <v>-0.02</v>
      </c>
      <c r="D24" s="16">
        <f t="shared" si="0"/>
        <v>4.4153508000000006</v>
      </c>
      <c r="E24" s="16">
        <f t="shared" si="1"/>
        <v>1.03024852</v>
      </c>
      <c r="F24" s="16">
        <f t="shared" si="2"/>
        <v>0.88307015999999994</v>
      </c>
      <c r="G24" s="25">
        <f t="shared" si="3"/>
        <v>6.8600000000000008E-2</v>
      </c>
      <c r="H24" s="16">
        <f t="shared" si="4"/>
        <v>0.35171579296134348</v>
      </c>
      <c r="I24" s="25">
        <f t="shared" si="5"/>
        <v>1.7541999999999999E-2</v>
      </c>
      <c r="M24" s="16"/>
    </row>
    <row r="25" spans="3:13">
      <c r="C25" s="26">
        <v>-0.01</v>
      </c>
      <c r="D25" s="16">
        <f t="shared" si="0"/>
        <v>4.4604054</v>
      </c>
      <c r="E25" s="16">
        <f t="shared" si="1"/>
        <v>1.04076126</v>
      </c>
      <c r="F25" s="16">
        <f t="shared" si="2"/>
        <v>0.89208107999999997</v>
      </c>
      <c r="G25" s="25">
        <f t="shared" si="3"/>
        <v>6.93E-2</v>
      </c>
      <c r="H25" s="16">
        <f t="shared" si="4"/>
        <v>0.35530472962421433</v>
      </c>
      <c r="I25" s="25">
        <f t="shared" si="5"/>
        <v>1.7721000000000001E-2</v>
      </c>
    </row>
    <row r="26" spans="3:13">
      <c r="C26" s="26">
        <v>0</v>
      </c>
      <c r="D26" s="16">
        <f t="shared" si="0"/>
        <v>4.5054600000000002</v>
      </c>
      <c r="E26" s="16">
        <f t="shared" si="1"/>
        <v>1.051274</v>
      </c>
      <c r="F26" s="16">
        <f t="shared" si="2"/>
        <v>0.901092</v>
      </c>
      <c r="G26" s="25">
        <f t="shared" si="3"/>
        <v>7.0000000000000007E-2</v>
      </c>
      <c r="H26" s="16">
        <f t="shared" si="4"/>
        <v>0.35889366628708519</v>
      </c>
      <c r="I26" s="25">
        <f t="shared" si="5"/>
        <v>1.7899999999999999E-2</v>
      </c>
    </row>
    <row r="27" spans="3:13">
      <c r="C27" s="26">
        <v>0.01</v>
      </c>
      <c r="D27" s="16">
        <f t="shared" si="0"/>
        <v>4.5505146000000005</v>
      </c>
      <c r="E27" s="16">
        <f t="shared" si="1"/>
        <v>1.0617867400000001</v>
      </c>
      <c r="F27" s="16">
        <f t="shared" si="2"/>
        <v>0.91010292000000004</v>
      </c>
      <c r="G27" s="25">
        <f t="shared" si="3"/>
        <v>7.0700000000000013E-2</v>
      </c>
      <c r="H27" s="16">
        <f t="shared" si="4"/>
        <v>0.36248260294995605</v>
      </c>
      <c r="I27" s="25">
        <f t="shared" si="5"/>
        <v>1.8078999999999998E-2</v>
      </c>
    </row>
    <row r="28" spans="3:13">
      <c r="C28" s="26">
        <v>0.02</v>
      </c>
      <c r="D28" s="16">
        <f t="shared" si="0"/>
        <v>4.5955691999999999</v>
      </c>
      <c r="E28" s="16">
        <f t="shared" si="1"/>
        <v>1.0722994800000001</v>
      </c>
      <c r="F28" s="16">
        <f t="shared" si="2"/>
        <v>0.91911384000000007</v>
      </c>
      <c r="G28" s="25">
        <f t="shared" si="3"/>
        <v>7.1400000000000005E-2</v>
      </c>
      <c r="H28" s="16">
        <f t="shared" si="4"/>
        <v>0.3660715396128269</v>
      </c>
      <c r="I28" s="25">
        <f t="shared" si="5"/>
        <v>1.8258E-2</v>
      </c>
    </row>
    <row r="29" spans="3:13">
      <c r="C29" s="26">
        <v>0.05</v>
      </c>
      <c r="D29" s="16">
        <f t="shared" si="0"/>
        <v>4.7307330000000007</v>
      </c>
      <c r="E29" s="16">
        <f t="shared" si="1"/>
        <v>1.1038377000000001</v>
      </c>
      <c r="F29" s="16">
        <f t="shared" si="2"/>
        <v>0.94614660000000006</v>
      </c>
      <c r="G29" s="25">
        <f t="shared" si="3"/>
        <v>7.350000000000001E-2</v>
      </c>
      <c r="H29" s="16">
        <f t="shared" si="4"/>
        <v>0.37683834960143947</v>
      </c>
      <c r="I29" s="25">
        <f t="shared" si="5"/>
        <v>1.8794999999999999E-2</v>
      </c>
    </row>
    <row r="30" spans="3:13">
      <c r="C30" s="26">
        <v>0.08</v>
      </c>
      <c r="D30" s="16">
        <f t="shared" si="0"/>
        <v>4.8658968000000007</v>
      </c>
      <c r="E30" s="16">
        <f t="shared" si="1"/>
        <v>1.1353759200000002</v>
      </c>
      <c r="F30" s="16">
        <f t="shared" si="2"/>
        <v>0.97317936000000005</v>
      </c>
      <c r="G30" s="25">
        <f t="shared" si="3"/>
        <v>7.5600000000000014E-2</v>
      </c>
      <c r="H30" s="16">
        <f t="shared" si="4"/>
        <v>0.38760515959005204</v>
      </c>
      <c r="I30" s="25">
        <f t="shared" si="5"/>
        <v>1.9332000000000002E-2</v>
      </c>
    </row>
    <row r="31" spans="3:13">
      <c r="C31" s="26">
        <v>0.1</v>
      </c>
      <c r="D31" s="16">
        <f t="shared" si="0"/>
        <v>4.9560060000000004</v>
      </c>
      <c r="E31" s="16">
        <f t="shared" si="1"/>
        <v>1.1564014000000002</v>
      </c>
      <c r="F31" s="16">
        <f>$D$9*(1+C31)</f>
        <v>0.99120120000000012</v>
      </c>
      <c r="G31" s="25">
        <f t="shared" si="3"/>
        <v>7.7000000000000013E-2</v>
      </c>
      <c r="H31" s="16">
        <f t="shared" si="4"/>
        <v>0.39478303291579375</v>
      </c>
      <c r="I31" s="25">
        <f t="shared" si="5"/>
        <v>1.9689999999999999E-2</v>
      </c>
    </row>
    <row r="32" spans="3:13">
      <c r="C32" s="26">
        <v>0.15</v>
      </c>
      <c r="D32" s="16">
        <f t="shared" si="0"/>
        <v>5.181279</v>
      </c>
      <c r="E32" s="16">
        <f t="shared" si="1"/>
        <v>1.2089650999999999</v>
      </c>
      <c r="F32" s="16">
        <f>$D$9*(1+C32)</f>
        <v>1.0362557999999999</v>
      </c>
      <c r="G32" s="25">
        <f t="shared" si="3"/>
        <v>8.0500000000000002E-2</v>
      </c>
      <c r="H32" s="16">
        <f t="shared" si="4"/>
        <v>0.41272771623014792</v>
      </c>
      <c r="I32" s="25">
        <f t="shared" si="5"/>
        <v>2.0584999999999999E-2</v>
      </c>
    </row>
    <row r="33" spans="3:15">
      <c r="C33" s="26">
        <v>0.2</v>
      </c>
      <c r="D33" s="16">
        <f t="shared" si="0"/>
        <v>5.4065520000000005</v>
      </c>
      <c r="E33" s="16">
        <f t="shared" si="1"/>
        <v>1.2615288</v>
      </c>
      <c r="F33" s="16">
        <f t="shared" ref="F33:F35" si="6">$D$9*(1+C33)</f>
        <v>1.0813104</v>
      </c>
      <c r="G33" s="25">
        <f t="shared" si="3"/>
        <v>8.4000000000000005E-2</v>
      </c>
      <c r="H33" s="16">
        <f t="shared" si="4"/>
        <v>0.4306723995445022</v>
      </c>
      <c r="I33" s="25">
        <f t="shared" si="5"/>
        <v>2.1479999999999999E-2</v>
      </c>
    </row>
    <row r="34" spans="3:15">
      <c r="C34" s="26">
        <v>0.3</v>
      </c>
      <c r="D34" s="16">
        <f t="shared" si="0"/>
        <v>5.8570980000000006</v>
      </c>
      <c r="E34" s="16">
        <f t="shared" si="1"/>
        <v>1.3666562000000002</v>
      </c>
      <c r="F34" s="16">
        <f t="shared" si="6"/>
        <v>1.1714196000000001</v>
      </c>
      <c r="G34" s="25">
        <f t="shared" si="3"/>
        <v>9.1000000000000011E-2</v>
      </c>
      <c r="H34" s="16">
        <f t="shared" si="4"/>
        <v>0.46656176617321077</v>
      </c>
      <c r="I34" s="25">
        <f t="shared" si="5"/>
        <v>2.3269999999999999E-2</v>
      </c>
    </row>
    <row r="35" spans="3:15">
      <c r="C35" s="26">
        <v>0.4</v>
      </c>
      <c r="D35" s="16">
        <f t="shared" si="0"/>
        <v>6.3076439999999998</v>
      </c>
      <c r="E35" s="16">
        <f t="shared" si="1"/>
        <v>1.4717836</v>
      </c>
      <c r="F35" s="16">
        <f t="shared" si="6"/>
        <v>1.2615288</v>
      </c>
      <c r="G35" s="25">
        <f t="shared" si="3"/>
        <v>9.8000000000000004E-2</v>
      </c>
      <c r="H35" s="16">
        <f t="shared" si="4"/>
        <v>0.50245113280191922</v>
      </c>
      <c r="I35" s="25">
        <f t="shared" si="5"/>
        <v>2.5059999999999999E-2</v>
      </c>
    </row>
    <row r="36" spans="3:15">
      <c r="C36" s="26">
        <v>0.5</v>
      </c>
      <c r="D36" s="16">
        <f t="shared" si="0"/>
        <v>6.7581900000000008</v>
      </c>
      <c r="E36" s="16">
        <f t="shared" si="1"/>
        <v>1.576911</v>
      </c>
      <c r="F36" s="16">
        <f>$D$9*(1+C36)</f>
        <v>1.3516379999999999</v>
      </c>
      <c r="G36" s="25">
        <f t="shared" si="3"/>
        <v>0.10500000000000001</v>
      </c>
      <c r="H36" s="16">
        <f t="shared" si="4"/>
        <v>0.53834049943062778</v>
      </c>
      <c r="I36" s="25">
        <f t="shared" si="5"/>
        <v>2.6849999999999999E-2</v>
      </c>
    </row>
    <row r="40" spans="3:15" ht="12" customHeight="1"/>
    <row r="41" spans="3:15" ht="34.5" customHeight="1">
      <c r="C41" t="s">
        <v>108</v>
      </c>
      <c r="D41" s="16" t="s">
        <v>34</v>
      </c>
      <c r="E41" s="16">
        <f>G7</f>
        <v>4.4245936915134507</v>
      </c>
      <c r="F41" s="16" t="s">
        <v>103</v>
      </c>
      <c r="G41" s="16">
        <f>G7</f>
        <v>4.4245936915134507</v>
      </c>
      <c r="H41" s="16" t="s">
        <v>104</v>
      </c>
      <c r="I41" s="16">
        <f>G7</f>
        <v>4.4245936915134507</v>
      </c>
      <c r="J41" t="s">
        <v>105</v>
      </c>
      <c r="K41" s="16">
        <f>G7</f>
        <v>4.4245936915134507</v>
      </c>
      <c r="L41" s="16" t="s">
        <v>109</v>
      </c>
      <c r="M41" s="16">
        <f>G7</f>
        <v>4.4245936915134507</v>
      </c>
      <c r="N41" s="16" t="s">
        <v>107</v>
      </c>
      <c r="O41" s="16">
        <f>G7</f>
        <v>4.4245936915134507</v>
      </c>
    </row>
    <row r="42" spans="3:15">
      <c r="C42" s="26">
        <v>-0.5</v>
      </c>
      <c r="D42" s="17">
        <v>2.2527300000000001</v>
      </c>
      <c r="E42" s="16">
        <f t="dataTable" ref="E42:E62" dt2D="0" dtr="0" r1="D7" ca="1"/>
        <v>-19.440860019788168</v>
      </c>
      <c r="F42" s="16">
        <v>0.52563700000000002</v>
      </c>
      <c r="G42" s="16">
        <f t="dataTable" ref="G42:G62" dt2D="0" dtr="0" r1="D8"/>
        <v>9.9931995574838286</v>
      </c>
      <c r="H42" s="16">
        <v>0.450546</v>
      </c>
      <c r="I42" s="16">
        <f t="dataTable" ref="I42:I62" dt2D="0" dtr="0" r1="D9" ca="1"/>
        <v>5.0581596313161938</v>
      </c>
      <c r="J42" s="49">
        <v>3.5000000000000003E-2</v>
      </c>
      <c r="K42" s="16">
        <f t="dataTable" ref="K42:K62" dt2D="0" dtr="0" r1="D10" ca="1"/>
        <v>13.562419006390924</v>
      </c>
      <c r="L42" s="16">
        <v>0.17944683314354259</v>
      </c>
      <c r="M42" s="16">
        <f t="dataTable" ref="M42:M62" dt2D="0" dtr="0" r1="D11" ca="1"/>
        <v>4.3782212198343942</v>
      </c>
      <c r="N42" s="16">
        <v>8.9499999999999996E-3</v>
      </c>
      <c r="O42" s="16">
        <f t="dataTable" ref="O42:O62" dt2D="0" dtr="0" r1="D12" ca="1"/>
        <v>4.4245936915134507</v>
      </c>
    </row>
    <row r="43" spans="3:15">
      <c r="C43" s="26">
        <v>-0.4</v>
      </c>
      <c r="D43" s="17">
        <v>2.7032760000000002</v>
      </c>
      <c r="E43" s="16">
        <v>-14.667769277527841</v>
      </c>
      <c r="F43" s="16">
        <v>0.6307644</v>
      </c>
      <c r="G43" s="16">
        <v>8.8794783842897633</v>
      </c>
      <c r="H43" s="16">
        <v>0.5406552</v>
      </c>
      <c r="I43" s="16">
        <v>4.9314464433556449</v>
      </c>
      <c r="J43" s="49">
        <v>4.2000000000000003E-2</v>
      </c>
      <c r="K43" s="16">
        <v>11.382304892358871</v>
      </c>
      <c r="L43" s="16">
        <v>0.2153361997722511</v>
      </c>
      <c r="M43" s="16">
        <v>4.3874957141702069</v>
      </c>
      <c r="N43" s="16">
        <v>1.074E-2</v>
      </c>
      <c r="O43" s="16">
        <v>4.4245936915134507</v>
      </c>
    </row>
    <row r="44" spans="3:15">
      <c r="C44" s="26">
        <v>-0.3</v>
      </c>
      <c r="D44" s="17">
        <v>3.1538219999999999</v>
      </c>
      <c r="E44" s="16">
        <v>-9.8946785352675217</v>
      </c>
      <c r="F44" s="16">
        <v>0.73589179999999998</v>
      </c>
      <c r="G44" s="16">
        <v>7.7657572110956838</v>
      </c>
      <c r="H44" s="16">
        <v>0.6307644</v>
      </c>
      <c r="I44" s="16">
        <v>4.8047332553950977</v>
      </c>
      <c r="J44" s="49">
        <v>4.9000000000000002E-2</v>
      </c>
      <c r="K44" s="16">
        <v>9.3978317493402468</v>
      </c>
      <c r="L44" s="16">
        <v>0.25122556640095961</v>
      </c>
      <c r="M44" s="16">
        <v>4.3967702085060196</v>
      </c>
      <c r="N44" s="16">
        <v>1.2529999999999999E-2</v>
      </c>
      <c r="O44" s="16">
        <v>4.4245936915134507</v>
      </c>
    </row>
    <row r="45" spans="3:15">
      <c r="C45" s="26">
        <v>-0.2</v>
      </c>
      <c r="D45" s="17">
        <v>3.6043680000000005</v>
      </c>
      <c r="E45" s="16">
        <v>-5.1215877930071887</v>
      </c>
      <c r="F45" s="16">
        <v>0.84101920000000008</v>
      </c>
      <c r="G45" s="16">
        <v>6.6520360379016106</v>
      </c>
      <c r="H45" s="16">
        <v>0.7208736</v>
      </c>
      <c r="I45" s="16">
        <v>4.6780200674345487</v>
      </c>
      <c r="J45" s="49">
        <v>5.6000000000000008E-2</v>
      </c>
      <c r="K45" s="16">
        <v>7.5884782625468219</v>
      </c>
      <c r="L45" s="16">
        <v>0.28711493302966817</v>
      </c>
      <c r="M45" s="16">
        <v>4.4060447028418324</v>
      </c>
      <c r="N45" s="16">
        <v>1.4319999999999999E-2</v>
      </c>
      <c r="O45" s="16">
        <v>4.4245936915134507</v>
      </c>
    </row>
    <row r="46" spans="3:15">
      <c r="C46" s="26">
        <v>-0.15</v>
      </c>
      <c r="D46" s="17">
        <v>3.8296410000000001</v>
      </c>
      <c r="E46" s="16">
        <v>-2.735042421877028</v>
      </c>
      <c r="F46" s="16">
        <v>0.89358289999999996</v>
      </c>
      <c r="G46" s="16">
        <v>6.0951754513045708</v>
      </c>
      <c r="H46" s="16">
        <v>0.76592819999999995</v>
      </c>
      <c r="I46" s="16">
        <v>4.6146634734542733</v>
      </c>
      <c r="J46" s="49">
        <v>5.9500000000000004E-2</v>
      </c>
      <c r="K46" s="16">
        <v>6.7437144466212864</v>
      </c>
      <c r="L46" s="16">
        <v>0.3050596163440224</v>
      </c>
      <c r="M46" s="16">
        <v>4.4106819500097316</v>
      </c>
      <c r="N46" s="16">
        <v>1.5214999999999999E-2</v>
      </c>
      <c r="O46" s="16">
        <v>4.4245936915134507</v>
      </c>
    </row>
    <row r="47" spans="3:15">
      <c r="C47" s="26">
        <v>-0.1</v>
      </c>
      <c r="D47" s="17">
        <v>4.0549140000000001</v>
      </c>
      <c r="E47" s="16">
        <v>-0.3484970507468711</v>
      </c>
      <c r="F47" s="16">
        <v>0.94614660000000006</v>
      </c>
      <c r="G47" s="16">
        <v>5.5383148647075311</v>
      </c>
      <c r="H47" s="16">
        <v>0.8109828</v>
      </c>
      <c r="I47" s="16">
        <v>4.5513068794739997</v>
      </c>
      <c r="J47" s="49">
        <v>6.3000000000000014E-2</v>
      </c>
      <c r="K47" s="16">
        <v>5.9360916599244682</v>
      </c>
      <c r="L47" s="16">
        <v>0.32300429965837668</v>
      </c>
      <c r="M47" s="16">
        <v>4.415319197177638</v>
      </c>
      <c r="N47" s="16">
        <v>1.6109999999999999E-2</v>
      </c>
      <c r="O47" s="16">
        <v>4.4245936915134507</v>
      </c>
    </row>
    <row r="48" spans="3:15">
      <c r="C48" s="26">
        <v>-0.08</v>
      </c>
      <c r="D48" s="17">
        <v>4.1450232000000007</v>
      </c>
      <c r="E48" s="16">
        <v>0.60612109770519906</v>
      </c>
      <c r="F48" s="16">
        <v>0.9671720800000001</v>
      </c>
      <c r="G48" s="16">
        <v>5.3155706300687129</v>
      </c>
      <c r="H48" s="16">
        <v>0.82900464000000007</v>
      </c>
      <c r="I48" s="16">
        <v>4.5259642418818888</v>
      </c>
      <c r="J48" s="49">
        <v>6.4400000000000013E-2</v>
      </c>
      <c r="K48" s="16">
        <v>5.6230019624007923</v>
      </c>
      <c r="L48" s="16">
        <v>0.33018217298411839</v>
      </c>
      <c r="M48" s="16">
        <v>4.4171740960448034</v>
      </c>
      <c r="N48" s="16">
        <v>1.6468E-2</v>
      </c>
      <c r="O48" s="16">
        <v>4.4245936915134507</v>
      </c>
    </row>
    <row r="49" spans="3:15">
      <c r="C49" s="26">
        <v>-0.05</v>
      </c>
      <c r="D49" s="17">
        <v>4.2801869999999997</v>
      </c>
      <c r="E49" s="16">
        <v>2.03804832038329</v>
      </c>
      <c r="F49" s="16">
        <v>0.99871029999999994</v>
      </c>
      <c r="G49" s="16">
        <v>4.9814542781104976</v>
      </c>
      <c r="H49" s="16">
        <v>0.85603739999999995</v>
      </c>
      <c r="I49" s="16">
        <v>4.4879502854937243</v>
      </c>
      <c r="J49" s="49">
        <v>6.6500000000000004E-2</v>
      </c>
      <c r="K49" s="16">
        <v>5.1636626703797885</v>
      </c>
      <c r="L49" s="16">
        <v>0.34094898297273091</v>
      </c>
      <c r="M49" s="16">
        <v>4.4199564443455444</v>
      </c>
      <c r="N49" s="16">
        <v>1.7004999999999999E-2</v>
      </c>
      <c r="O49" s="16">
        <v>4.4245936915134507</v>
      </c>
    </row>
    <row r="50" spans="3:15">
      <c r="C50" s="26">
        <v>-0.02</v>
      </c>
      <c r="D50" s="17">
        <v>4.4153508000000006</v>
      </c>
      <c r="E50" s="16">
        <v>3.4699755430613952</v>
      </c>
      <c r="F50" s="16">
        <v>1.03024852</v>
      </c>
      <c r="G50" s="16">
        <v>4.647337926152268</v>
      </c>
      <c r="H50" s="16">
        <v>0.88307015999999994</v>
      </c>
      <c r="I50" s="16">
        <v>4.4499363291055616</v>
      </c>
      <c r="J50" s="49">
        <v>6.8600000000000008E-2</v>
      </c>
      <c r="K50" s="16">
        <v>4.7163309425601811</v>
      </c>
      <c r="L50" s="16">
        <v>0.35171579296134348</v>
      </c>
      <c r="M50" s="16">
        <v>4.4227387926462924</v>
      </c>
      <c r="N50" s="16">
        <v>1.7541999999999999E-2</v>
      </c>
      <c r="O50" s="16">
        <v>4.4245936915134507</v>
      </c>
    </row>
    <row r="51" spans="3:15">
      <c r="C51" s="26">
        <v>-0.01</v>
      </c>
      <c r="D51" s="17">
        <v>4.4604054</v>
      </c>
      <c r="E51" s="16">
        <v>3.9472846172874161</v>
      </c>
      <c r="F51" s="16">
        <v>1.04076126</v>
      </c>
      <c r="G51" s="16">
        <v>4.5359658088328629</v>
      </c>
      <c r="H51" s="16">
        <v>0.89208107999999997</v>
      </c>
      <c r="I51" s="16">
        <v>4.4372650103095062</v>
      </c>
      <c r="J51" s="49">
        <v>6.93E-2</v>
      </c>
      <c r="K51" s="16">
        <v>4.5698230816598855</v>
      </c>
      <c r="L51" s="16">
        <v>0.35530472962421433</v>
      </c>
      <c r="M51" s="16">
        <v>4.423666242079868</v>
      </c>
      <c r="N51" s="16">
        <v>1.7721000000000001E-2</v>
      </c>
      <c r="O51" s="16">
        <v>4.4245936915134507</v>
      </c>
    </row>
    <row r="52" spans="3:15">
      <c r="C52" s="26">
        <v>0</v>
      </c>
      <c r="D52" s="17">
        <v>4.5054600000000002</v>
      </c>
      <c r="E52" s="16">
        <v>4.4245936915134507</v>
      </c>
      <c r="F52" s="16">
        <v>1.051274</v>
      </c>
      <c r="G52" s="16">
        <v>4.4245936915134507</v>
      </c>
      <c r="H52" s="16">
        <v>0.901092</v>
      </c>
      <c r="I52" s="16">
        <v>4.4245936915134507</v>
      </c>
      <c r="J52" s="49">
        <v>7.0000000000000007E-2</v>
      </c>
      <c r="K52" s="16">
        <v>4.4245936915134507</v>
      </c>
      <c r="L52" s="16">
        <v>0.35889366628708519</v>
      </c>
      <c r="M52" s="16">
        <v>4.4245936915134507</v>
      </c>
      <c r="N52" s="16">
        <v>1.7899999999999999E-2</v>
      </c>
      <c r="O52" s="16">
        <v>4.4245936915134507</v>
      </c>
    </row>
    <row r="53" spans="3:15">
      <c r="C53" s="26">
        <v>0.01</v>
      </c>
      <c r="D53" s="17">
        <v>4.5505146000000005</v>
      </c>
      <c r="E53" s="16">
        <v>4.9019027657394858</v>
      </c>
      <c r="F53" s="16">
        <v>1.0617867400000001</v>
      </c>
      <c r="G53" s="16">
        <v>4.3132215741940456</v>
      </c>
      <c r="H53" s="16">
        <v>0.91010292000000004</v>
      </c>
      <c r="I53" s="16">
        <v>4.4119223727173971</v>
      </c>
      <c r="J53" s="49">
        <v>7.0700000000000013E-2</v>
      </c>
      <c r="K53" s="16">
        <v>4.280629283345994</v>
      </c>
      <c r="L53" s="16">
        <v>0.36248260294995605</v>
      </c>
      <c r="M53" s="16">
        <v>4.4255211409470334</v>
      </c>
      <c r="N53" s="16">
        <v>1.8078999999999998E-2</v>
      </c>
      <c r="O53" s="16">
        <v>4.4245936915134507</v>
      </c>
    </row>
    <row r="54" spans="3:15">
      <c r="C54" s="26">
        <v>0.02</v>
      </c>
      <c r="D54" s="17">
        <v>4.5955691999999999</v>
      </c>
      <c r="E54" s="16">
        <v>5.3792118399655138</v>
      </c>
      <c r="F54" s="16">
        <v>1.0722994800000001</v>
      </c>
      <c r="G54" s="16">
        <v>4.2018494568746405</v>
      </c>
      <c r="H54" s="16">
        <v>0.91911384000000007</v>
      </c>
      <c r="I54" s="16">
        <v>4.3992510539213416</v>
      </c>
      <c r="J54" s="49">
        <v>7.1400000000000005E-2</v>
      </c>
      <c r="K54" s="16">
        <v>4.1379165276544096</v>
      </c>
      <c r="L54" s="16">
        <v>0.3660715396128269</v>
      </c>
      <c r="M54" s="16">
        <v>4.4264485903806161</v>
      </c>
      <c r="N54" s="16">
        <v>1.8258E-2</v>
      </c>
      <c r="O54" s="16">
        <v>4.4245936915134507</v>
      </c>
    </row>
    <row r="55" spans="3:15">
      <c r="C55" s="26">
        <v>0.05</v>
      </c>
      <c r="D55" s="17">
        <v>4.7307330000000007</v>
      </c>
      <c r="E55" s="16">
        <v>6.8111390626436199</v>
      </c>
      <c r="F55" s="16">
        <v>1.1038377000000001</v>
      </c>
      <c r="G55" s="16">
        <v>3.8677331049164185</v>
      </c>
      <c r="H55" s="16">
        <v>0.94614660000000006</v>
      </c>
      <c r="I55" s="16">
        <v>4.3612370975331789</v>
      </c>
      <c r="J55" s="49">
        <v>7.350000000000001E-2</v>
      </c>
      <c r="K55" s="16">
        <v>3.7171572267040021</v>
      </c>
      <c r="L55" s="16">
        <v>0.37683834960143947</v>
      </c>
      <c r="M55" s="16">
        <v>4.4292309386813571</v>
      </c>
      <c r="N55" s="16">
        <v>1.8794999999999999E-2</v>
      </c>
      <c r="O55" s="16">
        <v>4.4245936915134507</v>
      </c>
    </row>
    <row r="56" spans="3:15">
      <c r="C56" s="26">
        <v>0.08</v>
      </c>
      <c r="D56" s="17">
        <v>4.8658968000000007</v>
      </c>
      <c r="E56" s="16">
        <v>8.2430662853217189</v>
      </c>
      <c r="F56" s="16">
        <v>1.1353759200000002</v>
      </c>
      <c r="G56" s="16">
        <v>3.5336167529581961</v>
      </c>
      <c r="H56" s="16">
        <v>0.97317936000000005</v>
      </c>
      <c r="I56" s="16">
        <v>4.3232231411450144</v>
      </c>
      <c r="J56" s="49">
        <v>7.5600000000000014E-2</v>
      </c>
      <c r="K56" s="16">
        <v>3.3071978017734942</v>
      </c>
      <c r="L56" s="16">
        <v>0.38760515959005204</v>
      </c>
      <c r="M56" s="16">
        <v>4.4320132869820981</v>
      </c>
      <c r="N56" s="16">
        <v>1.9332000000000002E-2</v>
      </c>
      <c r="O56" s="16">
        <v>4.4245936915134507</v>
      </c>
    </row>
    <row r="57" spans="3:15">
      <c r="C57" s="26">
        <v>0.1</v>
      </c>
      <c r="D57" s="17">
        <v>4.9560060000000004</v>
      </c>
      <c r="E57" s="16">
        <v>9.1976844337737749</v>
      </c>
      <c r="F57" s="16">
        <v>1.1564014000000002</v>
      </c>
      <c r="G57" s="16">
        <v>3.3108725183193859</v>
      </c>
      <c r="H57" s="16">
        <v>0.99120120000000012</v>
      </c>
      <c r="I57" s="16">
        <v>4.2978805035529053</v>
      </c>
      <c r="J57" s="49">
        <v>7.7000000000000013E-2</v>
      </c>
      <c r="K57" s="16">
        <v>3.0397253956466614</v>
      </c>
      <c r="L57" s="16">
        <v>0.39478303291579375</v>
      </c>
      <c r="M57" s="16">
        <v>4.4338681858492635</v>
      </c>
      <c r="N57" s="16">
        <v>1.9689999999999999E-2</v>
      </c>
      <c r="O57" s="16">
        <v>4.4245936915134507</v>
      </c>
    </row>
    <row r="58" spans="3:15">
      <c r="C58" s="26">
        <v>0.15</v>
      </c>
      <c r="D58" s="17">
        <v>5.181279</v>
      </c>
      <c r="E58" s="16">
        <v>11.584229804903936</v>
      </c>
      <c r="F58" s="16">
        <v>1.2089650999999999</v>
      </c>
      <c r="G58" s="16">
        <v>2.754011931722339</v>
      </c>
      <c r="H58" s="16">
        <v>1.0362557999999999</v>
      </c>
      <c r="I58" s="16">
        <v>4.2345239095726299</v>
      </c>
      <c r="J58" s="49">
        <v>8.0500000000000002E-2</v>
      </c>
      <c r="K58" s="16">
        <v>2.3907637086093283</v>
      </c>
      <c r="L58" s="16">
        <v>0.41272771623014792</v>
      </c>
      <c r="M58" s="16">
        <v>4.4385054330171698</v>
      </c>
      <c r="N58" s="16">
        <v>2.0584999999999999E-2</v>
      </c>
      <c r="O58" s="16">
        <v>4.4245936915134507</v>
      </c>
    </row>
    <row r="59" spans="3:15">
      <c r="C59" s="26">
        <v>0.2</v>
      </c>
      <c r="D59" s="17">
        <v>5.4065520000000005</v>
      </c>
      <c r="E59" s="16">
        <v>13.970775176034111</v>
      </c>
      <c r="F59" s="16">
        <v>1.2615288</v>
      </c>
      <c r="G59" s="16">
        <v>2.1971513451253064</v>
      </c>
      <c r="H59" s="16">
        <v>1.0813104</v>
      </c>
      <c r="I59" s="16">
        <v>4.1711673155923563</v>
      </c>
      <c r="J59" s="49">
        <v>8.4000000000000005E-2</v>
      </c>
      <c r="K59" s="16">
        <v>1.7688252566426108</v>
      </c>
      <c r="L59" s="16">
        <v>0.4306723995445022</v>
      </c>
      <c r="M59" s="16">
        <v>4.4431426801850762</v>
      </c>
      <c r="N59" s="16">
        <v>2.1479999999999999E-2</v>
      </c>
      <c r="O59" s="16">
        <v>4.4245936915134507</v>
      </c>
    </row>
    <row r="60" spans="3:15">
      <c r="C60" s="26">
        <v>0.3</v>
      </c>
      <c r="D60" s="17">
        <v>5.8570980000000006</v>
      </c>
      <c r="E60" s="16">
        <v>18.743865918294432</v>
      </c>
      <c r="F60" s="16">
        <v>1.3666562000000002</v>
      </c>
      <c r="G60" s="16">
        <v>1.0834301719312269</v>
      </c>
      <c r="H60" s="16">
        <v>1.1714196000000001</v>
      </c>
      <c r="I60" s="16">
        <v>4.0444541276318073</v>
      </c>
      <c r="J60" s="49">
        <v>9.1000000000000011E-2</v>
      </c>
      <c r="K60" s="16">
        <v>0.6006361455535778</v>
      </c>
      <c r="L60" s="16">
        <v>0.46656176617321077</v>
      </c>
      <c r="M60" s="16">
        <v>4.4524171745208889</v>
      </c>
      <c r="N60" s="16">
        <v>2.3269999999999999E-2</v>
      </c>
      <c r="O60" s="16">
        <v>4.4245936915134507</v>
      </c>
    </row>
    <row r="61" spans="3:15">
      <c r="C61" s="26">
        <v>0.4</v>
      </c>
      <c r="D61" s="17">
        <v>6.3076439999999998</v>
      </c>
      <c r="E61" s="16">
        <v>23.516956660554754</v>
      </c>
      <c r="F61" s="16">
        <v>1.4717836</v>
      </c>
      <c r="G61" s="16">
        <v>-3.0291001262845341E-2</v>
      </c>
      <c r="H61" s="16">
        <v>1.2615288</v>
      </c>
      <c r="I61" s="16">
        <v>3.9177409396712588</v>
      </c>
      <c r="J61" s="49">
        <v>9.8000000000000004E-2</v>
      </c>
      <c r="K61" s="16">
        <v>-0.47486289737091675</v>
      </c>
      <c r="L61" s="16">
        <v>0.50245113280191922</v>
      </c>
      <c r="M61" s="16">
        <v>4.4616916688567017</v>
      </c>
      <c r="N61" s="16">
        <v>2.5059999999999999E-2</v>
      </c>
      <c r="O61" s="16">
        <v>4.4245936915134507</v>
      </c>
    </row>
    <row r="62" spans="3:15">
      <c r="C62" s="26">
        <v>0.5</v>
      </c>
      <c r="D62" s="17">
        <v>6.7581900000000008</v>
      </c>
      <c r="E62" s="16">
        <v>28.290047402815077</v>
      </c>
      <c r="F62" s="16">
        <v>1.576911</v>
      </c>
      <c r="G62" s="16">
        <v>-1.1440121744569214</v>
      </c>
      <c r="H62" s="16">
        <v>1.3516379999999999</v>
      </c>
      <c r="I62" s="16">
        <v>3.7910277517107098</v>
      </c>
      <c r="J62" s="49">
        <v>0.10500000000000001</v>
      </c>
      <c r="K62" s="16">
        <v>-1.4666034135854762</v>
      </c>
      <c r="L62" s="16">
        <v>0.53834049943062778</v>
      </c>
      <c r="M62" s="16">
        <v>4.4709661631925144</v>
      </c>
      <c r="N62" s="16">
        <v>2.6849999999999999E-2</v>
      </c>
      <c r="O62" s="16">
        <v>4.4245936915134507</v>
      </c>
    </row>
    <row r="66" spans="3:9">
      <c r="C66" t="s">
        <v>0</v>
      </c>
    </row>
    <row r="67" spans="3:9">
      <c r="C67" t="s">
        <v>69</v>
      </c>
    </row>
    <row r="68" spans="3:9" ht="50.25" customHeight="1">
      <c r="D68" t="s">
        <v>110</v>
      </c>
      <c r="E68" s="16" t="s">
        <v>111</v>
      </c>
      <c r="F68" s="16" t="s">
        <v>112</v>
      </c>
      <c r="G68" s="16" t="s">
        <v>113</v>
      </c>
      <c r="H68" s="16" t="s">
        <v>114</v>
      </c>
      <c r="I68" s="16"/>
    </row>
    <row r="69" spans="3:9">
      <c r="C69" s="27">
        <v>-0.5</v>
      </c>
      <c r="D69" s="16">
        <v>-19.440860019788168</v>
      </c>
      <c r="E69" s="16">
        <v>9.9931995574838286</v>
      </c>
      <c r="F69" s="16">
        <v>5.0581596313161938</v>
      </c>
      <c r="G69" s="16">
        <v>13.562419006390924</v>
      </c>
      <c r="H69" s="16">
        <v>4.3782212198343942</v>
      </c>
      <c r="I69" s="16"/>
    </row>
    <row r="70" spans="3:9">
      <c r="C70" s="27">
        <v>-0.4</v>
      </c>
      <c r="D70" s="16">
        <v>-14.667769277527841</v>
      </c>
      <c r="E70" s="16">
        <v>8.8794783842897633</v>
      </c>
      <c r="F70" s="16">
        <v>4.9314464433556449</v>
      </c>
      <c r="G70" s="16">
        <v>11.382304892358871</v>
      </c>
      <c r="H70" s="16">
        <v>4.3874957141702069</v>
      </c>
      <c r="I70" s="16"/>
    </row>
    <row r="71" spans="3:9">
      <c r="C71" s="27">
        <v>-0.3</v>
      </c>
      <c r="D71" s="16">
        <v>-9.8946785352675217</v>
      </c>
      <c r="E71" s="16">
        <v>7.7657572110956838</v>
      </c>
      <c r="F71" s="16">
        <v>4.8047332553950977</v>
      </c>
      <c r="G71" s="16">
        <v>9.3978317493402468</v>
      </c>
      <c r="H71" s="16">
        <v>4.3967702085060196</v>
      </c>
      <c r="I71" s="16"/>
    </row>
    <row r="72" spans="3:9">
      <c r="C72" s="27">
        <v>-0.2</v>
      </c>
      <c r="D72" s="16">
        <v>-5.1215877930071887</v>
      </c>
      <c r="E72" s="16">
        <v>6.6520360379016106</v>
      </c>
      <c r="F72" s="16">
        <v>4.6780200674345487</v>
      </c>
      <c r="G72" s="16">
        <v>7.5884782625468219</v>
      </c>
      <c r="H72" s="16">
        <v>4.4060447028418324</v>
      </c>
      <c r="I72" s="16"/>
    </row>
    <row r="73" spans="3:9">
      <c r="C73" s="27">
        <v>-0.15</v>
      </c>
      <c r="D73" s="16">
        <v>-2.735042421877028</v>
      </c>
      <c r="E73" s="16">
        <v>6.0951754513045708</v>
      </c>
      <c r="F73" s="16">
        <v>4.6146634734542733</v>
      </c>
      <c r="G73" s="16">
        <v>6.7437144466212864</v>
      </c>
      <c r="H73" s="16">
        <v>4.4106819500097316</v>
      </c>
      <c r="I73" s="16"/>
    </row>
    <row r="74" spans="3:9">
      <c r="C74" s="27">
        <v>-0.1</v>
      </c>
      <c r="D74" s="16">
        <v>-0.3484970507468711</v>
      </c>
      <c r="E74" s="16">
        <v>5.5383148647075311</v>
      </c>
      <c r="F74" s="16">
        <v>4.5513068794739997</v>
      </c>
      <c r="G74" s="16">
        <v>5.9360916599244682</v>
      </c>
      <c r="H74" s="16">
        <v>4.415319197177638</v>
      </c>
      <c r="I74" s="16"/>
    </row>
    <row r="75" spans="3:9">
      <c r="C75" s="27">
        <v>-0.08</v>
      </c>
      <c r="D75" s="16">
        <v>0.60612109770519906</v>
      </c>
      <c r="E75" s="16">
        <v>5.3155706300687129</v>
      </c>
      <c r="F75" s="16">
        <v>4.5259642418818888</v>
      </c>
      <c r="G75" s="16">
        <v>5.6230019624007923</v>
      </c>
      <c r="H75" s="16">
        <v>4.4171740960448034</v>
      </c>
      <c r="I75" s="16"/>
    </row>
    <row r="76" spans="3:9">
      <c r="C76" s="27">
        <v>-0.05</v>
      </c>
      <c r="D76" s="16">
        <v>2.03804832038329</v>
      </c>
      <c r="E76" s="16">
        <v>4.9814542781104976</v>
      </c>
      <c r="F76" s="16">
        <v>4.4879502854937243</v>
      </c>
      <c r="G76" s="16">
        <v>5.1636626703797885</v>
      </c>
      <c r="H76" s="16">
        <v>4.4199564443455444</v>
      </c>
      <c r="I76" s="16"/>
    </row>
    <row r="77" spans="3:9">
      <c r="C77" s="27">
        <v>-0.02</v>
      </c>
      <c r="D77" s="16">
        <v>3.4699755430613952</v>
      </c>
      <c r="E77" s="16">
        <v>4.647337926152268</v>
      </c>
      <c r="F77" s="16">
        <v>4.4499363291055616</v>
      </c>
      <c r="G77" s="16">
        <v>4.7163309425601811</v>
      </c>
      <c r="H77" s="16">
        <v>4.4227387926462924</v>
      </c>
      <c r="I77" s="16"/>
    </row>
    <row r="78" spans="3:9">
      <c r="C78" s="27">
        <v>-0.01</v>
      </c>
      <c r="D78" s="16">
        <v>3.9472846172874161</v>
      </c>
      <c r="E78" s="16">
        <v>4.5359658088328629</v>
      </c>
      <c r="F78" s="16">
        <v>4.4372650103095062</v>
      </c>
      <c r="G78" s="16">
        <v>4.5698230816598855</v>
      </c>
      <c r="H78" s="16">
        <v>4.423666242079868</v>
      </c>
      <c r="I78" s="16"/>
    </row>
    <row r="79" spans="3:9">
      <c r="C79" s="27">
        <v>0</v>
      </c>
      <c r="D79" s="16">
        <v>4.4245936915134507</v>
      </c>
      <c r="E79" s="16">
        <v>4.4245936915134507</v>
      </c>
      <c r="F79" s="16">
        <v>4.4245936915134507</v>
      </c>
      <c r="G79" s="16">
        <v>4.4245936915134507</v>
      </c>
      <c r="H79" s="16">
        <v>4.4245936915134507</v>
      </c>
      <c r="I79" s="16"/>
    </row>
    <row r="80" spans="3:9">
      <c r="C80" s="27">
        <v>0.01</v>
      </c>
      <c r="D80" s="16">
        <v>4.9019027657394858</v>
      </c>
      <c r="E80" s="16">
        <v>4.3132215741940456</v>
      </c>
      <c r="F80" s="16">
        <v>4.4119223727173971</v>
      </c>
      <c r="G80" s="16">
        <v>4.280629283345994</v>
      </c>
      <c r="H80" s="16">
        <v>4.4255211409470334</v>
      </c>
      <c r="I80" s="16"/>
    </row>
    <row r="81" spans="3:9">
      <c r="C81" s="27">
        <v>0.02</v>
      </c>
      <c r="D81" s="16">
        <v>5.3792118399655138</v>
      </c>
      <c r="E81" s="16">
        <v>4.2018494568746405</v>
      </c>
      <c r="F81" s="16">
        <v>4.3992510539213416</v>
      </c>
      <c r="G81" s="16">
        <v>4.1379165276544096</v>
      </c>
      <c r="H81" s="16">
        <v>4.4264485903806161</v>
      </c>
      <c r="I81" s="16"/>
    </row>
    <row r="82" spans="3:9">
      <c r="C82" s="27">
        <v>0.05</v>
      </c>
      <c r="D82" s="16">
        <v>6.8111390626436199</v>
      </c>
      <c r="E82" s="16">
        <v>3.8677331049164185</v>
      </c>
      <c r="F82" s="16">
        <v>4.3612370975331789</v>
      </c>
      <c r="G82" s="16">
        <v>3.7171572267040021</v>
      </c>
      <c r="H82" s="16">
        <v>4.4292309386813571</v>
      </c>
      <c r="I82" s="16"/>
    </row>
    <row r="83" spans="3:9">
      <c r="C83" s="27">
        <v>0.08</v>
      </c>
      <c r="D83" s="16">
        <v>8.2430662853217189</v>
      </c>
      <c r="E83" s="16">
        <v>3.5336167529581961</v>
      </c>
      <c r="F83" s="16">
        <v>4.3232231411450144</v>
      </c>
      <c r="G83" s="16">
        <v>3.3071978017734942</v>
      </c>
      <c r="H83" s="16">
        <v>4.4320132869820981</v>
      </c>
      <c r="I83" s="16"/>
    </row>
    <row r="84" spans="3:9">
      <c r="C84" s="27">
        <v>0.1</v>
      </c>
      <c r="D84" s="16">
        <v>9.1976844337737749</v>
      </c>
      <c r="E84" s="16">
        <v>3.3108725183193859</v>
      </c>
      <c r="F84" s="16">
        <v>4.2978805035529053</v>
      </c>
      <c r="G84" s="16">
        <v>3.0397253956466614</v>
      </c>
      <c r="H84" s="16">
        <v>4.4338681858492635</v>
      </c>
      <c r="I84" s="16"/>
    </row>
    <row r="85" spans="3:9">
      <c r="C85" s="27">
        <v>0.15</v>
      </c>
      <c r="D85" s="16">
        <v>11.584229804903936</v>
      </c>
      <c r="E85" s="16">
        <v>2.754011931722339</v>
      </c>
      <c r="F85" s="16">
        <v>4.2345239095726299</v>
      </c>
      <c r="G85" s="16">
        <v>2.3907637086093283</v>
      </c>
      <c r="H85" s="16">
        <v>4.4385054330171698</v>
      </c>
      <c r="I85" s="16"/>
    </row>
    <row r="86" spans="3:9">
      <c r="C86" s="27">
        <v>0.2</v>
      </c>
      <c r="D86" s="16">
        <v>13.970775176034111</v>
      </c>
      <c r="E86" s="16">
        <v>2.1971513451253064</v>
      </c>
      <c r="F86" s="16">
        <v>4.1711673155923563</v>
      </c>
      <c r="G86" s="16">
        <v>1.7688252566426108</v>
      </c>
      <c r="H86" s="16">
        <v>4.4431426801850762</v>
      </c>
      <c r="I86" s="16"/>
    </row>
    <row r="87" spans="3:9">
      <c r="C87" s="27">
        <v>0.3</v>
      </c>
      <c r="D87" s="16">
        <v>18.743865918294432</v>
      </c>
      <c r="E87" s="16">
        <v>1.0834301719312269</v>
      </c>
      <c r="F87" s="16">
        <v>4.0444541276318073</v>
      </c>
      <c r="G87" s="16">
        <v>0.6006361455535778</v>
      </c>
      <c r="H87" s="16">
        <v>4.4524171745208889</v>
      </c>
      <c r="I87" s="16"/>
    </row>
    <row r="88" spans="3:9">
      <c r="C88" s="27">
        <v>0.4</v>
      </c>
      <c r="D88" s="16">
        <v>23.516956660554754</v>
      </c>
      <c r="E88" s="16">
        <v>-3.0291001262845341E-2</v>
      </c>
      <c r="F88" s="16">
        <v>3.9177409396712588</v>
      </c>
      <c r="G88" s="16">
        <v>-0.47486289737091675</v>
      </c>
      <c r="H88" s="16">
        <v>4.4616916688567017</v>
      </c>
      <c r="I88" s="16"/>
    </row>
    <row r="89" spans="3:9">
      <c r="C89" s="27">
        <v>0.5</v>
      </c>
      <c r="D89" s="16">
        <v>28.290047402815077</v>
      </c>
      <c r="E89" s="16">
        <v>-1.1440121744569214</v>
      </c>
      <c r="F89" s="16">
        <v>3.7910277517107098</v>
      </c>
      <c r="G89" s="16">
        <v>-1.4666034135854762</v>
      </c>
      <c r="H89" s="16">
        <v>4.4709661631925144</v>
      </c>
      <c r="I89" s="16"/>
    </row>
    <row r="93" spans="3:9">
      <c r="D93" t="s">
        <v>110</v>
      </c>
      <c r="E93" s="16" t="s">
        <v>111</v>
      </c>
      <c r="F93" s="16" t="s">
        <v>112</v>
      </c>
      <c r="G93" s="16" t="s">
        <v>113</v>
      </c>
      <c r="H93" s="16" t="s">
        <v>114</v>
      </c>
      <c r="I93" s="16"/>
    </row>
    <row r="94" spans="3:9">
      <c r="C94" s="27">
        <v>-0.5</v>
      </c>
    </row>
    <row r="95" spans="3:9">
      <c r="C95" s="27">
        <v>-0.4</v>
      </c>
    </row>
    <row r="96" spans="3:9">
      <c r="C96" s="27">
        <v>-0.3</v>
      </c>
      <c r="G96" s="16">
        <v>9.3978317493402468</v>
      </c>
    </row>
    <row r="97" spans="3:8">
      <c r="C97" s="27">
        <v>-0.2</v>
      </c>
    </row>
    <row r="98" spans="3:8">
      <c r="C98" s="27">
        <v>-0.15</v>
      </c>
      <c r="H98" s="16">
        <v>4.4106819500097316</v>
      </c>
    </row>
    <row r="99" spans="3:8">
      <c r="C99" s="27">
        <v>-0.1</v>
      </c>
      <c r="D99" s="16">
        <v>-0.3484970507468711</v>
      </c>
    </row>
    <row r="100" spans="3:8">
      <c r="C100" s="27">
        <v>-0.08</v>
      </c>
      <c r="E100" s="16">
        <v>5.3155706300687129</v>
      </c>
    </row>
    <row r="101" spans="3:8">
      <c r="C101" s="27">
        <v>-0.05</v>
      </c>
      <c r="F101" s="16">
        <v>4.4879502854937243</v>
      </c>
    </row>
    <row r="102" spans="3:8">
      <c r="C102" s="27">
        <v>-0.02</v>
      </c>
    </row>
    <row r="103" spans="3:8">
      <c r="C103" s="27">
        <v>-0.01</v>
      </c>
    </row>
    <row r="104" spans="3:8">
      <c r="C104" s="27">
        <v>0</v>
      </c>
    </row>
    <row r="105" spans="3:8">
      <c r="C105" s="27">
        <v>0.01</v>
      </c>
    </row>
    <row r="106" spans="3:8">
      <c r="C106" s="27">
        <v>0.02</v>
      </c>
    </row>
    <row r="107" spans="3:8">
      <c r="C107" s="27">
        <v>0.05</v>
      </c>
      <c r="F107" s="16">
        <v>4.3612370975331789</v>
      </c>
    </row>
    <row r="108" spans="3:8">
      <c r="C108" s="27">
        <v>0.08</v>
      </c>
      <c r="E108" s="16">
        <v>3.5336167529581961</v>
      </c>
    </row>
    <row r="109" spans="3:8">
      <c r="C109" s="27">
        <v>0.1</v>
      </c>
      <c r="D109" s="16">
        <v>9.1976844337737749</v>
      </c>
    </row>
    <row r="110" spans="3:8">
      <c r="C110" s="27">
        <v>0.15</v>
      </c>
      <c r="H110" s="16">
        <v>4.4385054330171698</v>
      </c>
    </row>
    <row r="111" spans="3:8">
      <c r="C111" s="27">
        <v>0.2</v>
      </c>
    </row>
    <row r="112" spans="3:8">
      <c r="C112" s="27">
        <v>0.3</v>
      </c>
      <c r="G112" s="16">
        <v>0.6006361455535778</v>
      </c>
    </row>
    <row r="113" spans="3:3">
      <c r="C113" s="27">
        <v>0.4</v>
      </c>
    </row>
    <row r="114" spans="3:3">
      <c r="C114" s="27">
        <v>0.5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M113"/>
  <sheetViews>
    <sheetView topLeftCell="A66" zoomScale="90" zoomScaleNormal="90" workbookViewId="0" xr3:uid="{F9CF3CF3-643B-5BE6-8B46-32C596A47465}">
      <selection activeCell="A66" sqref="A66"/>
    </sheetView>
  </sheetViews>
  <sheetFormatPr defaultRowHeight="15"/>
  <cols>
    <col min="2" max="2" width="19.140625" customWidth="1"/>
    <col min="3" max="3" width="19.28515625" customWidth="1"/>
    <col min="4" max="4" width="15.140625" customWidth="1"/>
    <col min="5" max="5" width="18.85546875" customWidth="1"/>
    <col min="6" max="6" width="11.28515625" customWidth="1"/>
    <col min="7" max="7" width="21.140625" customWidth="1"/>
    <col min="8" max="8" width="16.7109375" customWidth="1"/>
  </cols>
  <sheetData>
    <row r="3" spans="2:9">
      <c r="B3" s="47"/>
      <c r="C3" s="47" t="s">
        <v>2</v>
      </c>
    </row>
    <row r="5" spans="2:9">
      <c r="B5" s="47"/>
      <c r="C5" s="47" t="s">
        <v>101</v>
      </c>
    </row>
    <row r="7" spans="2:9">
      <c r="B7" s="51"/>
      <c r="C7" s="51" t="s">
        <v>34</v>
      </c>
      <c r="D7" s="16">
        <f>Datasheet!E24</f>
        <v>3.5640000000000005</v>
      </c>
      <c r="F7" s="50" t="s">
        <v>102</v>
      </c>
      <c r="G7" s="52">
        <f>-Datasheet!E14-PV(D10,20,D7-D8,D11)+PV(D10,6,0,D9)+PV(D10,12,0,D9)+PV(D10,18,0,D9)+PV(D10,7,0,Datasheet!E19)+PV(D10,19,Datasheet!E21)+PV(D10,20,0,Datasheet!E22)</f>
        <v>4.734242651706916</v>
      </c>
    </row>
    <row r="8" spans="2:9">
      <c r="C8" t="s">
        <v>103</v>
      </c>
      <c r="D8" s="16">
        <f>Datasheet!E15</f>
        <v>1.0725</v>
      </c>
    </row>
    <row r="9" spans="2:9">
      <c r="C9" t="s">
        <v>104</v>
      </c>
      <c r="D9" s="16">
        <f>Datasheet!E16</f>
        <v>1.0395000000000001</v>
      </c>
      <c r="G9" s="52"/>
    </row>
    <row r="10" spans="2:9">
      <c r="C10" t="s">
        <v>105</v>
      </c>
      <c r="D10" s="48">
        <f>Datasheet!C36</f>
        <v>7.0000000000000007E-2</v>
      </c>
      <c r="G10" s="52"/>
    </row>
    <row r="11" spans="2:9">
      <c r="C11" t="s">
        <v>106</v>
      </c>
      <c r="D11" s="17">
        <f>Datasheet!E25</f>
        <v>0.2904664418965156</v>
      </c>
    </row>
    <row r="12" spans="2:9">
      <c r="B12" s="51"/>
      <c r="C12" s="51" t="s">
        <v>107</v>
      </c>
      <c r="D12" s="49">
        <v>1.7899999999999999E-2</v>
      </c>
    </row>
    <row r="15" spans="2:9">
      <c r="C15" t="s">
        <v>108</v>
      </c>
      <c r="D15" t="s">
        <v>34</v>
      </c>
      <c r="E15" t="s">
        <v>103</v>
      </c>
      <c r="F15" t="s">
        <v>104</v>
      </c>
      <c r="G15" t="s">
        <v>105</v>
      </c>
      <c r="H15" t="s">
        <v>109</v>
      </c>
      <c r="I15" t="s">
        <v>107</v>
      </c>
    </row>
    <row r="16" spans="2:9">
      <c r="B16" s="26"/>
      <c r="C16" s="26">
        <v>-0.5</v>
      </c>
      <c r="D16" s="16">
        <f>$D$7*(1+C16)</f>
        <v>1.7820000000000003</v>
      </c>
      <c r="E16" s="16">
        <f>$D$8*(1+C16)</f>
        <v>0.53625</v>
      </c>
      <c r="F16" s="16">
        <f>$D$9*(1+C16)</f>
        <v>0.51975000000000005</v>
      </c>
      <c r="G16" s="25">
        <f>$D$10*(1+C16)</f>
        <v>3.5000000000000003E-2</v>
      </c>
      <c r="H16" s="16">
        <f>$D$11*(1+C16)</f>
        <v>0.1452332209482578</v>
      </c>
      <c r="I16" s="25">
        <f>$D$12*(1+C16)</f>
        <v>8.9499999999999996E-3</v>
      </c>
    </row>
    <row r="17" spans="2:9">
      <c r="B17" s="26"/>
      <c r="C17" s="26">
        <v>-0.4</v>
      </c>
      <c r="D17" s="16">
        <f t="shared" ref="D17:D36" si="0">$D$7*(1+C17)</f>
        <v>2.1384000000000003</v>
      </c>
      <c r="E17" s="16">
        <f t="shared" ref="E17:E36" si="1">$D$8*(1+C17)</f>
        <v>0.64349999999999996</v>
      </c>
      <c r="F17" s="16">
        <f t="shared" ref="F17:F30" si="2">$D$9*(1+C17)</f>
        <v>0.62370000000000003</v>
      </c>
      <c r="G17" s="25">
        <f t="shared" ref="G17:G36" si="3">$D$10*(1+C17)</f>
        <v>4.2000000000000003E-2</v>
      </c>
      <c r="H17" s="16">
        <f t="shared" ref="H17:H36" si="4">$D$11*(1+C17)</f>
        <v>0.17427986513790936</v>
      </c>
      <c r="I17" s="25">
        <f t="shared" ref="I17:I36" si="5">$D$12*(1+C17)</f>
        <v>1.074E-2</v>
      </c>
    </row>
    <row r="18" spans="2:9">
      <c r="B18" s="26"/>
      <c r="C18" s="26">
        <v>-0.3</v>
      </c>
      <c r="D18" s="16">
        <f t="shared" si="0"/>
        <v>2.4948000000000001</v>
      </c>
      <c r="E18" s="16">
        <f t="shared" si="1"/>
        <v>0.75074999999999992</v>
      </c>
      <c r="F18" s="16">
        <f t="shared" si="2"/>
        <v>0.72765000000000002</v>
      </c>
      <c r="G18" s="25">
        <f t="shared" si="3"/>
        <v>4.9000000000000002E-2</v>
      </c>
      <c r="H18" s="16">
        <f t="shared" si="4"/>
        <v>0.20332650932756091</v>
      </c>
      <c r="I18" s="25">
        <f t="shared" si="5"/>
        <v>1.2529999999999999E-2</v>
      </c>
    </row>
    <row r="19" spans="2:9">
      <c r="B19" s="26"/>
      <c r="C19" s="26">
        <v>-0.2</v>
      </c>
      <c r="D19" s="16">
        <f t="shared" si="0"/>
        <v>2.8512000000000004</v>
      </c>
      <c r="E19" s="16">
        <f t="shared" si="1"/>
        <v>0.8580000000000001</v>
      </c>
      <c r="F19" s="16">
        <f t="shared" si="2"/>
        <v>0.83160000000000012</v>
      </c>
      <c r="G19" s="25">
        <f t="shared" si="3"/>
        <v>5.6000000000000008E-2</v>
      </c>
      <c r="H19" s="16">
        <f t="shared" si="4"/>
        <v>0.23237315351721249</v>
      </c>
      <c r="I19" s="25">
        <f t="shared" si="5"/>
        <v>1.4319999999999999E-2</v>
      </c>
    </row>
    <row r="20" spans="2:9">
      <c r="B20" s="26"/>
      <c r="C20" s="26">
        <v>-0.15</v>
      </c>
      <c r="D20" s="16">
        <f t="shared" si="0"/>
        <v>3.0294000000000003</v>
      </c>
      <c r="E20" s="16">
        <f t="shared" si="1"/>
        <v>0.91162500000000002</v>
      </c>
      <c r="F20" s="16">
        <f t="shared" si="2"/>
        <v>0.883575</v>
      </c>
      <c r="G20" s="25">
        <f t="shared" si="3"/>
        <v>5.9500000000000004E-2</v>
      </c>
      <c r="H20" s="16">
        <f t="shared" si="4"/>
        <v>0.24689647561203826</v>
      </c>
      <c r="I20" s="25">
        <f t="shared" si="5"/>
        <v>1.5214999999999999E-2</v>
      </c>
    </row>
    <row r="21" spans="2:9">
      <c r="B21" s="26"/>
      <c r="C21" s="26">
        <v>-0.1</v>
      </c>
      <c r="D21" s="16">
        <f t="shared" si="0"/>
        <v>3.2076000000000007</v>
      </c>
      <c r="E21" s="16">
        <f t="shared" si="1"/>
        <v>0.96525000000000005</v>
      </c>
      <c r="F21" s="16">
        <f t="shared" si="2"/>
        <v>0.9355500000000001</v>
      </c>
      <c r="G21" s="25">
        <f t="shared" si="3"/>
        <v>6.3000000000000014E-2</v>
      </c>
      <c r="H21" s="16">
        <f t="shared" si="4"/>
        <v>0.26141979770686408</v>
      </c>
      <c r="I21" s="25">
        <f t="shared" si="5"/>
        <v>1.6109999999999999E-2</v>
      </c>
    </row>
    <row r="22" spans="2:9">
      <c r="B22" s="26"/>
      <c r="C22" s="26">
        <v>-0.08</v>
      </c>
      <c r="D22" s="16">
        <f t="shared" si="0"/>
        <v>3.2788800000000005</v>
      </c>
      <c r="E22" s="16">
        <f t="shared" si="1"/>
        <v>0.98670000000000002</v>
      </c>
      <c r="F22" s="16">
        <f t="shared" si="2"/>
        <v>0.95634000000000008</v>
      </c>
      <c r="G22" s="25">
        <f t="shared" si="3"/>
        <v>6.4400000000000013E-2</v>
      </c>
      <c r="H22" s="16">
        <f t="shared" si="4"/>
        <v>0.26722912654479436</v>
      </c>
      <c r="I22" s="25">
        <f t="shared" si="5"/>
        <v>1.6468E-2</v>
      </c>
    </row>
    <row r="23" spans="2:9">
      <c r="B23" s="26"/>
      <c r="C23" s="26">
        <v>-0.05</v>
      </c>
      <c r="D23" s="16">
        <f t="shared" si="0"/>
        <v>3.3858000000000001</v>
      </c>
      <c r="E23" s="16">
        <f t="shared" si="1"/>
        <v>1.018875</v>
      </c>
      <c r="F23" s="16">
        <f t="shared" si="2"/>
        <v>0.98752499999999999</v>
      </c>
      <c r="G23" s="25">
        <f t="shared" si="3"/>
        <v>6.6500000000000004E-2</v>
      </c>
      <c r="H23" s="16">
        <f t="shared" si="4"/>
        <v>0.27594311980168978</v>
      </c>
      <c r="I23" s="25">
        <f t="shared" si="5"/>
        <v>1.7004999999999999E-2</v>
      </c>
    </row>
    <row r="24" spans="2:9">
      <c r="B24" s="26"/>
      <c r="C24" s="26">
        <v>-0.02</v>
      </c>
      <c r="D24" s="16">
        <f t="shared" si="0"/>
        <v>3.4927200000000003</v>
      </c>
      <c r="E24" s="16">
        <f t="shared" si="1"/>
        <v>1.05105</v>
      </c>
      <c r="F24" s="16">
        <f t="shared" si="2"/>
        <v>1.01871</v>
      </c>
      <c r="G24" s="25">
        <f t="shared" si="3"/>
        <v>6.8600000000000008E-2</v>
      </c>
      <c r="H24" s="16">
        <f t="shared" si="4"/>
        <v>0.28465711305858526</v>
      </c>
      <c r="I24" s="25">
        <f t="shared" si="5"/>
        <v>1.7541999999999999E-2</v>
      </c>
    </row>
    <row r="25" spans="2:9">
      <c r="B25" s="26"/>
      <c r="C25" s="26">
        <v>-0.01</v>
      </c>
      <c r="D25" s="16">
        <f t="shared" si="0"/>
        <v>3.5283600000000006</v>
      </c>
      <c r="E25" s="16">
        <f t="shared" si="1"/>
        <v>1.0617749999999999</v>
      </c>
      <c r="F25" s="16">
        <f t="shared" si="2"/>
        <v>1.0291050000000002</v>
      </c>
      <c r="G25" s="25">
        <f t="shared" si="3"/>
        <v>6.93E-2</v>
      </c>
      <c r="H25" s="16">
        <f t="shared" si="4"/>
        <v>0.28756177747755046</v>
      </c>
      <c r="I25" s="25">
        <f t="shared" si="5"/>
        <v>1.7721000000000001E-2</v>
      </c>
    </row>
    <row r="26" spans="2:9">
      <c r="B26" s="26"/>
      <c r="C26" s="26">
        <v>0</v>
      </c>
      <c r="D26" s="16">
        <f t="shared" si="0"/>
        <v>3.5640000000000005</v>
      </c>
      <c r="E26" s="16">
        <f t="shared" si="1"/>
        <v>1.0725</v>
      </c>
      <c r="F26" s="16">
        <f t="shared" si="2"/>
        <v>1.0395000000000001</v>
      </c>
      <c r="G26" s="25">
        <f t="shared" si="3"/>
        <v>7.0000000000000007E-2</v>
      </c>
      <c r="H26" s="16">
        <f t="shared" si="4"/>
        <v>0.2904664418965156</v>
      </c>
      <c r="I26" s="25">
        <f t="shared" si="5"/>
        <v>1.7899999999999999E-2</v>
      </c>
    </row>
    <row r="27" spans="2:9">
      <c r="B27" s="26"/>
      <c r="C27" s="26">
        <v>0.01</v>
      </c>
      <c r="D27" s="16">
        <f t="shared" si="0"/>
        <v>3.5996400000000004</v>
      </c>
      <c r="E27" s="16">
        <f t="shared" si="1"/>
        <v>1.0832250000000001</v>
      </c>
      <c r="F27" s="16">
        <f t="shared" si="2"/>
        <v>1.049895</v>
      </c>
      <c r="G27" s="25">
        <f t="shared" si="3"/>
        <v>7.0700000000000013E-2</v>
      </c>
      <c r="H27" s="16">
        <f t="shared" si="4"/>
        <v>0.29337110631548075</v>
      </c>
      <c r="I27" s="25">
        <f t="shared" si="5"/>
        <v>1.8078999999999998E-2</v>
      </c>
    </row>
    <row r="28" spans="2:9">
      <c r="B28" s="26"/>
      <c r="C28" s="26">
        <v>0.02</v>
      </c>
      <c r="D28" s="16">
        <f t="shared" si="0"/>
        <v>3.6352800000000007</v>
      </c>
      <c r="E28" s="16">
        <f t="shared" si="1"/>
        <v>1.09395</v>
      </c>
      <c r="F28" s="16">
        <f t="shared" si="2"/>
        <v>1.0602900000000002</v>
      </c>
      <c r="G28" s="25">
        <f t="shared" si="3"/>
        <v>7.1400000000000005E-2</v>
      </c>
      <c r="H28" s="16">
        <f t="shared" si="4"/>
        <v>0.29627577073444594</v>
      </c>
      <c r="I28" s="25">
        <f t="shared" si="5"/>
        <v>1.8258E-2</v>
      </c>
    </row>
    <row r="29" spans="2:9">
      <c r="B29" s="26"/>
      <c r="C29" s="26">
        <v>0.05</v>
      </c>
      <c r="D29" s="16">
        <f t="shared" si="0"/>
        <v>3.7422000000000009</v>
      </c>
      <c r="E29" s="16">
        <f t="shared" si="1"/>
        <v>1.126125</v>
      </c>
      <c r="F29" s="16">
        <f t="shared" si="2"/>
        <v>1.0914750000000002</v>
      </c>
      <c r="G29" s="25">
        <f t="shared" si="3"/>
        <v>7.350000000000001E-2</v>
      </c>
      <c r="H29" s="16">
        <f t="shared" si="4"/>
        <v>0.30498976399134142</v>
      </c>
      <c r="I29" s="25">
        <f t="shared" si="5"/>
        <v>1.8794999999999999E-2</v>
      </c>
    </row>
    <row r="30" spans="2:9">
      <c r="B30" s="26"/>
      <c r="C30" s="26">
        <v>0.08</v>
      </c>
      <c r="D30" s="16">
        <f t="shared" si="0"/>
        <v>3.849120000000001</v>
      </c>
      <c r="E30" s="16">
        <f t="shared" si="1"/>
        <v>1.1583000000000001</v>
      </c>
      <c r="F30" s="16">
        <f t="shared" si="2"/>
        <v>1.1226600000000002</v>
      </c>
      <c r="G30" s="25">
        <f t="shared" si="3"/>
        <v>7.5600000000000014E-2</v>
      </c>
      <c r="H30" s="16">
        <f t="shared" si="4"/>
        <v>0.31370375724823685</v>
      </c>
      <c r="I30" s="25">
        <f t="shared" si="5"/>
        <v>1.9332000000000002E-2</v>
      </c>
    </row>
    <row r="31" spans="2:9">
      <c r="B31" s="26"/>
      <c r="C31" s="26">
        <v>0.1</v>
      </c>
      <c r="D31" s="16">
        <f t="shared" si="0"/>
        <v>3.9204000000000008</v>
      </c>
      <c r="E31" s="16">
        <f t="shared" si="1"/>
        <v>1.1797500000000001</v>
      </c>
      <c r="F31" s="16">
        <f>$D$9*(1+C31)</f>
        <v>1.1434500000000003</v>
      </c>
      <c r="G31" s="25">
        <f t="shared" si="3"/>
        <v>7.7000000000000013E-2</v>
      </c>
      <c r="H31" s="16">
        <f t="shared" si="4"/>
        <v>0.31951308608616719</v>
      </c>
      <c r="I31" s="25">
        <f t="shared" si="5"/>
        <v>1.9689999999999999E-2</v>
      </c>
    </row>
    <row r="32" spans="2:9">
      <c r="B32" s="26"/>
      <c r="C32" s="26">
        <v>0.15</v>
      </c>
      <c r="D32" s="16">
        <f t="shared" si="0"/>
        <v>4.0986000000000002</v>
      </c>
      <c r="E32" s="16">
        <f t="shared" si="1"/>
        <v>1.2333749999999999</v>
      </c>
      <c r="F32" s="16">
        <f>$D$9*(1+C32)</f>
        <v>1.195425</v>
      </c>
      <c r="G32" s="25">
        <f t="shared" si="3"/>
        <v>8.0500000000000002E-2</v>
      </c>
      <c r="H32" s="16">
        <f t="shared" si="4"/>
        <v>0.33403640818099289</v>
      </c>
      <c r="I32" s="25">
        <f t="shared" si="5"/>
        <v>2.0584999999999999E-2</v>
      </c>
    </row>
    <row r="33" spans="2:13">
      <c r="B33" s="26"/>
      <c r="C33" s="26">
        <v>0.2</v>
      </c>
      <c r="D33" s="16">
        <f t="shared" si="0"/>
        <v>4.2768000000000006</v>
      </c>
      <c r="E33" s="16">
        <f t="shared" si="1"/>
        <v>1.2869999999999999</v>
      </c>
      <c r="F33" s="16">
        <f t="shared" ref="F33:F35" si="6">$D$9*(1+C33)</f>
        <v>1.2474000000000001</v>
      </c>
      <c r="G33" s="25">
        <f t="shared" si="3"/>
        <v>8.4000000000000005E-2</v>
      </c>
      <c r="H33" s="16">
        <f t="shared" si="4"/>
        <v>0.34855973027581871</v>
      </c>
      <c r="I33" s="25">
        <f t="shared" si="5"/>
        <v>2.1479999999999999E-2</v>
      </c>
    </row>
    <row r="34" spans="2:13">
      <c r="B34" s="26"/>
      <c r="C34" s="26">
        <v>0.3</v>
      </c>
      <c r="D34" s="16">
        <f t="shared" si="0"/>
        <v>4.6332000000000004</v>
      </c>
      <c r="E34" s="16">
        <f t="shared" si="1"/>
        <v>1.39425</v>
      </c>
      <c r="F34" s="16">
        <f t="shared" si="6"/>
        <v>1.3513500000000003</v>
      </c>
      <c r="G34" s="25">
        <f t="shared" si="3"/>
        <v>9.1000000000000011E-2</v>
      </c>
      <c r="H34" s="16">
        <f t="shared" si="4"/>
        <v>0.3776063744654703</v>
      </c>
      <c r="I34" s="25">
        <f t="shared" si="5"/>
        <v>2.3269999999999999E-2</v>
      </c>
    </row>
    <row r="35" spans="2:13">
      <c r="B35" s="26"/>
      <c r="C35" s="26">
        <v>0.4</v>
      </c>
      <c r="D35" s="16">
        <f t="shared" si="0"/>
        <v>4.9896000000000003</v>
      </c>
      <c r="E35" s="16">
        <f t="shared" si="1"/>
        <v>1.5014999999999998</v>
      </c>
      <c r="F35" s="16">
        <f t="shared" si="6"/>
        <v>1.4553</v>
      </c>
      <c r="G35" s="25">
        <f t="shared" si="3"/>
        <v>9.8000000000000004E-2</v>
      </c>
      <c r="H35" s="16">
        <f t="shared" si="4"/>
        <v>0.40665301865512182</v>
      </c>
      <c r="I35" s="25">
        <f t="shared" si="5"/>
        <v>2.5059999999999999E-2</v>
      </c>
    </row>
    <row r="36" spans="2:13">
      <c r="B36" s="26"/>
      <c r="C36" s="26">
        <v>0.5</v>
      </c>
      <c r="D36" s="16">
        <f t="shared" si="0"/>
        <v>5.346000000000001</v>
      </c>
      <c r="E36" s="16">
        <f t="shared" si="1"/>
        <v>1.6087500000000001</v>
      </c>
      <c r="F36" s="16">
        <f>$D$9*(1+C36)</f>
        <v>1.55925</v>
      </c>
      <c r="G36" s="25">
        <f t="shared" si="3"/>
        <v>0.10500000000000001</v>
      </c>
      <c r="H36" s="16">
        <f t="shared" si="4"/>
        <v>0.43569966284477341</v>
      </c>
      <c r="I36" s="25">
        <f t="shared" si="5"/>
        <v>2.6849999999999999E-2</v>
      </c>
    </row>
    <row r="41" spans="2:13">
      <c r="C41" t="s">
        <v>108</v>
      </c>
      <c r="D41" s="16" t="s">
        <v>34</v>
      </c>
      <c r="E41" s="16">
        <f>G7</f>
        <v>4.734242651706916</v>
      </c>
      <c r="F41" s="16" t="s">
        <v>103</v>
      </c>
      <c r="G41" s="16">
        <f>G7</f>
        <v>4.734242651706916</v>
      </c>
      <c r="H41" s="16" t="s">
        <v>104</v>
      </c>
      <c r="I41" s="16">
        <f>G7</f>
        <v>4.734242651706916</v>
      </c>
      <c r="J41" t="s">
        <v>105</v>
      </c>
      <c r="K41" s="16">
        <f>G7</f>
        <v>4.734242651706916</v>
      </c>
      <c r="L41" s="16" t="s">
        <v>109</v>
      </c>
      <c r="M41" s="16">
        <f>G7</f>
        <v>4.734242651706916</v>
      </c>
    </row>
    <row r="42" spans="2:13">
      <c r="C42" s="26">
        <v>-0.5</v>
      </c>
      <c r="D42" s="17">
        <v>1.7820000000000003</v>
      </c>
      <c r="E42" s="16">
        <f t="dataTable" ref="E42:E62" dt2D="0" dtr="0" r1="D7" ca="1"/>
        <v>-14.144290733802878</v>
      </c>
      <c r="F42" s="16">
        <v>0.53625</v>
      </c>
      <c r="G42" s="16">
        <f t="dataTable" ref="G42:G62" dt2D="0" dtr="0" r1="D8"/>
        <v>10.415282790864962</v>
      </c>
      <c r="H42" s="16">
        <v>0.51975000000000005</v>
      </c>
      <c r="I42" s="16">
        <f t="dataTable" ref="I42:I62" dt2D="0" dtr="0" r1="D9" ca="1"/>
        <v>5.4651245088590708</v>
      </c>
      <c r="J42" s="49">
        <v>3.5000000000000003E-2</v>
      </c>
      <c r="K42" s="16">
        <f t="dataTable" ref="K42:K62" dt2D="0" dtr="0" r1="D10" ca="1"/>
        <v>11.526062411459746</v>
      </c>
      <c r="L42" s="16">
        <v>0.1452332209482578</v>
      </c>
      <c r="M42" s="16">
        <f t="dataTable" ref="M42:M62" dt2D="0" dtr="0" r1="D11" ca="1"/>
        <v>4.6967116275740235</v>
      </c>
    </row>
    <row r="43" spans="2:13">
      <c r="C43" s="26">
        <v>-0.4</v>
      </c>
      <c r="D43" s="17">
        <v>2.1384000000000003</v>
      </c>
      <c r="E43" s="16">
        <v>-10.36858405670092</v>
      </c>
      <c r="F43" s="16">
        <v>0.64349999999999996</v>
      </c>
      <c r="G43" s="16">
        <v>9.2790747630333552</v>
      </c>
      <c r="H43" s="16">
        <v>0.62370000000000003</v>
      </c>
      <c r="I43" s="16">
        <v>5.3189481374286416</v>
      </c>
      <c r="J43" s="49">
        <v>4.2000000000000003E-2</v>
      </c>
      <c r="K43" s="16">
        <v>9.9231684551790629</v>
      </c>
      <c r="L43" s="16">
        <v>0.17427986513790936</v>
      </c>
      <c r="M43" s="16">
        <v>4.7042178324005999</v>
      </c>
    </row>
    <row r="44" spans="2:13">
      <c r="C44" s="26">
        <v>-0.3</v>
      </c>
      <c r="D44" s="17">
        <v>2.4948000000000001</v>
      </c>
      <c r="E44" s="16">
        <v>-6.5928773795989626</v>
      </c>
      <c r="F44" s="16">
        <v>0.75074999999999992</v>
      </c>
      <c r="G44" s="16">
        <v>8.1428667352017445</v>
      </c>
      <c r="H44" s="16">
        <v>0.72765000000000002</v>
      </c>
      <c r="I44" s="16">
        <v>5.1727717659982098</v>
      </c>
      <c r="J44" s="49">
        <v>4.9000000000000002E-2</v>
      </c>
      <c r="K44" s="16">
        <v>8.4553190198443566</v>
      </c>
      <c r="L44" s="16">
        <v>0.20332650932756091</v>
      </c>
      <c r="M44" s="16">
        <v>4.7117240372271834</v>
      </c>
    </row>
    <row r="45" spans="2:13">
      <c r="C45" s="26">
        <v>-0.2</v>
      </c>
      <c r="D45" s="17">
        <v>2.8512000000000004</v>
      </c>
      <c r="E45" s="16">
        <v>-2.8171707024970023</v>
      </c>
      <c r="F45" s="16">
        <v>0.8580000000000001</v>
      </c>
      <c r="G45" s="16">
        <v>7.0066587073701365</v>
      </c>
      <c r="H45" s="16">
        <v>0.83160000000000012</v>
      </c>
      <c r="I45" s="16">
        <v>5.0265953945677797</v>
      </c>
      <c r="J45" s="49">
        <v>5.6000000000000008E-2</v>
      </c>
      <c r="K45" s="16">
        <v>7.1089997641208118</v>
      </c>
      <c r="L45" s="16">
        <v>0.23237315351721249</v>
      </c>
      <c r="M45" s="16">
        <v>4.7192302420537597</v>
      </c>
    </row>
    <row r="46" spans="2:13">
      <c r="C46" s="26">
        <v>-0.15</v>
      </c>
      <c r="D46" s="17">
        <v>3.0294000000000003</v>
      </c>
      <c r="E46" s="16">
        <v>-0.9293173639460236</v>
      </c>
      <c r="F46" s="16">
        <v>0.91162500000000002</v>
      </c>
      <c r="G46" s="16">
        <v>6.438554693454333</v>
      </c>
      <c r="H46" s="16">
        <v>0.883575</v>
      </c>
      <c r="I46" s="16">
        <v>4.9535072088525638</v>
      </c>
      <c r="J46" s="49">
        <v>5.9500000000000004E-2</v>
      </c>
      <c r="K46" s="16">
        <v>6.4776076560699423</v>
      </c>
      <c r="L46" s="16">
        <v>0.24689647561203826</v>
      </c>
      <c r="M46" s="16">
        <v>4.7229833444670479</v>
      </c>
    </row>
    <row r="47" spans="2:13">
      <c r="C47" s="26">
        <v>-0.1</v>
      </c>
      <c r="D47" s="17">
        <v>3.2076000000000007</v>
      </c>
      <c r="E47" s="16">
        <v>0.95853597460495943</v>
      </c>
      <c r="F47" s="16">
        <v>0.96525000000000005</v>
      </c>
      <c r="G47" s="16">
        <v>5.8704506795385258</v>
      </c>
      <c r="H47" s="16">
        <v>0.9355500000000001</v>
      </c>
      <c r="I47" s="16">
        <v>4.8804190231373461</v>
      </c>
      <c r="J47" s="49">
        <v>6.3000000000000014E-2</v>
      </c>
      <c r="K47" s="16">
        <v>5.8722023432049539</v>
      </c>
      <c r="L47" s="16">
        <v>0.26141979770686408</v>
      </c>
      <c r="M47" s="16">
        <v>4.7267364468803397</v>
      </c>
    </row>
    <row r="48" spans="2:13">
      <c r="C48" s="26">
        <v>-0.08</v>
      </c>
      <c r="D48" s="17">
        <v>3.2788800000000005</v>
      </c>
      <c r="E48" s="16">
        <v>1.7136773100253495</v>
      </c>
      <c r="F48" s="16">
        <v>0.98670000000000002</v>
      </c>
      <c r="G48" s="16">
        <v>5.6432090739722058</v>
      </c>
      <c r="H48" s="16">
        <v>0.95634000000000008</v>
      </c>
      <c r="I48" s="16">
        <v>4.8511837488512608</v>
      </c>
      <c r="J48" s="49">
        <v>6.4400000000000013E-2</v>
      </c>
      <c r="K48" s="16">
        <v>5.6370238272997444</v>
      </c>
      <c r="L48" s="16">
        <v>0.26722912654479436</v>
      </c>
      <c r="M48" s="16">
        <v>4.7282376878456542</v>
      </c>
    </row>
    <row r="49" spans="3:13">
      <c r="C49" s="26">
        <v>-0.05</v>
      </c>
      <c r="D49" s="17">
        <v>3.3858000000000001</v>
      </c>
      <c r="E49" s="16">
        <v>2.8463893131559348</v>
      </c>
      <c r="F49" s="16">
        <v>1.018875</v>
      </c>
      <c r="G49" s="16">
        <v>5.3023466656227232</v>
      </c>
      <c r="H49" s="16">
        <v>0.98752499999999999</v>
      </c>
      <c r="I49" s="16">
        <v>4.807330837422132</v>
      </c>
      <c r="J49" s="49">
        <v>6.6500000000000004E-2</v>
      </c>
      <c r="K49" s="16">
        <v>5.2914882850983114</v>
      </c>
      <c r="L49" s="16">
        <v>0.27594311980168978</v>
      </c>
      <c r="M49" s="16">
        <v>4.7304895492936314</v>
      </c>
    </row>
    <row r="50" spans="3:13">
      <c r="C50" s="26">
        <v>-0.02</v>
      </c>
      <c r="D50" s="17">
        <v>3.4927200000000003</v>
      </c>
      <c r="E50" s="16">
        <v>3.9791013162865263</v>
      </c>
      <c r="F50" s="16">
        <v>1.05105</v>
      </c>
      <c r="G50" s="16">
        <v>4.9614842572732396</v>
      </c>
      <c r="H50" s="16">
        <v>1.01871</v>
      </c>
      <c r="I50" s="16">
        <v>4.7634779259930013</v>
      </c>
      <c r="J50" s="49">
        <v>6.8600000000000008E-2</v>
      </c>
      <c r="K50" s="16">
        <v>4.9544000659225214</v>
      </c>
      <c r="L50" s="16">
        <v>0.28465711305858526</v>
      </c>
      <c r="M50" s="16">
        <v>4.7327414107416015</v>
      </c>
    </row>
    <row r="51" spans="3:13">
      <c r="C51" s="26">
        <v>-0.01</v>
      </c>
      <c r="D51" s="17">
        <v>3.5283600000000006</v>
      </c>
      <c r="E51" s="16">
        <v>4.356671983996721</v>
      </c>
      <c r="F51" s="16">
        <v>1.0617749999999999</v>
      </c>
      <c r="G51" s="16">
        <v>4.8478634544900832</v>
      </c>
      <c r="H51" s="16">
        <v>1.0291050000000002</v>
      </c>
      <c r="I51" s="16">
        <v>4.7488602888499596</v>
      </c>
      <c r="J51" s="49">
        <v>6.93E-2</v>
      </c>
      <c r="K51" s="16">
        <v>4.8438706724061191</v>
      </c>
      <c r="L51" s="16">
        <v>0.28756177747755046</v>
      </c>
      <c r="M51" s="16">
        <v>4.7334920312242605</v>
      </c>
    </row>
    <row r="52" spans="3:13">
      <c r="C52" s="26">
        <v>0</v>
      </c>
      <c r="D52" s="17">
        <v>3.5640000000000005</v>
      </c>
      <c r="E52" s="16">
        <v>4.734242651706916</v>
      </c>
      <c r="F52" s="16">
        <v>1.0725</v>
      </c>
      <c r="G52" s="16">
        <v>4.734242651706916</v>
      </c>
      <c r="H52" s="16">
        <v>1.0395000000000001</v>
      </c>
      <c r="I52" s="16">
        <v>4.734242651706916</v>
      </c>
      <c r="J52" s="49">
        <v>7.0000000000000007E-2</v>
      </c>
      <c r="K52" s="16">
        <v>4.734242651706916</v>
      </c>
      <c r="L52" s="16">
        <v>0.2904664418965156</v>
      </c>
      <c r="M52" s="16">
        <v>4.734242651706916</v>
      </c>
    </row>
    <row r="53" spans="3:13">
      <c r="C53" s="26">
        <v>0.01</v>
      </c>
      <c r="D53" s="17">
        <v>3.5996400000000004</v>
      </c>
      <c r="E53" s="16">
        <v>5.1118133194171111</v>
      </c>
      <c r="F53" s="16">
        <v>1.0832250000000001</v>
      </c>
      <c r="G53" s="16">
        <v>4.6206218489237596</v>
      </c>
      <c r="H53" s="16">
        <v>1.049895</v>
      </c>
      <c r="I53" s="16">
        <v>4.7196250145638743</v>
      </c>
      <c r="J53" s="49">
        <v>7.0700000000000013E-2</v>
      </c>
      <c r="K53" s="16">
        <v>4.6255069801138626</v>
      </c>
      <c r="L53" s="16">
        <v>0.29337110631548075</v>
      </c>
      <c r="M53" s="16">
        <v>4.7349932721895751</v>
      </c>
    </row>
    <row r="54" spans="3:13">
      <c r="C54" s="26">
        <v>0.02</v>
      </c>
      <c r="D54" s="17">
        <v>3.6352800000000007</v>
      </c>
      <c r="E54" s="16">
        <v>5.489383987127316</v>
      </c>
      <c r="F54" s="16">
        <v>1.09395</v>
      </c>
      <c r="G54" s="16">
        <v>4.5070010461405996</v>
      </c>
      <c r="H54" s="16">
        <v>1.0602900000000002</v>
      </c>
      <c r="I54" s="16">
        <v>4.7050073774208307</v>
      </c>
      <c r="J54" s="49">
        <v>7.1400000000000005E-2</v>
      </c>
      <c r="K54" s="16">
        <v>4.5176547364033315</v>
      </c>
      <c r="L54" s="16">
        <v>0.29627577073444594</v>
      </c>
      <c r="M54" s="16">
        <v>4.7357438926722306</v>
      </c>
    </row>
    <row r="55" spans="3:13">
      <c r="C55" s="26">
        <v>0.05</v>
      </c>
      <c r="D55" s="17">
        <v>3.7422000000000009</v>
      </c>
      <c r="E55" s="16">
        <v>6.6220959902578977</v>
      </c>
      <c r="F55" s="16">
        <v>1.126125</v>
      </c>
      <c r="G55" s="16">
        <v>4.1661386377911125</v>
      </c>
      <c r="H55" s="16">
        <v>1.0914750000000002</v>
      </c>
      <c r="I55" s="16">
        <v>4.6611544659917001</v>
      </c>
      <c r="J55" s="49">
        <v>7.350000000000001E-2</v>
      </c>
      <c r="K55" s="16">
        <v>4.1993108709445721</v>
      </c>
      <c r="L55" s="16">
        <v>0.30498976399134142</v>
      </c>
      <c r="M55" s="16">
        <v>4.7379957541202078</v>
      </c>
    </row>
    <row r="56" spans="3:13">
      <c r="C56" s="26">
        <v>0.08</v>
      </c>
      <c r="D56" s="17">
        <v>3.849120000000001</v>
      </c>
      <c r="E56" s="16">
        <v>7.7548079933884946</v>
      </c>
      <c r="F56" s="16">
        <v>1.1583000000000001</v>
      </c>
      <c r="G56" s="16">
        <v>3.8252762294416329</v>
      </c>
      <c r="H56" s="16">
        <v>1.1226600000000002</v>
      </c>
      <c r="I56" s="16">
        <v>4.6173015545625731</v>
      </c>
      <c r="J56" s="49">
        <v>7.5600000000000014E-2</v>
      </c>
      <c r="K56" s="16">
        <v>3.888606266338039</v>
      </c>
      <c r="L56" s="16">
        <v>0.31370375724823685</v>
      </c>
      <c r="M56" s="16">
        <v>4.7402476155681814</v>
      </c>
    </row>
    <row r="57" spans="3:13">
      <c r="C57" s="26">
        <v>0.1</v>
      </c>
      <c r="D57" s="17">
        <v>3.9204000000000008</v>
      </c>
      <c r="E57" s="16">
        <v>8.5099493288088848</v>
      </c>
      <c r="F57" s="16">
        <v>1.1797500000000001</v>
      </c>
      <c r="G57" s="16">
        <v>3.5980346238753165</v>
      </c>
      <c r="H57" s="16">
        <v>1.1434500000000003</v>
      </c>
      <c r="I57" s="16">
        <v>4.588066280276486</v>
      </c>
      <c r="J57" s="49">
        <v>7.7000000000000013E-2</v>
      </c>
      <c r="K57" s="16">
        <v>3.6856024687958326</v>
      </c>
      <c r="L57" s="16">
        <v>0.31951308608616719</v>
      </c>
      <c r="M57" s="16">
        <v>4.741748856533496</v>
      </c>
    </row>
    <row r="58" spans="3:13">
      <c r="C58" s="26">
        <v>0.15</v>
      </c>
      <c r="D58" s="17">
        <v>4.0986000000000002</v>
      </c>
      <c r="E58" s="16">
        <v>10.39780266735986</v>
      </c>
      <c r="F58" s="16">
        <v>1.2333749999999999</v>
      </c>
      <c r="G58" s="16">
        <v>3.0299306099595102</v>
      </c>
      <c r="H58" s="16">
        <v>1.195425</v>
      </c>
      <c r="I58" s="16">
        <v>4.5149780945612701</v>
      </c>
      <c r="J58" s="49">
        <v>8.0500000000000002E-2</v>
      </c>
      <c r="K58" s="16">
        <v>3.1920871815612077</v>
      </c>
      <c r="L58" s="16">
        <v>0.33403640818099289</v>
      </c>
      <c r="M58" s="16">
        <v>4.7455019589467877</v>
      </c>
    </row>
    <row r="59" spans="3:13">
      <c r="C59" s="26">
        <v>0.2</v>
      </c>
      <c r="D59" s="17">
        <v>4.2768000000000006</v>
      </c>
      <c r="E59" s="16">
        <v>12.285656005910843</v>
      </c>
      <c r="F59" s="16">
        <v>1.2869999999999999</v>
      </c>
      <c r="G59" s="16">
        <v>2.4618265960437067</v>
      </c>
      <c r="H59" s="16">
        <v>1.2474000000000001</v>
      </c>
      <c r="I59" s="16">
        <v>4.4418899088460542</v>
      </c>
      <c r="J59" s="49">
        <v>8.4000000000000005E-2</v>
      </c>
      <c r="K59" s="16">
        <v>2.7177913213237526</v>
      </c>
      <c r="L59" s="16">
        <v>0.34855973027581871</v>
      </c>
      <c r="M59" s="16">
        <v>4.7492550613600759</v>
      </c>
    </row>
    <row r="60" spans="3:13">
      <c r="C60" s="26">
        <v>0.3</v>
      </c>
      <c r="D60" s="17">
        <v>4.6332000000000004</v>
      </c>
      <c r="E60" s="16">
        <v>16.061362683012799</v>
      </c>
      <c r="F60" s="16">
        <v>1.39425</v>
      </c>
      <c r="G60" s="16">
        <v>1.325618568212096</v>
      </c>
      <c r="H60" s="16">
        <v>1.3513500000000003</v>
      </c>
      <c r="I60" s="16">
        <v>4.2957135374156241</v>
      </c>
      <c r="J60" s="49">
        <v>9.1000000000000011E-2</v>
      </c>
      <c r="K60" s="16">
        <v>1.8232258355287281</v>
      </c>
      <c r="L60" s="16">
        <v>0.3776063744654703</v>
      </c>
      <c r="M60" s="16">
        <v>4.7567612661866558</v>
      </c>
    </row>
    <row r="61" spans="3:13">
      <c r="C61" s="26">
        <v>0.4</v>
      </c>
      <c r="D61" s="17">
        <v>4.9896000000000003</v>
      </c>
      <c r="E61" s="16">
        <v>19.837069360114757</v>
      </c>
      <c r="F61" s="16">
        <v>1.5014999999999998</v>
      </c>
      <c r="G61" s="16">
        <v>0.1894105403804921</v>
      </c>
      <c r="H61" s="16">
        <v>1.4553</v>
      </c>
      <c r="I61" s="16">
        <v>4.1495371659851914</v>
      </c>
      <c r="J61" s="49">
        <v>9.8000000000000004E-2</v>
      </c>
      <c r="K61" s="16">
        <v>0.99512423491515256</v>
      </c>
      <c r="L61" s="16">
        <v>0.40665301865512182</v>
      </c>
      <c r="M61" s="16">
        <v>4.7642674710132322</v>
      </c>
    </row>
    <row r="62" spans="3:13">
      <c r="C62" s="26">
        <v>0.5</v>
      </c>
      <c r="D62" s="17">
        <v>5.346000000000001</v>
      </c>
      <c r="E62" s="16">
        <v>23.612776037216722</v>
      </c>
      <c r="F62" s="16">
        <v>1.6087500000000001</v>
      </c>
      <c r="G62" s="16">
        <v>-0.94679748745112213</v>
      </c>
      <c r="H62" s="16">
        <v>1.55925</v>
      </c>
      <c r="I62" s="16">
        <v>4.0033607945547613</v>
      </c>
      <c r="J62" s="49">
        <v>0.10500000000000001</v>
      </c>
      <c r="K62" s="16">
        <v>0.22741397155729531</v>
      </c>
      <c r="L62" s="16">
        <v>0.43569966284477341</v>
      </c>
      <c r="M62" s="16">
        <v>4.7717736758398122</v>
      </c>
    </row>
    <row r="66" spans="3:9">
      <c r="C66" t="s">
        <v>0</v>
      </c>
    </row>
    <row r="67" spans="3:9">
      <c r="C67" t="s">
        <v>69</v>
      </c>
    </row>
    <row r="68" spans="3:9">
      <c r="D68" t="s">
        <v>110</v>
      </c>
      <c r="E68" s="16" t="s">
        <v>111</v>
      </c>
      <c r="F68" s="16" t="s">
        <v>112</v>
      </c>
      <c r="G68" s="16" t="s">
        <v>113</v>
      </c>
      <c r="H68" s="16" t="s">
        <v>114</v>
      </c>
      <c r="I68" s="16"/>
    </row>
    <row r="69" spans="3:9">
      <c r="C69" s="27">
        <v>-0.5</v>
      </c>
      <c r="D69" s="16">
        <v>-14.144290733802878</v>
      </c>
      <c r="E69" s="16">
        <v>10.415282790864962</v>
      </c>
      <c r="F69" s="16">
        <v>5.4651245088590708</v>
      </c>
      <c r="G69" s="16">
        <v>11.526062411459746</v>
      </c>
      <c r="H69" s="16">
        <v>4.6967116275740235</v>
      </c>
      <c r="I69" s="16"/>
    </row>
    <row r="70" spans="3:9">
      <c r="C70" s="27">
        <v>-0.4</v>
      </c>
      <c r="D70" s="16">
        <v>-10.36858405670092</v>
      </c>
      <c r="E70" s="16">
        <v>9.2790747630333552</v>
      </c>
      <c r="F70" s="16">
        <v>5.3189481374286416</v>
      </c>
      <c r="G70" s="16">
        <v>9.9231684551790629</v>
      </c>
      <c r="H70" s="16">
        <v>4.7042178324005999</v>
      </c>
      <c r="I70" s="16"/>
    </row>
    <row r="71" spans="3:9">
      <c r="C71" s="27">
        <v>-0.3</v>
      </c>
      <c r="D71" s="16">
        <v>-6.5928773795989626</v>
      </c>
      <c r="E71" s="16">
        <v>8.1428667352017445</v>
      </c>
      <c r="F71" s="16">
        <v>5.1727717659982098</v>
      </c>
      <c r="G71" s="16">
        <v>8.4553190198443566</v>
      </c>
      <c r="H71" s="16">
        <v>4.7117240372271834</v>
      </c>
      <c r="I71" s="16"/>
    </row>
    <row r="72" spans="3:9">
      <c r="C72" s="27">
        <v>-0.2</v>
      </c>
      <c r="D72" s="16">
        <v>-2.8171707024970023</v>
      </c>
      <c r="E72" s="16">
        <v>7.0066587073701365</v>
      </c>
      <c r="F72" s="16">
        <v>5.0265953945677797</v>
      </c>
      <c r="G72" s="16">
        <v>7.1089997641208118</v>
      </c>
      <c r="H72" s="16">
        <v>4.7192302420537597</v>
      </c>
      <c r="I72" s="16"/>
    </row>
    <row r="73" spans="3:9">
      <c r="C73" s="27">
        <v>-0.15</v>
      </c>
      <c r="D73" s="16">
        <v>-0.9293173639460236</v>
      </c>
      <c r="E73" s="16">
        <v>6.438554693454333</v>
      </c>
      <c r="F73" s="16">
        <v>4.9535072088525638</v>
      </c>
      <c r="G73" s="16">
        <v>6.4776076560699423</v>
      </c>
      <c r="H73" s="16">
        <v>4.7229833444670479</v>
      </c>
      <c r="I73" s="16"/>
    </row>
    <row r="74" spans="3:9">
      <c r="C74" s="27">
        <v>-0.1</v>
      </c>
      <c r="D74" s="16">
        <v>0.95853597460495943</v>
      </c>
      <c r="E74" s="16">
        <v>5.8704506795385258</v>
      </c>
      <c r="F74" s="16">
        <v>4.8804190231373461</v>
      </c>
      <c r="G74" s="16">
        <v>5.8722023432049539</v>
      </c>
      <c r="H74" s="16">
        <v>4.7267364468803397</v>
      </c>
      <c r="I74" s="16"/>
    </row>
    <row r="75" spans="3:9">
      <c r="C75" s="27">
        <v>-0.08</v>
      </c>
      <c r="D75" s="16">
        <v>1.7136773100253495</v>
      </c>
      <c r="E75" s="16">
        <v>5.6432090739722058</v>
      </c>
      <c r="F75" s="16">
        <v>4.8511837488512608</v>
      </c>
      <c r="G75" s="16">
        <v>5.6370238272997444</v>
      </c>
      <c r="H75" s="16">
        <v>4.7282376878456542</v>
      </c>
      <c r="I75" s="16"/>
    </row>
    <row r="76" spans="3:9">
      <c r="C76" s="27">
        <v>-0.05</v>
      </c>
      <c r="D76" s="16">
        <v>2.8463893131559348</v>
      </c>
      <c r="E76" s="16">
        <v>5.3023466656227232</v>
      </c>
      <c r="F76" s="16">
        <v>4.807330837422132</v>
      </c>
      <c r="G76" s="16">
        <v>5.2914882850983114</v>
      </c>
      <c r="H76" s="16">
        <v>4.7304895492936314</v>
      </c>
      <c r="I76" s="16"/>
    </row>
    <row r="77" spans="3:9">
      <c r="C77" s="27">
        <v>-0.02</v>
      </c>
      <c r="D77" s="16">
        <v>3.9791013162865263</v>
      </c>
      <c r="E77" s="16">
        <v>4.9614842572732396</v>
      </c>
      <c r="F77" s="16">
        <v>4.7634779259930013</v>
      </c>
      <c r="G77" s="16">
        <v>4.9544000659225214</v>
      </c>
      <c r="H77" s="16">
        <v>4.7327414107416015</v>
      </c>
      <c r="I77" s="16"/>
    </row>
    <row r="78" spans="3:9">
      <c r="C78" s="27">
        <v>-0.01</v>
      </c>
      <c r="D78" s="16">
        <v>4.356671983996721</v>
      </c>
      <c r="E78" s="16">
        <v>4.8478634544900832</v>
      </c>
      <c r="F78" s="16">
        <v>4.7488602888499596</v>
      </c>
      <c r="G78" s="16">
        <v>4.8438706724061191</v>
      </c>
      <c r="H78" s="16">
        <v>4.7334920312242605</v>
      </c>
      <c r="I78" s="16"/>
    </row>
    <row r="79" spans="3:9">
      <c r="C79" s="27">
        <v>0</v>
      </c>
      <c r="D79" s="16">
        <v>4.734242651706916</v>
      </c>
      <c r="E79" s="16">
        <v>4.734242651706916</v>
      </c>
      <c r="F79" s="16">
        <v>4.734242651706916</v>
      </c>
      <c r="G79" s="16">
        <v>4.734242651706916</v>
      </c>
      <c r="H79" s="16">
        <v>4.734242651706916</v>
      </c>
      <c r="I79" s="16"/>
    </row>
    <row r="80" spans="3:9">
      <c r="C80" s="27">
        <v>0.01</v>
      </c>
      <c r="D80" s="16">
        <v>5.1118133194171111</v>
      </c>
      <c r="E80" s="16">
        <v>4.6206218489237596</v>
      </c>
      <c r="F80" s="16">
        <v>4.7196250145638743</v>
      </c>
      <c r="G80" s="16">
        <v>4.6255069801138626</v>
      </c>
      <c r="H80" s="16">
        <v>4.7349932721895751</v>
      </c>
      <c r="I80" s="16"/>
    </row>
    <row r="81" spans="3:9">
      <c r="C81" s="27">
        <v>0.02</v>
      </c>
      <c r="D81" s="16">
        <v>5.489383987127316</v>
      </c>
      <c r="E81" s="16">
        <v>4.5070010461405996</v>
      </c>
      <c r="F81" s="16">
        <v>4.7050073774208307</v>
      </c>
      <c r="G81" s="16">
        <v>4.5176547364033315</v>
      </c>
      <c r="H81" s="16">
        <v>4.7357438926722306</v>
      </c>
      <c r="I81" s="16"/>
    </row>
    <row r="82" spans="3:9">
      <c r="C82" s="27">
        <v>0.05</v>
      </c>
      <c r="D82" s="16">
        <v>6.6220959902578977</v>
      </c>
      <c r="E82" s="16">
        <v>4.1661386377911125</v>
      </c>
      <c r="F82" s="16">
        <v>4.6611544659917001</v>
      </c>
      <c r="G82" s="16">
        <v>4.1993108709445721</v>
      </c>
      <c r="H82" s="16">
        <v>4.7379957541202078</v>
      </c>
      <c r="I82" s="16"/>
    </row>
    <row r="83" spans="3:9">
      <c r="C83" s="27">
        <v>0.08</v>
      </c>
      <c r="D83" s="16">
        <v>7.7548079933884946</v>
      </c>
      <c r="E83" s="16">
        <v>3.8252762294416329</v>
      </c>
      <c r="F83" s="16">
        <v>4.6173015545625731</v>
      </c>
      <c r="G83" s="16">
        <v>3.888606266338039</v>
      </c>
      <c r="H83" s="16">
        <v>4.7402476155681814</v>
      </c>
      <c r="I83" s="16"/>
    </row>
    <row r="84" spans="3:9">
      <c r="C84" s="27">
        <v>0.1</v>
      </c>
      <c r="D84" s="16">
        <v>8.5099493288088848</v>
      </c>
      <c r="E84" s="16">
        <v>3.5980346238753165</v>
      </c>
      <c r="F84" s="16">
        <v>4.588066280276486</v>
      </c>
      <c r="G84" s="16">
        <v>3.6856024687958326</v>
      </c>
      <c r="H84" s="16">
        <v>4.741748856533496</v>
      </c>
      <c r="I84" s="16"/>
    </row>
    <row r="85" spans="3:9">
      <c r="C85" s="27">
        <v>0.15</v>
      </c>
      <c r="D85" s="16">
        <v>10.39780266735986</v>
      </c>
      <c r="E85" s="16">
        <v>3.0299306099595102</v>
      </c>
      <c r="F85" s="16">
        <v>4.5149780945612701</v>
      </c>
      <c r="G85" s="16">
        <v>3.1920871815612077</v>
      </c>
      <c r="H85" s="16">
        <v>4.7455019589467877</v>
      </c>
      <c r="I85" s="16"/>
    </row>
    <row r="86" spans="3:9">
      <c r="C86" s="27">
        <v>0.2</v>
      </c>
      <c r="D86" s="16">
        <v>12.285656005910843</v>
      </c>
      <c r="E86" s="16">
        <v>2.4618265960437067</v>
      </c>
      <c r="F86" s="16">
        <v>4.4418899088460542</v>
      </c>
      <c r="G86" s="16">
        <v>2.7177913213237526</v>
      </c>
      <c r="H86" s="16">
        <v>4.7492550613600759</v>
      </c>
      <c r="I86" s="16"/>
    </row>
    <row r="87" spans="3:9">
      <c r="C87" s="27">
        <v>0.3</v>
      </c>
      <c r="D87" s="16">
        <v>16.061362683012799</v>
      </c>
      <c r="E87" s="16">
        <v>1.325618568212096</v>
      </c>
      <c r="F87" s="16">
        <v>4.2957135374156241</v>
      </c>
      <c r="G87" s="16">
        <v>1.8232258355287281</v>
      </c>
      <c r="H87" s="16">
        <v>4.7567612661866558</v>
      </c>
      <c r="I87" s="16"/>
    </row>
    <row r="88" spans="3:9">
      <c r="C88" s="27">
        <v>0.4</v>
      </c>
      <c r="D88" s="16">
        <v>19.837069360114757</v>
      </c>
      <c r="E88" s="16">
        <v>0.1894105403804921</v>
      </c>
      <c r="F88" s="16">
        <v>4.1495371659851914</v>
      </c>
      <c r="G88" s="16">
        <v>0.99512423491515256</v>
      </c>
      <c r="H88" s="16">
        <v>4.7642674710132322</v>
      </c>
      <c r="I88" s="16"/>
    </row>
    <row r="89" spans="3:9">
      <c r="C89" s="27">
        <v>0.5</v>
      </c>
      <c r="D89" s="16">
        <v>23.612776037216722</v>
      </c>
      <c r="E89" s="16">
        <v>-0.94679748745112213</v>
      </c>
      <c r="F89" s="16">
        <v>4.0033607945547613</v>
      </c>
      <c r="G89" s="16">
        <v>0.22741397155729531</v>
      </c>
      <c r="H89" s="16">
        <v>4.7717736758398122</v>
      </c>
      <c r="I89" s="16"/>
    </row>
    <row r="93" spans="3:9">
      <c r="D93" t="s">
        <v>110</v>
      </c>
      <c r="E93" s="16" t="s">
        <v>111</v>
      </c>
      <c r="F93" s="16" t="s">
        <v>112</v>
      </c>
      <c r="G93" s="16" t="s">
        <v>113</v>
      </c>
      <c r="H93" s="16" t="s">
        <v>114</v>
      </c>
      <c r="I93" s="16"/>
    </row>
    <row r="94" spans="3:9">
      <c r="C94" s="27">
        <v>-0.5</v>
      </c>
    </row>
    <row r="95" spans="3:9">
      <c r="C95" s="27">
        <v>-0.4</v>
      </c>
    </row>
    <row r="96" spans="3:9">
      <c r="C96" s="27">
        <v>-0.3</v>
      </c>
      <c r="G96" s="16">
        <v>8.4553190198443566</v>
      </c>
    </row>
    <row r="97" spans="3:8">
      <c r="C97" s="27">
        <v>-0.2</v>
      </c>
    </row>
    <row r="98" spans="3:8">
      <c r="C98" s="27">
        <v>-0.15</v>
      </c>
      <c r="H98" s="16">
        <v>4.7229833444670479</v>
      </c>
    </row>
    <row r="99" spans="3:8">
      <c r="C99" s="27">
        <v>-0.1</v>
      </c>
      <c r="D99" s="16">
        <v>0.95853597460495943</v>
      </c>
    </row>
    <row r="100" spans="3:8">
      <c r="C100" s="27">
        <v>-0.08</v>
      </c>
      <c r="E100" s="16">
        <v>5.6432090739722058</v>
      </c>
    </row>
    <row r="101" spans="3:8">
      <c r="C101" s="27">
        <v>-0.05</v>
      </c>
      <c r="F101" s="16">
        <v>4.807330837422132</v>
      </c>
    </row>
    <row r="102" spans="3:8">
      <c r="C102" s="27">
        <v>-0.02</v>
      </c>
    </row>
    <row r="103" spans="3:8">
      <c r="C103" s="27">
        <v>-0.01</v>
      </c>
    </row>
    <row r="104" spans="3:8">
      <c r="C104" s="27">
        <v>0</v>
      </c>
    </row>
    <row r="105" spans="3:8">
      <c r="C105" s="27">
        <v>0.01</v>
      </c>
    </row>
    <row r="106" spans="3:8">
      <c r="C106" s="27">
        <v>0.02</v>
      </c>
    </row>
    <row r="107" spans="3:8">
      <c r="C107" s="27">
        <v>0.05</v>
      </c>
      <c r="F107" s="16">
        <v>4.6611544659917001</v>
      </c>
    </row>
    <row r="108" spans="3:8">
      <c r="C108" s="27">
        <v>0.08</v>
      </c>
      <c r="E108" s="16">
        <v>3.8252762294416329</v>
      </c>
    </row>
    <row r="109" spans="3:8">
      <c r="C109" s="27">
        <v>0.1</v>
      </c>
      <c r="D109" s="16">
        <v>8.5099493288088848</v>
      </c>
    </row>
    <row r="110" spans="3:8">
      <c r="C110" s="27">
        <v>0.15</v>
      </c>
      <c r="H110" s="16">
        <v>4.7455019589467877</v>
      </c>
    </row>
    <row r="111" spans="3:8">
      <c r="C111" s="27">
        <v>0.2</v>
      </c>
    </row>
    <row r="112" spans="3:8">
      <c r="C112" s="27">
        <v>0.3</v>
      </c>
      <c r="G112" s="16">
        <v>1.8232258355287281</v>
      </c>
    </row>
    <row r="113" spans="3:3">
      <c r="C113" s="27">
        <v>0.4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M113"/>
  <sheetViews>
    <sheetView topLeftCell="C67" zoomScale="90" zoomScaleNormal="90" workbookViewId="0" xr3:uid="{78B4E459-6924-5F8B-B7BA-2DD04133E49E}">
      <selection activeCell="M64" sqref="M64"/>
    </sheetView>
  </sheetViews>
  <sheetFormatPr defaultRowHeight="15"/>
  <cols>
    <col min="3" max="3" width="20.85546875" customWidth="1"/>
    <col min="4" max="4" width="13.5703125" customWidth="1"/>
    <col min="5" max="5" width="16" customWidth="1"/>
    <col min="6" max="6" width="19" customWidth="1"/>
    <col min="7" max="7" width="10.85546875" customWidth="1"/>
    <col min="8" max="8" width="17.7109375" customWidth="1"/>
    <col min="9" max="9" width="12.85546875" customWidth="1"/>
  </cols>
  <sheetData>
    <row r="3" spans="3:9">
      <c r="C3" s="47" t="s">
        <v>3</v>
      </c>
    </row>
    <row r="5" spans="3:9">
      <c r="C5" s="47" t="s">
        <v>101</v>
      </c>
    </row>
    <row r="7" spans="3:9">
      <c r="C7" s="51" t="s">
        <v>34</v>
      </c>
      <c r="D7" s="16">
        <f>Datasheet!G24</f>
        <v>4.5288000000000004</v>
      </c>
      <c r="F7" s="50" t="s">
        <v>102</v>
      </c>
      <c r="G7" s="52">
        <f>-Datasheet!G14-PV(D10,20,D7-D8,D11)+PV('SA1'!D10,8,0,D9)+PV('SA1'!D10,16,0,D9)+PV(D10,7,0,Datasheet!G19)+PV(D10,19,Datasheet!G21)+PV(D10,20,0,Datasheet!G22)</f>
        <v>5.2149659869873481</v>
      </c>
    </row>
    <row r="8" spans="3:9">
      <c r="C8" t="s">
        <v>103</v>
      </c>
      <c r="D8" s="16">
        <f>Datasheet!G15</f>
        <v>1.22655</v>
      </c>
    </row>
    <row r="9" spans="3:9">
      <c r="C9" t="s">
        <v>104</v>
      </c>
      <c r="D9" s="16">
        <f>Datasheet!G16</f>
        <v>1.1888099999999999</v>
      </c>
    </row>
    <row r="10" spans="3:9">
      <c r="C10" t="s">
        <v>105</v>
      </c>
      <c r="D10" s="48">
        <f>Datasheet!C36</f>
        <v>7.0000000000000007E-2</v>
      </c>
    </row>
    <row r="11" spans="3:9">
      <c r="C11" t="s">
        <v>106</v>
      </c>
      <c r="D11" s="17">
        <f>Datasheet!G25</f>
        <v>0.33472626177263981</v>
      </c>
    </row>
    <row r="12" spans="3:9">
      <c r="C12" s="51" t="s">
        <v>107</v>
      </c>
      <c r="D12" s="49">
        <v>1.7899999999999999E-2</v>
      </c>
    </row>
    <row r="15" spans="3:9">
      <c r="C15" t="s">
        <v>108</v>
      </c>
      <c r="D15" t="s">
        <v>34</v>
      </c>
      <c r="E15" t="s">
        <v>103</v>
      </c>
      <c r="F15" t="s">
        <v>104</v>
      </c>
      <c r="G15" t="s">
        <v>105</v>
      </c>
      <c r="H15" t="s">
        <v>109</v>
      </c>
      <c r="I15" t="s">
        <v>107</v>
      </c>
    </row>
    <row r="16" spans="3:9">
      <c r="C16" s="26">
        <v>-0.5</v>
      </c>
      <c r="D16" s="16">
        <f>$D$7*(1+C16)</f>
        <v>2.2644000000000002</v>
      </c>
      <c r="E16" s="16">
        <f>$D$8*(1+C16)</f>
        <v>0.61327500000000001</v>
      </c>
      <c r="F16" s="16">
        <f>$D$9*(1+C16)</f>
        <v>0.59440499999999996</v>
      </c>
      <c r="G16" s="25">
        <f>$D$10*(1+C16)</f>
        <v>3.5000000000000003E-2</v>
      </c>
      <c r="H16" s="16">
        <f>$D$11*(1+C16)</f>
        <v>0.16736313088631991</v>
      </c>
      <c r="I16" s="25">
        <f>$D$12*(1+C16)</f>
        <v>8.9499999999999996E-3</v>
      </c>
    </row>
    <row r="17" spans="3:9">
      <c r="C17" s="26">
        <v>-0.4</v>
      </c>
      <c r="D17" s="16">
        <f t="shared" ref="D17:D36" si="0">$D$7*(1+C17)</f>
        <v>2.7172800000000001</v>
      </c>
      <c r="E17" s="16">
        <f t="shared" ref="E17:E36" si="1">$D$8*(1+C17)</f>
        <v>0.73592999999999997</v>
      </c>
      <c r="F17" s="16">
        <f t="shared" ref="F17:F30" si="2">$D$9*(1+C17)</f>
        <v>0.71328599999999998</v>
      </c>
      <c r="G17" s="25">
        <f t="shared" ref="G17:G36" si="3">$D$10*(1+C17)</f>
        <v>4.2000000000000003E-2</v>
      </c>
      <c r="H17" s="16">
        <f t="shared" ref="H17:H36" si="4">$D$11*(1+C17)</f>
        <v>0.20083575706358389</v>
      </c>
      <c r="I17" s="25">
        <f t="shared" ref="I17:I36" si="5">$D$12*(1+C17)</f>
        <v>1.074E-2</v>
      </c>
    </row>
    <row r="18" spans="3:9">
      <c r="C18" s="26">
        <v>-0.3</v>
      </c>
      <c r="D18" s="16">
        <f t="shared" si="0"/>
        <v>3.1701600000000001</v>
      </c>
      <c r="E18" s="16">
        <f t="shared" si="1"/>
        <v>0.85858499999999993</v>
      </c>
      <c r="F18" s="16">
        <f t="shared" si="2"/>
        <v>0.83216699999999988</v>
      </c>
      <c r="G18" s="25">
        <f t="shared" si="3"/>
        <v>4.9000000000000002E-2</v>
      </c>
      <c r="H18" s="16">
        <f t="shared" si="4"/>
        <v>0.23430838324084785</v>
      </c>
      <c r="I18" s="25">
        <f t="shared" si="5"/>
        <v>1.2529999999999999E-2</v>
      </c>
    </row>
    <row r="19" spans="3:9">
      <c r="C19" s="26">
        <v>-0.2</v>
      </c>
      <c r="D19" s="16">
        <f t="shared" si="0"/>
        <v>3.6230400000000005</v>
      </c>
      <c r="E19" s="16">
        <f t="shared" si="1"/>
        <v>0.98124000000000011</v>
      </c>
      <c r="F19" s="16">
        <f t="shared" si="2"/>
        <v>0.951048</v>
      </c>
      <c r="G19" s="25">
        <f t="shared" si="3"/>
        <v>5.6000000000000008E-2</v>
      </c>
      <c r="H19" s="16">
        <f t="shared" si="4"/>
        <v>0.26778100941811184</v>
      </c>
      <c r="I19" s="25">
        <f t="shared" si="5"/>
        <v>1.4319999999999999E-2</v>
      </c>
    </row>
    <row r="20" spans="3:9">
      <c r="C20" s="26">
        <v>-0.15</v>
      </c>
      <c r="D20" s="16">
        <f t="shared" si="0"/>
        <v>3.8494800000000002</v>
      </c>
      <c r="E20" s="16">
        <f t="shared" si="1"/>
        <v>1.0425675000000001</v>
      </c>
      <c r="F20" s="16">
        <f t="shared" si="2"/>
        <v>1.0104884999999999</v>
      </c>
      <c r="G20" s="25">
        <f t="shared" si="3"/>
        <v>5.9500000000000004E-2</v>
      </c>
      <c r="H20" s="16">
        <f t="shared" si="4"/>
        <v>0.28451732250674383</v>
      </c>
      <c r="I20" s="25">
        <f t="shared" si="5"/>
        <v>1.5214999999999999E-2</v>
      </c>
    </row>
    <row r="21" spans="3:9">
      <c r="C21" s="26">
        <v>-0.1</v>
      </c>
      <c r="D21" s="16">
        <f t="shared" si="0"/>
        <v>4.0759200000000009</v>
      </c>
      <c r="E21" s="16">
        <f t="shared" si="1"/>
        <v>1.1038950000000001</v>
      </c>
      <c r="F21" s="16">
        <f t="shared" si="2"/>
        <v>1.0699289999999999</v>
      </c>
      <c r="G21" s="25">
        <f t="shared" si="3"/>
        <v>6.3000000000000014E-2</v>
      </c>
      <c r="H21" s="16">
        <f t="shared" si="4"/>
        <v>0.30125363559537582</v>
      </c>
      <c r="I21" s="25">
        <f t="shared" si="5"/>
        <v>1.6109999999999999E-2</v>
      </c>
    </row>
    <row r="22" spans="3:9">
      <c r="C22" s="26">
        <v>-0.08</v>
      </c>
      <c r="D22" s="16">
        <f t="shared" si="0"/>
        <v>4.1664960000000004</v>
      </c>
      <c r="E22" s="16">
        <f t="shared" si="1"/>
        <v>1.1284260000000002</v>
      </c>
      <c r="F22" s="16">
        <f t="shared" si="2"/>
        <v>1.0937052</v>
      </c>
      <c r="G22" s="25">
        <f t="shared" si="3"/>
        <v>6.4400000000000013E-2</v>
      </c>
      <c r="H22" s="16">
        <f t="shared" si="4"/>
        <v>0.30794816083082865</v>
      </c>
      <c r="I22" s="25">
        <f t="shared" si="5"/>
        <v>1.6468E-2</v>
      </c>
    </row>
    <row r="23" spans="3:9">
      <c r="C23" s="26">
        <v>-0.05</v>
      </c>
      <c r="D23" s="16">
        <f t="shared" si="0"/>
        <v>4.3023600000000002</v>
      </c>
      <c r="E23" s="16">
        <f t="shared" si="1"/>
        <v>1.1652225</v>
      </c>
      <c r="F23" s="16">
        <f t="shared" si="2"/>
        <v>1.1293694999999999</v>
      </c>
      <c r="G23" s="25">
        <f t="shared" si="3"/>
        <v>6.6500000000000004E-2</v>
      </c>
      <c r="H23" s="16">
        <f t="shared" si="4"/>
        <v>0.31798994868400782</v>
      </c>
      <c r="I23" s="25">
        <f t="shared" si="5"/>
        <v>1.7004999999999999E-2</v>
      </c>
    </row>
    <row r="24" spans="3:9">
      <c r="C24" s="26">
        <v>-0.02</v>
      </c>
      <c r="D24" s="16">
        <f t="shared" si="0"/>
        <v>4.4382239999999999</v>
      </c>
      <c r="E24" s="16">
        <f t="shared" si="1"/>
        <v>1.2020189999999999</v>
      </c>
      <c r="F24" s="16">
        <f t="shared" si="2"/>
        <v>1.1650338</v>
      </c>
      <c r="G24" s="25">
        <f t="shared" si="3"/>
        <v>6.8600000000000008E-2</v>
      </c>
      <c r="H24" s="16">
        <f t="shared" si="4"/>
        <v>0.32803173653718704</v>
      </c>
      <c r="I24" s="25">
        <f t="shared" si="5"/>
        <v>1.7541999999999999E-2</v>
      </c>
    </row>
    <row r="25" spans="3:9">
      <c r="C25" s="26">
        <v>-0.01</v>
      </c>
      <c r="D25" s="16">
        <f t="shared" si="0"/>
        <v>4.4835120000000002</v>
      </c>
      <c r="E25" s="16">
        <f t="shared" si="1"/>
        <v>1.2142845</v>
      </c>
      <c r="F25" s="16">
        <f t="shared" si="2"/>
        <v>1.1769219</v>
      </c>
      <c r="G25" s="25">
        <f t="shared" si="3"/>
        <v>6.93E-2</v>
      </c>
      <c r="H25" s="16">
        <f t="shared" si="4"/>
        <v>0.33137899915491342</v>
      </c>
      <c r="I25" s="25">
        <f t="shared" si="5"/>
        <v>1.7721000000000001E-2</v>
      </c>
    </row>
    <row r="26" spans="3:9">
      <c r="C26" s="26">
        <v>0</v>
      </c>
      <c r="D26" s="16">
        <f t="shared" si="0"/>
        <v>4.5288000000000004</v>
      </c>
      <c r="E26" s="16">
        <f t="shared" si="1"/>
        <v>1.22655</v>
      </c>
      <c r="F26" s="16">
        <f t="shared" si="2"/>
        <v>1.1888099999999999</v>
      </c>
      <c r="G26" s="25">
        <f t="shared" si="3"/>
        <v>7.0000000000000007E-2</v>
      </c>
      <c r="H26" s="16">
        <f t="shared" si="4"/>
        <v>0.33472626177263981</v>
      </c>
      <c r="I26" s="25">
        <f t="shared" si="5"/>
        <v>1.7899999999999999E-2</v>
      </c>
    </row>
    <row r="27" spans="3:9">
      <c r="C27" s="26">
        <v>0.01</v>
      </c>
      <c r="D27" s="16">
        <f t="shared" si="0"/>
        <v>4.5740880000000006</v>
      </c>
      <c r="E27" s="16">
        <f t="shared" si="1"/>
        <v>1.2388155000000001</v>
      </c>
      <c r="F27" s="16">
        <f t="shared" si="2"/>
        <v>1.2006980999999999</v>
      </c>
      <c r="G27" s="25">
        <f t="shared" si="3"/>
        <v>7.0700000000000013E-2</v>
      </c>
      <c r="H27" s="16">
        <f t="shared" si="4"/>
        <v>0.3380735243903662</v>
      </c>
      <c r="I27" s="25">
        <f t="shared" si="5"/>
        <v>1.8078999999999998E-2</v>
      </c>
    </row>
    <row r="28" spans="3:9">
      <c r="C28" s="26">
        <v>0.02</v>
      </c>
      <c r="D28" s="16">
        <f t="shared" si="0"/>
        <v>4.6193760000000008</v>
      </c>
      <c r="E28" s="16">
        <f t="shared" si="1"/>
        <v>1.2510810000000001</v>
      </c>
      <c r="F28" s="16">
        <f t="shared" si="2"/>
        <v>1.2125861999999998</v>
      </c>
      <c r="G28" s="25">
        <f t="shared" si="3"/>
        <v>7.1400000000000005E-2</v>
      </c>
      <c r="H28" s="16">
        <f t="shared" si="4"/>
        <v>0.34142078700809259</v>
      </c>
      <c r="I28" s="25">
        <f t="shared" si="5"/>
        <v>1.8258E-2</v>
      </c>
    </row>
    <row r="29" spans="3:9">
      <c r="C29" s="26">
        <v>0.05</v>
      </c>
      <c r="D29" s="16">
        <f t="shared" si="0"/>
        <v>4.7552400000000006</v>
      </c>
      <c r="E29" s="16">
        <f t="shared" si="1"/>
        <v>1.2878775</v>
      </c>
      <c r="F29" s="16">
        <f t="shared" si="2"/>
        <v>1.2482504999999999</v>
      </c>
      <c r="G29" s="25">
        <f t="shared" si="3"/>
        <v>7.350000000000001E-2</v>
      </c>
      <c r="H29" s="16">
        <f t="shared" si="4"/>
        <v>0.3514625748612718</v>
      </c>
      <c r="I29" s="25">
        <f t="shared" si="5"/>
        <v>1.8794999999999999E-2</v>
      </c>
    </row>
    <row r="30" spans="3:9">
      <c r="C30" s="26">
        <v>0.08</v>
      </c>
      <c r="D30" s="16">
        <f t="shared" si="0"/>
        <v>4.8911040000000003</v>
      </c>
      <c r="E30" s="16">
        <f t="shared" si="1"/>
        <v>1.3246740000000001</v>
      </c>
      <c r="F30" s="16">
        <f t="shared" si="2"/>
        <v>1.2839148</v>
      </c>
      <c r="G30" s="25">
        <f t="shared" si="3"/>
        <v>7.5600000000000014E-2</v>
      </c>
      <c r="H30" s="16">
        <f t="shared" si="4"/>
        <v>0.36150436271445102</v>
      </c>
      <c r="I30" s="25">
        <f t="shared" si="5"/>
        <v>1.9332000000000002E-2</v>
      </c>
    </row>
    <row r="31" spans="3:9">
      <c r="C31" s="26">
        <v>0.1</v>
      </c>
      <c r="D31" s="16">
        <f t="shared" si="0"/>
        <v>4.9816800000000008</v>
      </c>
      <c r="E31" s="16">
        <f t="shared" si="1"/>
        <v>1.3492050000000002</v>
      </c>
      <c r="F31" s="16">
        <f>$D$9*(1+C31)</f>
        <v>1.3076909999999999</v>
      </c>
      <c r="G31" s="25">
        <f t="shared" si="3"/>
        <v>7.7000000000000013E-2</v>
      </c>
      <c r="H31" s="16">
        <f t="shared" si="4"/>
        <v>0.3681988879499038</v>
      </c>
      <c r="I31" s="25">
        <f t="shared" si="5"/>
        <v>1.9689999999999999E-2</v>
      </c>
    </row>
    <row r="32" spans="3:9">
      <c r="C32" s="26">
        <v>0.15</v>
      </c>
      <c r="D32" s="16">
        <f t="shared" si="0"/>
        <v>5.2081200000000001</v>
      </c>
      <c r="E32" s="16">
        <f t="shared" si="1"/>
        <v>1.4105325</v>
      </c>
      <c r="F32" s="16">
        <f>$D$9*(1+C32)</f>
        <v>1.3671314999999997</v>
      </c>
      <c r="G32" s="25">
        <f t="shared" si="3"/>
        <v>8.0500000000000002E-2</v>
      </c>
      <c r="H32" s="16">
        <f t="shared" si="4"/>
        <v>0.38493520103853573</v>
      </c>
      <c r="I32" s="25">
        <f t="shared" si="5"/>
        <v>2.0584999999999999E-2</v>
      </c>
    </row>
    <row r="33" spans="3:13">
      <c r="C33" s="26">
        <v>0.2</v>
      </c>
      <c r="D33" s="16">
        <f t="shared" si="0"/>
        <v>5.4345600000000003</v>
      </c>
      <c r="E33" s="16">
        <f t="shared" si="1"/>
        <v>1.4718599999999999</v>
      </c>
      <c r="F33" s="16">
        <f t="shared" ref="F33:F35" si="6">$D$9*(1+C33)</f>
        <v>1.426572</v>
      </c>
      <c r="G33" s="25">
        <f t="shared" si="3"/>
        <v>8.4000000000000005E-2</v>
      </c>
      <c r="H33" s="16">
        <f t="shared" si="4"/>
        <v>0.40167151412716778</v>
      </c>
      <c r="I33" s="25">
        <f t="shared" si="5"/>
        <v>2.1479999999999999E-2</v>
      </c>
    </row>
    <row r="34" spans="3:13">
      <c r="C34" s="26">
        <v>0.3</v>
      </c>
      <c r="D34" s="16">
        <f t="shared" si="0"/>
        <v>5.8874400000000007</v>
      </c>
      <c r="E34" s="16">
        <f t="shared" si="1"/>
        <v>1.5945150000000001</v>
      </c>
      <c r="F34" s="16">
        <f t="shared" si="6"/>
        <v>1.545453</v>
      </c>
      <c r="G34" s="25">
        <f t="shared" si="3"/>
        <v>9.1000000000000011E-2</v>
      </c>
      <c r="H34" s="16">
        <f t="shared" si="4"/>
        <v>0.43514414030443177</v>
      </c>
      <c r="I34" s="25">
        <f t="shared" si="5"/>
        <v>2.3269999999999999E-2</v>
      </c>
    </row>
    <row r="35" spans="3:13">
      <c r="C35" s="26">
        <v>0.4</v>
      </c>
      <c r="D35" s="16">
        <f t="shared" si="0"/>
        <v>6.3403200000000002</v>
      </c>
      <c r="E35" s="16">
        <f t="shared" si="1"/>
        <v>1.7171699999999999</v>
      </c>
      <c r="F35" s="16">
        <f t="shared" si="6"/>
        <v>1.6643339999999998</v>
      </c>
      <c r="G35" s="25">
        <f t="shared" si="3"/>
        <v>9.8000000000000004E-2</v>
      </c>
      <c r="H35" s="16">
        <f t="shared" si="4"/>
        <v>0.4686167664816957</v>
      </c>
      <c r="I35" s="25">
        <f t="shared" si="5"/>
        <v>2.5059999999999999E-2</v>
      </c>
    </row>
    <row r="36" spans="3:13">
      <c r="C36" s="26">
        <v>0.5</v>
      </c>
      <c r="D36" s="16">
        <f t="shared" si="0"/>
        <v>6.7932000000000006</v>
      </c>
      <c r="E36" s="16">
        <f t="shared" si="1"/>
        <v>1.839825</v>
      </c>
      <c r="F36" s="16">
        <f>$D$9*(1+C36)</f>
        <v>1.7832149999999998</v>
      </c>
      <c r="G36" s="25">
        <f t="shared" si="3"/>
        <v>0.10500000000000001</v>
      </c>
      <c r="H36" s="16">
        <f t="shared" si="4"/>
        <v>0.50208939265895969</v>
      </c>
      <c r="I36" s="25">
        <f t="shared" si="5"/>
        <v>2.6849999999999999E-2</v>
      </c>
    </row>
    <row r="41" spans="3:13">
      <c r="C41" t="s">
        <v>108</v>
      </c>
      <c r="D41" s="16" t="s">
        <v>34</v>
      </c>
      <c r="E41" s="16">
        <f>G7</f>
        <v>5.2149659869873481</v>
      </c>
      <c r="F41" s="16" t="s">
        <v>103</v>
      </c>
      <c r="G41" s="16">
        <f>G7</f>
        <v>5.2149659869873481</v>
      </c>
      <c r="H41" s="16" t="s">
        <v>104</v>
      </c>
      <c r="I41" s="16">
        <f>G7</f>
        <v>5.2149659869873481</v>
      </c>
      <c r="J41" t="s">
        <v>105</v>
      </c>
      <c r="K41" s="16">
        <f>G7</f>
        <v>5.2149659869873481</v>
      </c>
      <c r="L41" s="16" t="s">
        <v>109</v>
      </c>
      <c r="M41" s="16">
        <f>G7</f>
        <v>5.2149659869873481</v>
      </c>
    </row>
    <row r="42" spans="3:13">
      <c r="C42" s="26">
        <v>-0.5</v>
      </c>
      <c r="D42" s="17">
        <v>2.2644000000000002</v>
      </c>
      <c r="E42" s="16">
        <f t="dataTable" ref="E42:E62" dt2D="0" dtr="0" r1="D7" ca="1"/>
        <v>-18.774119870559446</v>
      </c>
      <c r="F42" s="16">
        <v>0.61327500000000001</v>
      </c>
      <c r="G42" s="16">
        <f t="dataTable" ref="G42:G62" dt2D="0" dtr="0" r1="D8"/>
        <v>11.712010073406274</v>
      </c>
      <c r="H42" s="16">
        <v>0.59440499999999996</v>
      </c>
      <c r="I42" s="16">
        <f t="dataTable" ref="I42:I62" dt2D="0" dtr="0" r1="D9" ca="1"/>
        <v>5.7622606473896179</v>
      </c>
      <c r="J42" s="49">
        <v>3.5000000000000003E-2</v>
      </c>
      <c r="K42" s="16">
        <f t="dataTable" ref="K42:K62" dt2D="0" dtr="0" r1="D10" ca="1"/>
        <v>14.60242201952371</v>
      </c>
      <c r="L42" s="16">
        <v>0.16736313088631991</v>
      </c>
      <c r="M42" s="16">
        <f t="dataTable" ref="M42:M62" dt2D="0" dtr="0" r1="D11" ca="1"/>
        <v>5.1717161735959003</v>
      </c>
    </row>
    <row r="43" spans="3:13">
      <c r="C43" s="26">
        <v>-0.4</v>
      </c>
      <c r="D43" s="17">
        <v>2.7172800000000001</v>
      </c>
      <c r="E43" s="16">
        <v>-13.976302699050084</v>
      </c>
      <c r="F43" s="16">
        <v>0.73592999999999997</v>
      </c>
      <c r="G43" s="16">
        <v>10.412601256122491</v>
      </c>
      <c r="H43" s="16">
        <v>0.71328599999999998</v>
      </c>
      <c r="I43" s="16">
        <v>5.6528017153091641</v>
      </c>
      <c r="J43" s="49">
        <v>4.2000000000000003E-2</v>
      </c>
      <c r="K43" s="16">
        <v>12.366388087817406</v>
      </c>
      <c r="L43" s="16">
        <v>0.20083575706358389</v>
      </c>
      <c r="M43" s="16">
        <v>5.1803661362741842</v>
      </c>
    </row>
    <row r="44" spans="3:13">
      <c r="C44" s="26">
        <v>-0.3</v>
      </c>
      <c r="D44" s="17">
        <v>3.1701600000000001</v>
      </c>
      <c r="E44" s="16">
        <v>-9.1784855275407278</v>
      </c>
      <c r="F44" s="16">
        <v>0.85858499999999993</v>
      </c>
      <c r="G44" s="16">
        <v>9.1131924388387073</v>
      </c>
      <c r="H44" s="16">
        <v>0.83216699999999988</v>
      </c>
      <c r="I44" s="16">
        <v>5.5433427832287103</v>
      </c>
      <c r="J44" s="49">
        <v>4.9000000000000002E-2</v>
      </c>
      <c r="K44" s="16">
        <v>10.32918566980878</v>
      </c>
      <c r="L44" s="16">
        <v>0.23430838324084785</v>
      </c>
      <c r="M44" s="16">
        <v>5.1890160989524823</v>
      </c>
    </row>
    <row r="45" spans="3:13">
      <c r="C45" s="26">
        <v>-0.2</v>
      </c>
      <c r="D45" s="17">
        <v>3.6230400000000005</v>
      </c>
      <c r="E45" s="16">
        <v>-4.3806683560313635</v>
      </c>
      <c r="F45" s="16">
        <v>0.98124000000000011</v>
      </c>
      <c r="G45" s="16">
        <v>7.8137836215549168</v>
      </c>
      <c r="H45" s="16">
        <v>0.951048</v>
      </c>
      <c r="I45" s="16">
        <v>5.4338838511482566</v>
      </c>
      <c r="J45" s="49">
        <v>5.6000000000000008E-2</v>
      </c>
      <c r="K45" s="16">
        <v>8.4700928657221155</v>
      </c>
      <c r="L45" s="16">
        <v>0.26778100941811184</v>
      </c>
      <c r="M45" s="16">
        <v>5.1976660616307662</v>
      </c>
    </row>
    <row r="46" spans="3:13">
      <c r="C46" s="26">
        <v>-0.15</v>
      </c>
      <c r="D46" s="17">
        <v>3.8494800000000002</v>
      </c>
      <c r="E46" s="16">
        <v>-1.9817597702766876</v>
      </c>
      <c r="F46" s="16">
        <v>1.0425675000000001</v>
      </c>
      <c r="G46" s="16">
        <v>7.1640792129130206</v>
      </c>
      <c r="H46" s="16">
        <v>1.0104884999999999</v>
      </c>
      <c r="I46" s="16">
        <v>5.3791543851080288</v>
      </c>
      <c r="J46" s="49">
        <v>5.9500000000000004E-2</v>
      </c>
      <c r="K46" s="16">
        <v>7.6015217892142681</v>
      </c>
      <c r="L46" s="16">
        <v>0.28451732250674383</v>
      </c>
      <c r="M46" s="16">
        <v>5.2019910429699117</v>
      </c>
    </row>
    <row r="47" spans="3:13">
      <c r="C47" s="26">
        <v>-0.1</v>
      </c>
      <c r="D47" s="17">
        <v>4.0759200000000009</v>
      </c>
      <c r="E47" s="16">
        <v>0.4171488154780022</v>
      </c>
      <c r="F47" s="16">
        <v>1.1038950000000001</v>
      </c>
      <c r="G47" s="16">
        <v>6.5143748042711325</v>
      </c>
      <c r="H47" s="16">
        <v>1.0699289999999999</v>
      </c>
      <c r="I47" s="16">
        <v>5.3244249190678019</v>
      </c>
      <c r="J47" s="49">
        <v>6.3000000000000014E-2</v>
      </c>
      <c r="K47" s="16">
        <v>6.7707702823138671</v>
      </c>
      <c r="L47" s="16">
        <v>0.30125363559537582</v>
      </c>
      <c r="M47" s="16">
        <v>5.2063160243090572</v>
      </c>
    </row>
    <row r="48" spans="3:13">
      <c r="C48" s="26">
        <v>-0.08</v>
      </c>
      <c r="D48" s="17">
        <v>4.1664960000000004</v>
      </c>
      <c r="E48" s="16">
        <v>1.3767122497798678</v>
      </c>
      <c r="F48" s="16">
        <v>1.1284260000000002</v>
      </c>
      <c r="G48" s="16">
        <v>6.2544930408143786</v>
      </c>
      <c r="H48" s="16">
        <v>1.0937052</v>
      </c>
      <c r="I48" s="16">
        <v>5.3025331326517122</v>
      </c>
      <c r="J48" s="49">
        <v>6.4400000000000013E-2</v>
      </c>
      <c r="K48" s="16">
        <v>6.4486142882231245</v>
      </c>
      <c r="L48" s="16">
        <v>0.30794816083082865</v>
      </c>
      <c r="M48" s="16">
        <v>5.2080460168447154</v>
      </c>
    </row>
    <row r="49" spans="3:13">
      <c r="C49" s="26">
        <v>-0.05</v>
      </c>
      <c r="D49" s="17">
        <v>4.3023600000000002</v>
      </c>
      <c r="E49" s="16">
        <v>2.8160574012326731</v>
      </c>
      <c r="F49" s="16">
        <v>1.1652225</v>
      </c>
      <c r="G49" s="16">
        <v>5.8646703956292372</v>
      </c>
      <c r="H49" s="16">
        <v>1.1293694999999999</v>
      </c>
      <c r="I49" s="16">
        <v>5.269695453027575</v>
      </c>
      <c r="J49" s="49">
        <v>6.6500000000000004E-2</v>
      </c>
      <c r="K49" s="16">
        <v>5.9758697989388327</v>
      </c>
      <c r="L49" s="16">
        <v>0.31798994868400782</v>
      </c>
      <c r="M49" s="16">
        <v>5.2106410056482027</v>
      </c>
    </row>
    <row r="50" spans="3:13">
      <c r="C50" s="26">
        <v>-0.02</v>
      </c>
      <c r="D50" s="17">
        <v>4.4382239999999999</v>
      </c>
      <c r="E50" s="16">
        <v>4.2554025526854709</v>
      </c>
      <c r="F50" s="16">
        <v>1.2020189999999999</v>
      </c>
      <c r="G50" s="16">
        <v>5.47484775044411</v>
      </c>
      <c r="H50" s="16">
        <v>1.1650338</v>
      </c>
      <c r="I50" s="16">
        <v>5.2368577734034396</v>
      </c>
      <c r="J50" s="49">
        <v>6.8600000000000008E-2</v>
      </c>
      <c r="K50" s="16">
        <v>5.5153620579008331</v>
      </c>
      <c r="L50" s="16">
        <v>0.32803173653718704</v>
      </c>
      <c r="M50" s="16">
        <v>5.2132359944516899</v>
      </c>
    </row>
    <row r="51" spans="3:13">
      <c r="C51" s="26">
        <v>-0.01</v>
      </c>
      <c r="D51" s="17">
        <v>4.4835120000000002</v>
      </c>
      <c r="E51" s="16">
        <v>4.7351842698364131</v>
      </c>
      <c r="F51" s="16">
        <v>1.2142845</v>
      </c>
      <c r="G51" s="16">
        <v>5.3449068687157286</v>
      </c>
      <c r="H51" s="16">
        <v>1.1769219</v>
      </c>
      <c r="I51" s="16">
        <v>5.2259118801953957</v>
      </c>
      <c r="J51" s="49">
        <v>6.93E-2</v>
      </c>
      <c r="K51" s="16">
        <v>5.3645123736234268</v>
      </c>
      <c r="L51" s="16">
        <v>0.33137899915491342</v>
      </c>
      <c r="M51" s="16">
        <v>5.214100990719519</v>
      </c>
    </row>
    <row r="52" spans="3:13">
      <c r="C52" s="26">
        <v>0</v>
      </c>
      <c r="D52" s="17">
        <v>4.5288000000000004</v>
      </c>
      <c r="E52" s="16">
        <v>5.2149659869873481</v>
      </c>
      <c r="F52" s="16">
        <v>1.22655</v>
      </c>
      <c r="G52" s="16">
        <v>5.2149659869873481</v>
      </c>
      <c r="H52" s="16">
        <v>1.1888099999999999</v>
      </c>
      <c r="I52" s="16">
        <v>5.2149659869873481</v>
      </c>
      <c r="J52" s="49">
        <v>7.0000000000000007E-2</v>
      </c>
      <c r="K52" s="16">
        <v>5.2149659869873481</v>
      </c>
      <c r="L52" s="16">
        <v>0.33472626177263981</v>
      </c>
      <c r="M52" s="16">
        <v>5.2149659869873481</v>
      </c>
    </row>
    <row r="53" spans="3:13">
      <c r="C53" s="26">
        <v>0.01</v>
      </c>
      <c r="D53" s="17">
        <v>4.5740880000000006</v>
      </c>
      <c r="E53" s="16">
        <v>5.6947477041382841</v>
      </c>
      <c r="F53" s="16">
        <v>1.2388155000000001</v>
      </c>
      <c r="G53" s="16">
        <v>5.0850251052589677</v>
      </c>
      <c r="H53" s="16">
        <v>1.2006980999999999</v>
      </c>
      <c r="I53" s="16">
        <v>5.2040200937793024</v>
      </c>
      <c r="J53" s="49">
        <v>7.0700000000000013E-2</v>
      </c>
      <c r="K53" s="16">
        <v>5.0667092527219983</v>
      </c>
      <c r="L53" s="16">
        <v>0.3380735243903662</v>
      </c>
      <c r="M53" s="16">
        <v>5.2158309832551701</v>
      </c>
    </row>
    <row r="54" spans="3:13">
      <c r="C54" s="26">
        <v>0.02</v>
      </c>
      <c r="D54" s="17">
        <v>4.6193760000000008</v>
      </c>
      <c r="E54" s="16">
        <v>6.1745294212892263</v>
      </c>
      <c r="F54" s="16">
        <v>1.2510810000000001</v>
      </c>
      <c r="G54" s="16">
        <v>4.9550842235305943</v>
      </c>
      <c r="H54" s="16">
        <v>1.2125861999999998</v>
      </c>
      <c r="I54" s="16">
        <v>5.1930742005712585</v>
      </c>
      <c r="J54" s="49">
        <v>7.1400000000000005E-2</v>
      </c>
      <c r="K54" s="16">
        <v>4.919728685936855</v>
      </c>
      <c r="L54" s="16">
        <v>0.34142078700809259</v>
      </c>
      <c r="M54" s="16">
        <v>5.2166959795230063</v>
      </c>
    </row>
    <row r="55" spans="3:13">
      <c r="C55" s="26">
        <v>0.05</v>
      </c>
      <c r="D55" s="17">
        <v>4.7552400000000006</v>
      </c>
      <c r="E55" s="16">
        <v>7.6138745727420325</v>
      </c>
      <c r="F55" s="16">
        <v>1.2878775</v>
      </c>
      <c r="G55" s="16">
        <v>4.56526157834546</v>
      </c>
      <c r="H55" s="16">
        <v>1.2482504999999999</v>
      </c>
      <c r="I55" s="16">
        <v>5.160236520947123</v>
      </c>
      <c r="J55" s="49">
        <v>7.350000000000001E-2</v>
      </c>
      <c r="K55" s="16">
        <v>4.4863115043031119</v>
      </c>
      <c r="L55" s="16">
        <v>0.3514625748612718</v>
      </c>
      <c r="M55" s="16">
        <v>5.2192909683264936</v>
      </c>
    </row>
    <row r="56" spans="3:13">
      <c r="C56" s="26">
        <v>0.08</v>
      </c>
      <c r="D56" s="17">
        <v>4.8911040000000003</v>
      </c>
      <c r="E56" s="16">
        <v>9.0532197241948378</v>
      </c>
      <c r="F56" s="16">
        <v>1.3246740000000001</v>
      </c>
      <c r="G56" s="16">
        <v>4.1754389331603186</v>
      </c>
      <c r="H56" s="16">
        <v>1.2839148</v>
      </c>
      <c r="I56" s="16">
        <v>5.1273988413229858</v>
      </c>
      <c r="J56" s="49">
        <v>7.5600000000000014E-2</v>
      </c>
      <c r="K56" s="16">
        <v>4.0639093443983896</v>
      </c>
      <c r="L56" s="16">
        <v>0.36150436271445102</v>
      </c>
      <c r="M56" s="16">
        <v>5.2218859571299809</v>
      </c>
    </row>
    <row r="57" spans="3:13">
      <c r="C57" s="26">
        <v>0.1</v>
      </c>
      <c r="D57" s="17">
        <v>4.9816800000000008</v>
      </c>
      <c r="E57" s="16">
        <v>10.012783158496715</v>
      </c>
      <c r="F57" s="16">
        <v>1.3492050000000002</v>
      </c>
      <c r="G57" s="16">
        <v>3.915557169703558</v>
      </c>
      <c r="H57" s="16">
        <v>1.3076909999999999</v>
      </c>
      <c r="I57" s="16">
        <v>5.1055070549068962</v>
      </c>
      <c r="J57" s="49">
        <v>7.7000000000000013E-2</v>
      </c>
      <c r="K57" s="16">
        <v>3.788259317886074</v>
      </c>
      <c r="L57" s="16">
        <v>0.3681988879499038</v>
      </c>
      <c r="M57" s="16">
        <v>5.2236159496656391</v>
      </c>
    </row>
    <row r="58" spans="3:13">
      <c r="C58" s="26">
        <v>0.15</v>
      </c>
      <c r="D58" s="17">
        <v>5.2081200000000001</v>
      </c>
      <c r="E58" s="16">
        <v>12.411691744251383</v>
      </c>
      <c r="F58" s="16">
        <v>1.4105325</v>
      </c>
      <c r="G58" s="16">
        <v>3.265852761061677</v>
      </c>
      <c r="H58" s="16">
        <v>1.3671314999999997</v>
      </c>
      <c r="I58" s="16">
        <v>5.0507775888666693</v>
      </c>
      <c r="J58" s="49">
        <v>8.0500000000000002E-2</v>
      </c>
      <c r="K58" s="16">
        <v>3.1192564519024417</v>
      </c>
      <c r="L58" s="16">
        <v>0.38493520103853573</v>
      </c>
      <c r="M58" s="16">
        <v>5.2279409310047846</v>
      </c>
    </row>
    <row r="59" spans="3:13">
      <c r="C59" s="26">
        <v>0.2</v>
      </c>
      <c r="D59" s="17">
        <v>5.4345600000000003</v>
      </c>
      <c r="E59" s="16">
        <v>14.810600330006059</v>
      </c>
      <c r="F59" s="16">
        <v>1.4718599999999999</v>
      </c>
      <c r="G59" s="16">
        <v>2.6161483524197817</v>
      </c>
      <c r="H59" s="16">
        <v>1.426572</v>
      </c>
      <c r="I59" s="16">
        <v>4.9960481228264424</v>
      </c>
      <c r="J59" s="49">
        <v>8.4000000000000005E-2</v>
      </c>
      <c r="K59" s="16">
        <v>2.4778381526314099</v>
      </c>
      <c r="L59" s="16">
        <v>0.40167151412716778</v>
      </c>
      <c r="M59" s="16">
        <v>5.2322659123439301</v>
      </c>
    </row>
    <row r="60" spans="3:13">
      <c r="C60" s="26">
        <v>0.3</v>
      </c>
      <c r="D60" s="17">
        <v>5.8874400000000007</v>
      </c>
      <c r="E60" s="16">
        <v>19.608417501515429</v>
      </c>
      <c r="F60" s="16">
        <v>1.5945150000000001</v>
      </c>
      <c r="G60" s="16">
        <v>1.3167395351359947</v>
      </c>
      <c r="H60" s="16">
        <v>1.545453</v>
      </c>
      <c r="I60" s="16">
        <v>4.8865891907459886</v>
      </c>
      <c r="J60" s="49">
        <v>9.1000000000000011E-2</v>
      </c>
      <c r="K60" s="16">
        <v>1.2723050245145249</v>
      </c>
      <c r="L60" s="16">
        <v>0.43514414030443177</v>
      </c>
      <c r="M60" s="16">
        <v>5.240915875022214</v>
      </c>
    </row>
    <row r="61" spans="3:13">
      <c r="C61" s="26">
        <v>0.4</v>
      </c>
      <c r="D61" s="17">
        <v>6.3403200000000002</v>
      </c>
      <c r="E61" s="16">
        <v>24.406234673024787</v>
      </c>
      <c r="F61" s="16">
        <v>1.7171699999999999</v>
      </c>
      <c r="G61" s="16">
        <v>1.7330717852215849E-2</v>
      </c>
      <c r="H61" s="16">
        <v>1.6643339999999998</v>
      </c>
      <c r="I61" s="16">
        <v>4.7771302586655349</v>
      </c>
      <c r="J61" s="49">
        <v>9.8000000000000004E-2</v>
      </c>
      <c r="K61" s="16">
        <v>0.16150814157166088</v>
      </c>
      <c r="L61" s="16">
        <v>0.4686167664816957</v>
      </c>
      <c r="M61" s="16">
        <v>5.249565837700505</v>
      </c>
    </row>
    <row r="62" spans="3:13">
      <c r="C62" s="26">
        <v>0.5</v>
      </c>
      <c r="D62" s="17">
        <v>6.7932000000000006</v>
      </c>
      <c r="E62" s="16">
        <v>29.204051844534149</v>
      </c>
      <c r="F62" s="16">
        <v>1.839825</v>
      </c>
      <c r="G62" s="16">
        <v>-1.2820780994315712</v>
      </c>
      <c r="H62" s="16">
        <v>1.7832149999999998</v>
      </c>
      <c r="I62" s="16">
        <v>4.6676713265850793</v>
      </c>
      <c r="J62" s="49">
        <v>0.10500000000000001</v>
      </c>
      <c r="K62" s="16">
        <v>-0.86360607004229095</v>
      </c>
      <c r="L62" s="16">
        <v>0.50208939265895969</v>
      </c>
      <c r="M62" s="16">
        <v>5.2582158003788031</v>
      </c>
    </row>
    <row r="66" spans="3:9">
      <c r="C66" t="s">
        <v>3</v>
      </c>
    </row>
    <row r="67" spans="3:9">
      <c r="C67" t="s">
        <v>69</v>
      </c>
    </row>
    <row r="68" spans="3:9">
      <c r="D68" t="s">
        <v>110</v>
      </c>
      <c r="E68" s="16" t="s">
        <v>111</v>
      </c>
      <c r="F68" s="16" t="s">
        <v>112</v>
      </c>
      <c r="G68" s="16" t="s">
        <v>113</v>
      </c>
      <c r="H68" s="16" t="s">
        <v>114</v>
      </c>
      <c r="I68" s="16"/>
    </row>
    <row r="69" spans="3:9">
      <c r="C69" s="27">
        <v>-0.5</v>
      </c>
      <c r="D69" s="16">
        <v>-18.774119870559446</v>
      </c>
      <c r="E69" s="16">
        <v>11.712010073406274</v>
      </c>
      <c r="F69" s="16">
        <v>5.7622606473896179</v>
      </c>
      <c r="G69" s="16">
        <v>14.60242201952371</v>
      </c>
      <c r="H69" s="16">
        <v>5.1717161735959003</v>
      </c>
      <c r="I69" s="16"/>
    </row>
    <row r="70" spans="3:9">
      <c r="C70" s="27">
        <v>-0.4</v>
      </c>
      <c r="D70" s="16">
        <v>-13.976302699050084</v>
      </c>
      <c r="E70" s="16">
        <v>10.412601256122491</v>
      </c>
      <c r="F70" s="16">
        <v>5.6528017153091641</v>
      </c>
      <c r="G70" s="16">
        <v>12.366388087817406</v>
      </c>
      <c r="H70" s="16">
        <v>5.1803661362741842</v>
      </c>
      <c r="I70" s="16"/>
    </row>
    <row r="71" spans="3:9">
      <c r="C71" s="27">
        <v>-0.3</v>
      </c>
      <c r="D71" s="16">
        <v>-9.1784855275407278</v>
      </c>
      <c r="E71" s="16">
        <v>9.1131924388387073</v>
      </c>
      <c r="F71" s="16">
        <v>5.5433427832287103</v>
      </c>
      <c r="G71" s="16">
        <v>10.32918566980878</v>
      </c>
      <c r="H71" s="16">
        <v>5.1890160989524823</v>
      </c>
      <c r="I71" s="16"/>
    </row>
    <row r="72" spans="3:9">
      <c r="C72" s="27">
        <v>-0.2</v>
      </c>
      <c r="D72" s="16">
        <v>-4.3806683560313635</v>
      </c>
      <c r="E72" s="16">
        <v>7.8137836215549168</v>
      </c>
      <c r="F72" s="16">
        <v>5.4338838511482566</v>
      </c>
      <c r="G72" s="16">
        <v>8.4700928657221155</v>
      </c>
      <c r="H72" s="16">
        <v>5.1976660616307662</v>
      </c>
      <c r="I72" s="16"/>
    </row>
    <row r="73" spans="3:9">
      <c r="C73" s="27">
        <v>-0.15</v>
      </c>
      <c r="D73" s="16">
        <v>-1.9817597702766876</v>
      </c>
      <c r="E73" s="16">
        <v>7.1640792129130206</v>
      </c>
      <c r="F73" s="16">
        <v>5.3791543851080288</v>
      </c>
      <c r="G73" s="16">
        <v>7.6015217892142681</v>
      </c>
      <c r="H73" s="16">
        <v>5.2019910429699117</v>
      </c>
      <c r="I73" s="16"/>
    </row>
    <row r="74" spans="3:9">
      <c r="C74" s="27">
        <v>-0.1</v>
      </c>
      <c r="D74" s="16">
        <v>0.4171488154780022</v>
      </c>
      <c r="E74" s="16">
        <v>6.5143748042711325</v>
      </c>
      <c r="F74" s="16">
        <v>5.3244249190678019</v>
      </c>
      <c r="G74" s="16">
        <v>6.7707702823138671</v>
      </c>
      <c r="H74" s="16">
        <v>5.2063160243090572</v>
      </c>
      <c r="I74" s="16"/>
    </row>
    <row r="75" spans="3:9">
      <c r="C75" s="27">
        <v>-0.08</v>
      </c>
      <c r="D75" s="16">
        <v>1.3767122497798678</v>
      </c>
      <c r="E75" s="16">
        <v>6.2544930408143786</v>
      </c>
      <c r="F75" s="16">
        <v>5.3025331326517122</v>
      </c>
      <c r="G75" s="16">
        <v>6.4486142882231245</v>
      </c>
      <c r="H75" s="16">
        <v>5.2080460168447154</v>
      </c>
      <c r="I75" s="16"/>
    </row>
    <row r="76" spans="3:9">
      <c r="C76" s="27">
        <v>-0.05</v>
      </c>
      <c r="D76" s="16">
        <v>2.8160574012326731</v>
      </c>
      <c r="E76" s="16">
        <v>5.8646703956292372</v>
      </c>
      <c r="F76" s="16">
        <v>5.269695453027575</v>
      </c>
      <c r="G76" s="16">
        <v>5.9758697989388327</v>
      </c>
      <c r="H76" s="16">
        <v>5.2106410056482027</v>
      </c>
      <c r="I76" s="16"/>
    </row>
    <row r="77" spans="3:9">
      <c r="C77" s="27">
        <v>-0.02</v>
      </c>
      <c r="D77" s="16">
        <v>4.2554025526854709</v>
      </c>
      <c r="E77" s="16">
        <v>5.47484775044411</v>
      </c>
      <c r="F77" s="16">
        <v>5.2368577734034396</v>
      </c>
      <c r="G77" s="16">
        <v>5.5153620579008331</v>
      </c>
      <c r="H77" s="16">
        <v>5.2132359944516899</v>
      </c>
      <c r="I77" s="16"/>
    </row>
    <row r="78" spans="3:9">
      <c r="C78" s="27">
        <v>-0.01</v>
      </c>
      <c r="D78" s="16">
        <v>4.7351842698364131</v>
      </c>
      <c r="E78" s="16">
        <v>5.3449068687157286</v>
      </c>
      <c r="F78" s="16">
        <v>5.2259118801953957</v>
      </c>
      <c r="G78" s="16">
        <v>5.3645123736234268</v>
      </c>
      <c r="H78" s="16">
        <v>5.214100990719519</v>
      </c>
      <c r="I78" s="16"/>
    </row>
    <row r="79" spans="3:9">
      <c r="C79" s="27">
        <v>0</v>
      </c>
      <c r="D79" s="16">
        <v>5.2149659869873481</v>
      </c>
      <c r="E79" s="16">
        <v>5.2149659869873481</v>
      </c>
      <c r="F79" s="16">
        <v>5.2149659869873481</v>
      </c>
      <c r="G79" s="16">
        <v>5.2149659869873481</v>
      </c>
      <c r="H79" s="16">
        <v>5.2149659869873481</v>
      </c>
      <c r="I79" s="16"/>
    </row>
    <row r="80" spans="3:9">
      <c r="C80" s="27">
        <v>0.01</v>
      </c>
      <c r="D80" s="16">
        <v>5.6947477041382841</v>
      </c>
      <c r="E80" s="16">
        <v>5.0850251052589677</v>
      </c>
      <c r="F80" s="16">
        <v>5.2040200937793024</v>
      </c>
      <c r="G80" s="16">
        <v>5.0667092527219983</v>
      </c>
      <c r="H80" s="16">
        <v>5.2158309832551701</v>
      </c>
      <c r="I80" s="16"/>
    </row>
    <row r="81" spans="3:9">
      <c r="C81" s="27">
        <v>0.02</v>
      </c>
      <c r="D81" s="16">
        <v>6.1745294212892263</v>
      </c>
      <c r="E81" s="16">
        <v>4.9550842235305943</v>
      </c>
      <c r="F81" s="16">
        <v>5.1930742005712585</v>
      </c>
      <c r="G81" s="16">
        <v>4.919728685936855</v>
      </c>
      <c r="H81" s="16">
        <v>5.2166959795230063</v>
      </c>
      <c r="I81" s="16"/>
    </row>
    <row r="82" spans="3:9">
      <c r="C82" s="27">
        <v>0.05</v>
      </c>
      <c r="D82" s="16">
        <v>7.6138745727420325</v>
      </c>
      <c r="E82" s="16">
        <v>4.56526157834546</v>
      </c>
      <c r="F82" s="16">
        <v>5.160236520947123</v>
      </c>
      <c r="G82" s="16">
        <v>4.4863115043031119</v>
      </c>
      <c r="H82" s="16">
        <v>5.2192909683264936</v>
      </c>
      <c r="I82" s="16"/>
    </row>
    <row r="83" spans="3:9">
      <c r="C83" s="27">
        <v>0.08</v>
      </c>
      <c r="D83" s="16">
        <v>9.0532197241948378</v>
      </c>
      <c r="E83" s="16">
        <v>4.1754389331603186</v>
      </c>
      <c r="F83" s="16">
        <v>5.1273988413229858</v>
      </c>
      <c r="G83" s="16">
        <v>4.0639093443983896</v>
      </c>
      <c r="H83" s="16">
        <v>5.2218859571299809</v>
      </c>
      <c r="I83" s="16"/>
    </row>
    <row r="84" spans="3:9">
      <c r="C84" s="27">
        <v>0.1</v>
      </c>
      <c r="D84" s="16">
        <v>10.012783158496715</v>
      </c>
      <c r="E84" s="16">
        <v>3.915557169703558</v>
      </c>
      <c r="F84" s="16">
        <v>5.1055070549068962</v>
      </c>
      <c r="G84" s="16">
        <v>3.788259317886074</v>
      </c>
      <c r="H84" s="16">
        <v>5.2236159496656391</v>
      </c>
      <c r="I84" s="16"/>
    </row>
    <row r="85" spans="3:9">
      <c r="C85" s="27">
        <v>0.15</v>
      </c>
      <c r="D85" s="16">
        <v>12.411691744251383</v>
      </c>
      <c r="E85" s="16">
        <v>3.265852761061677</v>
      </c>
      <c r="F85" s="16">
        <v>5.0507775888666693</v>
      </c>
      <c r="G85" s="16">
        <v>3.1192564519024417</v>
      </c>
      <c r="H85" s="16">
        <v>5.2279409310047846</v>
      </c>
      <c r="I85" s="16"/>
    </row>
    <row r="86" spans="3:9">
      <c r="C86" s="27">
        <v>0.2</v>
      </c>
      <c r="D86" s="16">
        <v>14.810600330006059</v>
      </c>
      <c r="E86" s="16">
        <v>2.6161483524197817</v>
      </c>
      <c r="F86" s="16">
        <v>4.9960481228264424</v>
      </c>
      <c r="G86" s="16">
        <v>2.4778381526314099</v>
      </c>
      <c r="H86" s="16">
        <v>5.2322659123439301</v>
      </c>
      <c r="I86" s="16"/>
    </row>
    <row r="87" spans="3:9">
      <c r="C87" s="27">
        <v>0.3</v>
      </c>
      <c r="D87" s="16">
        <v>19.608417501515429</v>
      </c>
      <c r="E87" s="16">
        <v>1.3167395351359947</v>
      </c>
      <c r="F87" s="16">
        <v>4.8865891907459886</v>
      </c>
      <c r="G87" s="16">
        <v>1.2723050245145249</v>
      </c>
      <c r="H87" s="16">
        <v>5.240915875022214</v>
      </c>
      <c r="I87" s="16"/>
    </row>
    <row r="88" spans="3:9">
      <c r="C88" s="27">
        <v>0.4</v>
      </c>
      <c r="D88" s="16">
        <v>24.406234673024787</v>
      </c>
      <c r="E88" s="16">
        <v>1.7330717852215849E-2</v>
      </c>
      <c r="F88" s="16">
        <v>4.7771302586655349</v>
      </c>
      <c r="G88" s="16">
        <v>0.16150814157166088</v>
      </c>
      <c r="H88" s="16">
        <v>5.249565837700505</v>
      </c>
      <c r="I88" s="16"/>
    </row>
    <row r="89" spans="3:9">
      <c r="C89" s="27">
        <v>0.5</v>
      </c>
      <c r="D89" s="16">
        <v>29.204051844534149</v>
      </c>
      <c r="E89" s="16">
        <v>-1.2820780994315712</v>
      </c>
      <c r="F89" s="16">
        <v>4.6676713265850793</v>
      </c>
      <c r="G89" s="16">
        <v>-0.86360607004229095</v>
      </c>
      <c r="H89" s="16">
        <v>5.2582158003788031</v>
      </c>
      <c r="I89" s="16"/>
    </row>
    <row r="93" spans="3:9">
      <c r="D93" t="s">
        <v>110</v>
      </c>
      <c r="E93" s="16" t="s">
        <v>111</v>
      </c>
      <c r="F93" s="16" t="s">
        <v>112</v>
      </c>
      <c r="G93" s="16" t="s">
        <v>113</v>
      </c>
      <c r="H93" s="16" t="s">
        <v>114</v>
      </c>
      <c r="I93" s="16"/>
    </row>
    <row r="94" spans="3:9">
      <c r="C94" s="27">
        <v>-0.5</v>
      </c>
    </row>
    <row r="95" spans="3:9">
      <c r="C95" s="27">
        <v>-0.4</v>
      </c>
    </row>
    <row r="96" spans="3:9">
      <c r="C96" s="27">
        <v>-0.3</v>
      </c>
      <c r="G96" s="16">
        <v>10.32918566980878</v>
      </c>
    </row>
    <row r="97" spans="3:8">
      <c r="C97" s="27">
        <v>-0.2</v>
      </c>
    </row>
    <row r="98" spans="3:8">
      <c r="C98" s="27">
        <v>-0.15</v>
      </c>
      <c r="H98" s="16">
        <v>5.2019910429699117</v>
      </c>
    </row>
    <row r="99" spans="3:8">
      <c r="C99" s="27">
        <v>-0.1</v>
      </c>
      <c r="D99" s="16">
        <v>0.4171488154780022</v>
      </c>
    </row>
    <row r="100" spans="3:8">
      <c r="C100" s="27">
        <v>-0.08</v>
      </c>
      <c r="E100" s="16">
        <v>6.2544930408143786</v>
      </c>
    </row>
    <row r="101" spans="3:8">
      <c r="C101" s="27">
        <v>-0.05</v>
      </c>
      <c r="F101" s="16">
        <v>5.269695453027575</v>
      </c>
    </row>
    <row r="102" spans="3:8">
      <c r="C102" s="27">
        <v>-0.02</v>
      </c>
    </row>
    <row r="103" spans="3:8">
      <c r="C103" s="27">
        <v>-0.01</v>
      </c>
    </row>
    <row r="104" spans="3:8">
      <c r="C104" s="27">
        <v>0</v>
      </c>
    </row>
    <row r="105" spans="3:8">
      <c r="C105" s="27">
        <v>0.01</v>
      </c>
    </row>
    <row r="106" spans="3:8">
      <c r="C106" s="27">
        <v>0.02</v>
      </c>
    </row>
    <row r="107" spans="3:8">
      <c r="C107" s="27">
        <v>0.05</v>
      </c>
      <c r="F107" s="16">
        <v>5.160236520947123</v>
      </c>
    </row>
    <row r="108" spans="3:8">
      <c r="C108" s="27">
        <v>0.08</v>
      </c>
      <c r="E108" s="16">
        <v>4.1754389331603186</v>
      </c>
    </row>
    <row r="109" spans="3:8">
      <c r="C109" s="27">
        <v>0.1</v>
      </c>
      <c r="D109" s="16">
        <v>10.012783158496715</v>
      </c>
    </row>
    <row r="110" spans="3:8">
      <c r="C110" s="27">
        <v>0.15</v>
      </c>
      <c r="H110" s="16">
        <v>5.2279409310047846</v>
      </c>
    </row>
    <row r="111" spans="3:8">
      <c r="C111" s="27">
        <v>0.2</v>
      </c>
    </row>
    <row r="112" spans="3:8">
      <c r="C112" s="27">
        <v>0.3</v>
      </c>
      <c r="G112" s="16">
        <v>1.2723050245145249</v>
      </c>
    </row>
    <row r="113" spans="3:3">
      <c r="C113" s="27">
        <v>0.4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M113"/>
  <sheetViews>
    <sheetView topLeftCell="B62" workbookViewId="0" xr3:uid="{9B253EF2-77E0-53E3-AE26-4D66ECD923F3}">
      <selection activeCell="F115" sqref="F115"/>
    </sheetView>
  </sheetViews>
  <sheetFormatPr defaultRowHeight="15"/>
  <cols>
    <col min="3" max="3" width="21" customWidth="1"/>
    <col min="4" max="4" width="13.85546875" customWidth="1"/>
    <col min="5" max="5" width="14.7109375" customWidth="1"/>
    <col min="6" max="6" width="18.42578125" customWidth="1"/>
    <col min="7" max="7" width="11.140625" customWidth="1"/>
    <col min="8" max="8" width="19.28515625" customWidth="1"/>
    <col min="9" max="9" width="12.5703125" customWidth="1"/>
  </cols>
  <sheetData>
    <row r="3" spans="3:9">
      <c r="C3" s="47" t="s">
        <v>4</v>
      </c>
    </row>
    <row r="5" spans="3:9">
      <c r="C5" s="47" t="s">
        <v>101</v>
      </c>
    </row>
    <row r="7" spans="3:9">
      <c r="C7" s="51" t="s">
        <v>34</v>
      </c>
      <c r="D7" s="16">
        <f>Datasheet!I24</f>
        <v>3.1492200000000001</v>
      </c>
      <c r="F7" s="50" t="s">
        <v>102</v>
      </c>
      <c r="G7" s="53">
        <f>-Datasheet!I14-PV(D10,20,D7-D8,D11)+PV('SA1'!D10,8,0,D9)+PV('SA1'!D10,16,0,D9)+PV(D10,7,0,Datasheet!I19)+PV(D10,19,Datasheet!I21)+PV(D10,20,0,Datasheet!I22)</f>
        <v>3.7405178172099141</v>
      </c>
      <c r="H7" s="52"/>
    </row>
    <row r="8" spans="3:9">
      <c r="C8" t="s">
        <v>103</v>
      </c>
      <c r="D8" s="16">
        <f>Datasheet!I15</f>
        <v>0.52486999999999995</v>
      </c>
    </row>
    <row r="9" spans="3:9">
      <c r="C9" t="s">
        <v>104</v>
      </c>
      <c r="D9" s="16">
        <f>Datasheet!I16</f>
        <v>0.31492199999999998</v>
      </c>
    </row>
    <row r="10" spans="3:9">
      <c r="C10" t="s">
        <v>105</v>
      </c>
      <c r="D10" s="48">
        <f>Datasheet!C36</f>
        <v>7.0000000000000007E-2</v>
      </c>
    </row>
    <row r="11" spans="3:9">
      <c r="C11" t="s">
        <v>106</v>
      </c>
      <c r="D11" s="17">
        <f>Datasheet!I25</f>
        <v>0.30283538353801265</v>
      </c>
    </row>
    <row r="12" spans="3:9">
      <c r="C12" s="51" t="s">
        <v>107</v>
      </c>
      <c r="D12" s="49">
        <v>1.7899999999999999E-2</v>
      </c>
    </row>
    <row r="15" spans="3:9">
      <c r="C15" t="s">
        <v>108</v>
      </c>
      <c r="D15" t="s">
        <v>34</v>
      </c>
      <c r="E15" t="s">
        <v>103</v>
      </c>
      <c r="F15" t="s">
        <v>104</v>
      </c>
      <c r="G15" t="s">
        <v>105</v>
      </c>
      <c r="H15" t="s">
        <v>109</v>
      </c>
      <c r="I15" t="s">
        <v>107</v>
      </c>
    </row>
    <row r="16" spans="3:9">
      <c r="C16" s="26">
        <v>-0.5</v>
      </c>
      <c r="D16" s="16">
        <f>$D$7*(1+C16)</f>
        <v>1.5746100000000001</v>
      </c>
      <c r="E16" s="16">
        <f>$D$8*(1+C16)</f>
        <v>0.26243499999999997</v>
      </c>
      <c r="F16" s="16">
        <f>$D$9*(1+C16)</f>
        <v>0.15746099999999999</v>
      </c>
      <c r="G16" s="25">
        <f>$D$10*(1+C16)</f>
        <v>3.5000000000000003E-2</v>
      </c>
      <c r="H16" s="16">
        <f>$D$11*(1+C16)</f>
        <v>0.15141769176900632</v>
      </c>
      <c r="I16" s="25">
        <f>$D$12*(1+C16)</f>
        <v>8.9499999999999996E-3</v>
      </c>
    </row>
    <row r="17" spans="3:9">
      <c r="C17" s="26">
        <v>-0.4</v>
      </c>
      <c r="D17" s="16">
        <f t="shared" ref="D17:D36" si="0">$D$7*(1+C17)</f>
        <v>1.889532</v>
      </c>
      <c r="E17" s="16">
        <f t="shared" ref="E17:E36" si="1">$D$8*(1+C17)</f>
        <v>0.31492199999999998</v>
      </c>
      <c r="F17" s="16">
        <f t="shared" ref="F17:F30" si="2">$D$9*(1+C17)</f>
        <v>0.18895319999999999</v>
      </c>
      <c r="G17" s="25">
        <f t="shared" ref="G17:G36" si="3">$D$10*(1+C17)</f>
        <v>4.2000000000000003E-2</v>
      </c>
      <c r="H17" s="16">
        <f t="shared" ref="H17:H36" si="4">$D$11*(1+C17)</f>
        <v>0.18170123012280759</v>
      </c>
      <c r="I17" s="25">
        <f t="shared" ref="I17:I36" si="5">$D$12*(1+C17)</f>
        <v>1.074E-2</v>
      </c>
    </row>
    <row r="18" spans="3:9">
      <c r="C18" s="26">
        <v>-0.3</v>
      </c>
      <c r="D18" s="16">
        <f t="shared" si="0"/>
        <v>2.2044540000000001</v>
      </c>
      <c r="E18" s="16">
        <f t="shared" si="1"/>
        <v>0.36740899999999993</v>
      </c>
      <c r="F18" s="16">
        <f t="shared" si="2"/>
        <v>0.22044539999999996</v>
      </c>
      <c r="G18" s="25">
        <f t="shared" si="3"/>
        <v>4.9000000000000002E-2</v>
      </c>
      <c r="H18" s="16">
        <f t="shared" si="4"/>
        <v>0.21198476847660885</v>
      </c>
      <c r="I18" s="25">
        <f t="shared" si="5"/>
        <v>1.2529999999999999E-2</v>
      </c>
    </row>
    <row r="19" spans="3:9">
      <c r="C19" s="26">
        <v>-0.2</v>
      </c>
      <c r="D19" s="16">
        <f t="shared" si="0"/>
        <v>2.5193760000000003</v>
      </c>
      <c r="E19" s="16">
        <f t="shared" si="1"/>
        <v>0.41989599999999999</v>
      </c>
      <c r="F19" s="16">
        <f t="shared" si="2"/>
        <v>0.25193759999999998</v>
      </c>
      <c r="G19" s="25">
        <f t="shared" si="3"/>
        <v>5.6000000000000008E-2</v>
      </c>
      <c r="H19" s="16">
        <f t="shared" si="4"/>
        <v>0.24226830683041012</v>
      </c>
      <c r="I19" s="25">
        <f t="shared" si="5"/>
        <v>1.4319999999999999E-2</v>
      </c>
    </row>
    <row r="20" spans="3:9">
      <c r="C20" s="26">
        <v>-0.15</v>
      </c>
      <c r="D20" s="16">
        <f t="shared" si="0"/>
        <v>2.6768369999999999</v>
      </c>
      <c r="E20" s="16">
        <f t="shared" si="1"/>
        <v>0.44613949999999997</v>
      </c>
      <c r="F20" s="16">
        <f t="shared" si="2"/>
        <v>0.26768369999999997</v>
      </c>
      <c r="G20" s="25">
        <f t="shared" si="3"/>
        <v>5.9500000000000004E-2</v>
      </c>
      <c r="H20" s="16">
        <f t="shared" si="4"/>
        <v>0.25741007600731075</v>
      </c>
      <c r="I20" s="25">
        <f t="shared" si="5"/>
        <v>1.5214999999999999E-2</v>
      </c>
    </row>
    <row r="21" spans="3:9">
      <c r="C21" s="26">
        <v>-0.1</v>
      </c>
      <c r="D21" s="16">
        <f t="shared" si="0"/>
        <v>2.834298</v>
      </c>
      <c r="E21" s="16">
        <f t="shared" si="1"/>
        <v>0.47238299999999994</v>
      </c>
      <c r="F21" s="16">
        <f t="shared" si="2"/>
        <v>0.28342980000000001</v>
      </c>
      <c r="G21" s="25">
        <f t="shared" si="3"/>
        <v>6.3000000000000014E-2</v>
      </c>
      <c r="H21" s="16">
        <f t="shared" si="4"/>
        <v>0.27255184518421138</v>
      </c>
      <c r="I21" s="25">
        <f t="shared" si="5"/>
        <v>1.6109999999999999E-2</v>
      </c>
    </row>
    <row r="22" spans="3:9">
      <c r="C22" s="26">
        <v>-0.08</v>
      </c>
      <c r="D22" s="16">
        <f t="shared" si="0"/>
        <v>2.8972824000000004</v>
      </c>
      <c r="E22" s="16">
        <f t="shared" si="1"/>
        <v>0.48288039999999999</v>
      </c>
      <c r="F22" s="16">
        <f t="shared" si="2"/>
        <v>0.28972823999999997</v>
      </c>
      <c r="G22" s="25">
        <f t="shared" si="3"/>
        <v>6.4400000000000013E-2</v>
      </c>
      <c r="H22" s="16">
        <f t="shared" si="4"/>
        <v>0.27860855285497166</v>
      </c>
      <c r="I22" s="25">
        <f t="shared" si="5"/>
        <v>1.6468E-2</v>
      </c>
    </row>
    <row r="23" spans="3:9">
      <c r="C23" s="26">
        <v>-0.05</v>
      </c>
      <c r="D23" s="16">
        <f t="shared" si="0"/>
        <v>2.9917590000000001</v>
      </c>
      <c r="E23" s="16">
        <f t="shared" si="1"/>
        <v>0.49862649999999992</v>
      </c>
      <c r="F23" s="16">
        <f t="shared" si="2"/>
        <v>0.29917589999999994</v>
      </c>
      <c r="G23" s="25">
        <f t="shared" si="3"/>
        <v>6.6500000000000004E-2</v>
      </c>
      <c r="H23" s="16">
        <f t="shared" si="4"/>
        <v>0.28769361436111202</v>
      </c>
      <c r="I23" s="25">
        <f t="shared" si="5"/>
        <v>1.7004999999999999E-2</v>
      </c>
    </row>
    <row r="24" spans="3:9">
      <c r="C24" s="26">
        <v>-0.02</v>
      </c>
      <c r="D24" s="16">
        <f t="shared" si="0"/>
        <v>3.0862356000000002</v>
      </c>
      <c r="E24" s="16">
        <f t="shared" si="1"/>
        <v>0.51437259999999996</v>
      </c>
      <c r="F24" s="16">
        <f t="shared" si="2"/>
        <v>0.30862355999999996</v>
      </c>
      <c r="G24" s="25">
        <f t="shared" si="3"/>
        <v>6.8600000000000008E-2</v>
      </c>
      <c r="H24" s="16">
        <f t="shared" si="4"/>
        <v>0.29677867586725237</v>
      </c>
      <c r="I24" s="25">
        <f t="shared" si="5"/>
        <v>1.7541999999999999E-2</v>
      </c>
    </row>
    <row r="25" spans="3:9">
      <c r="C25" s="26">
        <v>-0.01</v>
      </c>
      <c r="D25" s="16">
        <f t="shared" si="0"/>
        <v>3.1177277999999999</v>
      </c>
      <c r="E25" s="16">
        <f t="shared" si="1"/>
        <v>0.51962129999999995</v>
      </c>
      <c r="F25" s="16">
        <f t="shared" si="2"/>
        <v>0.31177277999999997</v>
      </c>
      <c r="G25" s="25">
        <f t="shared" si="3"/>
        <v>6.93E-2</v>
      </c>
      <c r="H25" s="16">
        <f t="shared" si="4"/>
        <v>0.29980702970263251</v>
      </c>
      <c r="I25" s="25">
        <f t="shared" si="5"/>
        <v>1.7721000000000001E-2</v>
      </c>
    </row>
    <row r="26" spans="3:9">
      <c r="C26" s="26">
        <v>0</v>
      </c>
      <c r="D26" s="16">
        <f t="shared" si="0"/>
        <v>3.1492200000000001</v>
      </c>
      <c r="E26" s="16">
        <f t="shared" si="1"/>
        <v>0.52486999999999995</v>
      </c>
      <c r="F26" s="16">
        <f t="shared" si="2"/>
        <v>0.31492199999999998</v>
      </c>
      <c r="G26" s="25">
        <f t="shared" si="3"/>
        <v>7.0000000000000007E-2</v>
      </c>
      <c r="H26" s="16">
        <f t="shared" si="4"/>
        <v>0.30283538353801265</v>
      </c>
      <c r="I26" s="25">
        <f t="shared" si="5"/>
        <v>1.7899999999999999E-2</v>
      </c>
    </row>
    <row r="27" spans="3:9">
      <c r="C27" s="26">
        <v>0.01</v>
      </c>
      <c r="D27" s="16">
        <f t="shared" si="0"/>
        <v>3.1807122000000003</v>
      </c>
      <c r="E27" s="16">
        <f t="shared" si="1"/>
        <v>0.53011869999999994</v>
      </c>
      <c r="F27" s="16">
        <f t="shared" si="2"/>
        <v>0.31807121999999999</v>
      </c>
      <c r="G27" s="25">
        <f t="shared" si="3"/>
        <v>7.0700000000000013E-2</v>
      </c>
      <c r="H27" s="16">
        <f t="shared" si="4"/>
        <v>0.30586373737339279</v>
      </c>
      <c r="I27" s="25">
        <f t="shared" si="5"/>
        <v>1.8078999999999998E-2</v>
      </c>
    </row>
    <row r="28" spans="3:9">
      <c r="C28" s="26">
        <v>0.02</v>
      </c>
      <c r="D28" s="16">
        <f t="shared" si="0"/>
        <v>3.2122044000000001</v>
      </c>
      <c r="E28" s="16">
        <f t="shared" si="1"/>
        <v>0.53536739999999994</v>
      </c>
      <c r="F28" s="16">
        <f t="shared" si="2"/>
        <v>0.32122044</v>
      </c>
      <c r="G28" s="25">
        <f t="shared" si="3"/>
        <v>7.1400000000000005E-2</v>
      </c>
      <c r="H28" s="16">
        <f t="shared" si="4"/>
        <v>0.30889209120877292</v>
      </c>
      <c r="I28" s="25">
        <f t="shared" si="5"/>
        <v>1.8258E-2</v>
      </c>
    </row>
    <row r="29" spans="3:9">
      <c r="C29" s="26">
        <v>0.05</v>
      </c>
      <c r="D29" s="16">
        <f t="shared" si="0"/>
        <v>3.3066810000000002</v>
      </c>
      <c r="E29" s="16">
        <f t="shared" si="1"/>
        <v>0.55111349999999992</v>
      </c>
      <c r="F29" s="16">
        <f t="shared" si="2"/>
        <v>0.33066810000000002</v>
      </c>
      <c r="G29" s="25">
        <f t="shared" si="3"/>
        <v>7.350000000000001E-2</v>
      </c>
      <c r="H29" s="16">
        <f t="shared" si="4"/>
        <v>0.31797715271491328</v>
      </c>
      <c r="I29" s="25">
        <f t="shared" si="5"/>
        <v>1.8794999999999999E-2</v>
      </c>
    </row>
    <row r="30" spans="3:9">
      <c r="C30" s="26">
        <v>0.08</v>
      </c>
      <c r="D30" s="16">
        <f t="shared" si="0"/>
        <v>3.4011576000000003</v>
      </c>
      <c r="E30" s="16">
        <f t="shared" si="1"/>
        <v>0.56685960000000002</v>
      </c>
      <c r="F30" s="16">
        <f t="shared" si="2"/>
        <v>0.34011575999999999</v>
      </c>
      <c r="G30" s="25">
        <f t="shared" si="3"/>
        <v>7.5600000000000014E-2</v>
      </c>
      <c r="H30" s="16">
        <f t="shared" si="4"/>
        <v>0.32706221422105369</v>
      </c>
      <c r="I30" s="25">
        <f t="shared" si="5"/>
        <v>1.9332000000000002E-2</v>
      </c>
    </row>
    <row r="31" spans="3:9">
      <c r="C31" s="26">
        <v>0.1</v>
      </c>
      <c r="D31" s="16">
        <f t="shared" si="0"/>
        <v>3.4641420000000003</v>
      </c>
      <c r="E31" s="16">
        <f t="shared" si="1"/>
        <v>0.57735700000000001</v>
      </c>
      <c r="F31" s="16">
        <f>$D$9*(1+C31)</f>
        <v>0.34641420000000001</v>
      </c>
      <c r="G31" s="25">
        <f t="shared" si="3"/>
        <v>7.7000000000000013E-2</v>
      </c>
      <c r="H31" s="16">
        <f t="shared" si="4"/>
        <v>0.33311892189181391</v>
      </c>
      <c r="I31" s="25">
        <f t="shared" si="5"/>
        <v>1.9689999999999999E-2</v>
      </c>
    </row>
    <row r="32" spans="3:9">
      <c r="C32" s="26">
        <v>0.15</v>
      </c>
      <c r="D32" s="16">
        <f t="shared" si="0"/>
        <v>3.6216029999999999</v>
      </c>
      <c r="E32" s="16">
        <f t="shared" si="1"/>
        <v>0.60360049999999987</v>
      </c>
      <c r="F32" s="16">
        <f>$D$9*(1+C32)</f>
        <v>0.36216029999999994</v>
      </c>
      <c r="G32" s="25">
        <f t="shared" si="3"/>
        <v>8.0500000000000002E-2</v>
      </c>
      <c r="H32" s="16">
        <f t="shared" si="4"/>
        <v>0.34826069106871455</v>
      </c>
      <c r="I32" s="25">
        <f t="shared" si="5"/>
        <v>2.0584999999999999E-2</v>
      </c>
    </row>
    <row r="33" spans="3:13">
      <c r="C33" s="26">
        <v>0.2</v>
      </c>
      <c r="D33" s="16">
        <f t="shared" si="0"/>
        <v>3.779064</v>
      </c>
      <c r="E33" s="16">
        <f t="shared" si="1"/>
        <v>0.62984399999999996</v>
      </c>
      <c r="F33" s="16">
        <f t="shared" ref="F33:F35" si="6">$D$9*(1+C33)</f>
        <v>0.37790639999999998</v>
      </c>
      <c r="G33" s="25">
        <f t="shared" si="3"/>
        <v>8.4000000000000005E-2</v>
      </c>
      <c r="H33" s="16">
        <f t="shared" si="4"/>
        <v>0.36340246024561518</v>
      </c>
      <c r="I33" s="25">
        <f t="shared" si="5"/>
        <v>2.1479999999999999E-2</v>
      </c>
    </row>
    <row r="34" spans="3:13">
      <c r="C34" s="26">
        <v>0.3</v>
      </c>
      <c r="D34" s="16">
        <f t="shared" si="0"/>
        <v>4.0939860000000001</v>
      </c>
      <c r="E34" s="16">
        <f t="shared" si="1"/>
        <v>0.68233099999999991</v>
      </c>
      <c r="F34" s="16">
        <f t="shared" si="6"/>
        <v>0.4093986</v>
      </c>
      <c r="G34" s="25">
        <f t="shared" si="3"/>
        <v>9.1000000000000011E-2</v>
      </c>
      <c r="H34" s="16">
        <f t="shared" si="4"/>
        <v>0.39368599859941644</v>
      </c>
      <c r="I34" s="25">
        <f t="shared" si="5"/>
        <v>2.3269999999999999E-2</v>
      </c>
    </row>
    <row r="35" spans="3:13">
      <c r="C35" s="26">
        <v>0.4</v>
      </c>
      <c r="D35" s="16">
        <f t="shared" si="0"/>
        <v>4.4089080000000003</v>
      </c>
      <c r="E35" s="16">
        <f t="shared" si="1"/>
        <v>0.73481799999999986</v>
      </c>
      <c r="F35" s="16">
        <f t="shared" si="6"/>
        <v>0.44089079999999992</v>
      </c>
      <c r="G35" s="25">
        <f t="shared" si="3"/>
        <v>9.8000000000000004E-2</v>
      </c>
      <c r="H35" s="16">
        <f t="shared" si="4"/>
        <v>0.42396953695321771</v>
      </c>
      <c r="I35" s="25">
        <f t="shared" si="5"/>
        <v>2.5059999999999999E-2</v>
      </c>
    </row>
    <row r="36" spans="3:13">
      <c r="C36" s="26">
        <v>0.5</v>
      </c>
      <c r="D36" s="16">
        <f t="shared" si="0"/>
        <v>4.7238300000000004</v>
      </c>
      <c r="E36" s="16">
        <f t="shared" si="1"/>
        <v>0.78730499999999992</v>
      </c>
      <c r="F36" s="16">
        <f>$D$9*(1+C36)</f>
        <v>0.472383</v>
      </c>
      <c r="G36" s="25">
        <f t="shared" si="3"/>
        <v>0.10500000000000001</v>
      </c>
      <c r="H36" s="16">
        <f t="shared" si="4"/>
        <v>0.45425307530701897</v>
      </c>
      <c r="I36" s="25">
        <f t="shared" si="5"/>
        <v>2.6849999999999999E-2</v>
      </c>
    </row>
    <row r="41" spans="3:13">
      <c r="C41" t="s">
        <v>108</v>
      </c>
      <c r="D41" s="16" t="s">
        <v>34</v>
      </c>
      <c r="E41" s="16">
        <f>G7</f>
        <v>3.7405178172099141</v>
      </c>
      <c r="F41" s="16" t="s">
        <v>103</v>
      </c>
      <c r="G41" s="16">
        <f>G7</f>
        <v>3.7405178172099141</v>
      </c>
      <c r="H41" s="16" t="s">
        <v>104</v>
      </c>
      <c r="I41" s="16">
        <f>G7</f>
        <v>3.7405178172099141</v>
      </c>
      <c r="J41" t="s">
        <v>105</v>
      </c>
      <c r="K41" s="16">
        <f>G7</f>
        <v>3.7405178172099141</v>
      </c>
      <c r="L41" s="16" t="s">
        <v>109</v>
      </c>
      <c r="M41" s="16">
        <f>G7</f>
        <v>3.7405178172099141</v>
      </c>
    </row>
    <row r="42" spans="3:13">
      <c r="C42" s="26">
        <v>-0.5</v>
      </c>
      <c r="D42" s="16">
        <v>1.5746100000000001</v>
      </c>
      <c r="E42" s="16">
        <f t="dataTable" ref="E42:E62" dt2D="0" dtr="0" r1="D7" ca="1"/>
        <v>-12.940922953922287</v>
      </c>
      <c r="F42" s="16">
        <v>0.26243499999999997</v>
      </c>
      <c r="G42" s="16">
        <f t="dataTable" ref="G42:G62" dt2D="0" dtr="0" r1="D8"/>
        <v>6.5207579457319449</v>
      </c>
      <c r="H42" s="16">
        <v>0.15746099999999999</v>
      </c>
      <c r="I42" s="16">
        <f t="dataTable" ref="I42:I62" dt2D="0" dtr="0" r1="D9" ca="1"/>
        <v>3.885499041327479</v>
      </c>
      <c r="J42" s="49">
        <v>3.5000000000000003E-2</v>
      </c>
      <c r="K42" s="16">
        <f t="dataTable" ref="K42:K62" dt2D="0" dtr="0" r1="D10" ca="1"/>
        <v>11.234765423780884</v>
      </c>
      <c r="L42" s="16">
        <v>0.15141769176900632</v>
      </c>
      <c r="M42" s="16">
        <f t="dataTable" ref="M42:M62" dt2D="0" dtr="0" r1="D11" ca="1"/>
        <v>3.7013886082945908</v>
      </c>
    </row>
    <row r="43" spans="3:13">
      <c r="C43" s="26">
        <v>-0.4</v>
      </c>
      <c r="D43" s="16">
        <v>1.889532</v>
      </c>
      <c r="E43" s="16">
        <v>-9.6046347996958481</v>
      </c>
      <c r="F43" s="16">
        <v>0.31492199999999998</v>
      </c>
      <c r="G43" s="16">
        <v>5.9647099200275351</v>
      </c>
      <c r="H43" s="16">
        <v>0.18895319999999999</v>
      </c>
      <c r="I43" s="16">
        <v>3.8565027965039671</v>
      </c>
      <c r="J43" s="49">
        <v>4.2000000000000003E-2</v>
      </c>
      <c r="K43" s="16">
        <v>9.4575599311248215</v>
      </c>
      <c r="L43" s="16">
        <v>0.18170123012280759</v>
      </c>
      <c r="M43" s="16">
        <v>3.709214450077654</v>
      </c>
    </row>
    <row r="44" spans="3:13">
      <c r="C44" s="26">
        <v>-0.3</v>
      </c>
      <c r="D44" s="16">
        <v>2.2044540000000001</v>
      </c>
      <c r="E44" s="16">
        <v>-6.2683466454694088</v>
      </c>
      <c r="F44" s="16">
        <v>0.36740899999999993</v>
      </c>
      <c r="G44" s="16">
        <v>5.4086618943231324</v>
      </c>
      <c r="H44" s="16">
        <v>0.22044539999999996</v>
      </c>
      <c r="I44" s="16">
        <v>3.8275065516804552</v>
      </c>
      <c r="J44" s="49">
        <v>4.9000000000000002E-2</v>
      </c>
      <c r="K44" s="16">
        <v>7.8343988225449159</v>
      </c>
      <c r="L44" s="16">
        <v>0.21198476847660885</v>
      </c>
      <c r="M44" s="16">
        <v>3.7170402918607208</v>
      </c>
    </row>
    <row r="45" spans="3:13">
      <c r="C45" s="26">
        <v>-0.2</v>
      </c>
      <c r="D45" s="16">
        <v>2.5193760000000003</v>
      </c>
      <c r="E45" s="16">
        <v>-2.9320584912429637</v>
      </c>
      <c r="F45" s="16">
        <v>0.41989599999999999</v>
      </c>
      <c r="G45" s="16">
        <v>4.8526138686187226</v>
      </c>
      <c r="H45" s="16">
        <v>0.25193759999999998</v>
      </c>
      <c r="I45" s="16">
        <v>3.7985103068569415</v>
      </c>
      <c r="J45" s="49">
        <v>5.6000000000000008E-2</v>
      </c>
      <c r="K45" s="16">
        <v>6.3495473344903726</v>
      </c>
      <c r="L45" s="16">
        <v>0.24226830683041012</v>
      </c>
      <c r="M45" s="16">
        <v>3.724866133643784</v>
      </c>
    </row>
    <row r="46" spans="3:13">
      <c r="C46" s="26">
        <v>-0.15</v>
      </c>
      <c r="D46" s="16">
        <v>2.6768369999999999</v>
      </c>
      <c r="E46" s="16">
        <v>-1.263914414129748</v>
      </c>
      <c r="F46" s="16">
        <v>0.44613949999999997</v>
      </c>
      <c r="G46" s="16">
        <v>4.5745898557665194</v>
      </c>
      <c r="H46" s="16">
        <v>0.26768369999999997</v>
      </c>
      <c r="I46" s="16">
        <v>3.7840121844451846</v>
      </c>
      <c r="J46" s="49">
        <v>5.9500000000000004E-2</v>
      </c>
      <c r="K46" s="16">
        <v>5.6545635116147395</v>
      </c>
      <c r="L46" s="16">
        <v>0.25741007600731075</v>
      </c>
      <c r="M46" s="16">
        <v>3.7287790545353139</v>
      </c>
    </row>
    <row r="47" spans="3:13">
      <c r="C47" s="26">
        <v>-0.1</v>
      </c>
      <c r="D47" s="16">
        <v>2.834298</v>
      </c>
      <c r="E47" s="16">
        <v>0.40422966298347085</v>
      </c>
      <c r="F47" s="16">
        <v>0.47238299999999994</v>
      </c>
      <c r="G47" s="16">
        <v>4.2965658429143199</v>
      </c>
      <c r="H47" s="16">
        <v>0.28342980000000001</v>
      </c>
      <c r="I47" s="16">
        <v>3.7695140620334278</v>
      </c>
      <c r="J47" s="49">
        <v>6.3000000000000014E-2</v>
      </c>
      <c r="K47" s="16">
        <v>4.9890509206621658</v>
      </c>
      <c r="L47" s="16">
        <v>0.27255184518421138</v>
      </c>
      <c r="M47" s="16">
        <v>3.7326919754268473</v>
      </c>
    </row>
    <row r="48" spans="3:13">
      <c r="C48" s="26">
        <v>-0.08</v>
      </c>
      <c r="D48" s="16">
        <v>2.8972824000000004</v>
      </c>
      <c r="E48" s="16">
        <v>1.0714872938287625</v>
      </c>
      <c r="F48" s="16">
        <v>0.48288039999999999</v>
      </c>
      <c r="G48" s="16">
        <v>4.1853562377734379</v>
      </c>
      <c r="H48" s="16">
        <v>0.28972823999999997</v>
      </c>
      <c r="I48" s="16">
        <v>3.763714813068725</v>
      </c>
      <c r="J48" s="49">
        <v>6.4400000000000013E-2</v>
      </c>
      <c r="K48" s="16">
        <v>4.7307584845423811</v>
      </c>
      <c r="L48" s="16">
        <v>0.27860855285497166</v>
      </c>
      <c r="M48" s="16">
        <v>3.7342571437834642</v>
      </c>
    </row>
    <row r="49" spans="3:13">
      <c r="C49" s="26">
        <v>-0.05</v>
      </c>
      <c r="D49" s="16">
        <v>2.9917590000000001</v>
      </c>
      <c r="E49" s="16">
        <v>2.0723737400966935</v>
      </c>
      <c r="F49" s="16">
        <v>0.49862649999999992</v>
      </c>
      <c r="G49" s="16">
        <v>4.0185418300621167</v>
      </c>
      <c r="H49" s="16">
        <v>0.29917589999999994</v>
      </c>
      <c r="I49" s="16">
        <v>3.7550159396216709</v>
      </c>
      <c r="J49" s="49">
        <v>6.6500000000000004E-2</v>
      </c>
      <c r="K49" s="16">
        <v>4.3515077418880814</v>
      </c>
      <c r="L49" s="16">
        <v>0.28769361436111202</v>
      </c>
      <c r="M49" s="16">
        <v>3.7366048963183807</v>
      </c>
    </row>
    <row r="50" spans="3:13">
      <c r="C50" s="26">
        <v>-0.02</v>
      </c>
      <c r="D50" s="16">
        <v>3.0862356000000002</v>
      </c>
      <c r="E50" s="16">
        <v>3.0732601863646258</v>
      </c>
      <c r="F50" s="16">
        <v>0.51437259999999996</v>
      </c>
      <c r="G50" s="16">
        <v>3.8517274223507889</v>
      </c>
      <c r="H50" s="16">
        <v>0.30862355999999996</v>
      </c>
      <c r="I50" s="16">
        <v>3.7463170661746168</v>
      </c>
      <c r="J50" s="49">
        <v>6.8600000000000008E-2</v>
      </c>
      <c r="K50" s="16">
        <v>3.9818146288200511</v>
      </c>
      <c r="L50" s="16">
        <v>0.29677867586725237</v>
      </c>
      <c r="M50" s="16">
        <v>3.7389526488533007</v>
      </c>
    </row>
    <row r="51" spans="3:13">
      <c r="C51" s="26">
        <v>-0.01</v>
      </c>
      <c r="D51" s="16">
        <v>3.1177277999999999</v>
      </c>
      <c r="E51" s="16">
        <v>3.4068890017872682</v>
      </c>
      <c r="F51" s="16">
        <v>0.51962129999999995</v>
      </c>
      <c r="G51" s="16">
        <v>3.7961226197803533</v>
      </c>
      <c r="H51" s="16">
        <v>0.31177277999999997</v>
      </c>
      <c r="I51" s="16">
        <v>3.7434174416922672</v>
      </c>
      <c r="J51" s="49">
        <v>6.93E-2</v>
      </c>
      <c r="K51" s="16">
        <v>3.8606567766693853</v>
      </c>
      <c r="L51" s="16">
        <v>0.29980702970263251</v>
      </c>
      <c r="M51" s="16">
        <v>3.7397352330316074</v>
      </c>
    </row>
    <row r="52" spans="3:13">
      <c r="C52" s="26">
        <v>0</v>
      </c>
      <c r="D52" s="16">
        <v>3.1492200000000001</v>
      </c>
      <c r="E52" s="16">
        <v>3.7405178172099141</v>
      </c>
      <c r="F52" s="16">
        <v>0.52486999999999995</v>
      </c>
      <c r="G52" s="16">
        <v>3.7405178172099141</v>
      </c>
      <c r="H52" s="16">
        <v>0.31492199999999998</v>
      </c>
      <c r="I52" s="16">
        <v>3.7405178172099141</v>
      </c>
      <c r="J52" s="49">
        <v>7.0000000000000007E-2</v>
      </c>
      <c r="K52" s="16">
        <v>3.7405178172099141</v>
      </c>
      <c r="L52" s="16">
        <v>0.30283538353801265</v>
      </c>
      <c r="M52" s="16">
        <v>3.7405178172099141</v>
      </c>
    </row>
    <row r="53" spans="3:13">
      <c r="C53" s="26">
        <v>0.01</v>
      </c>
      <c r="D53" s="16">
        <v>3.1807122000000003</v>
      </c>
      <c r="E53" s="16">
        <v>4.0741466326325559</v>
      </c>
      <c r="F53" s="16">
        <v>0.53011869999999994</v>
      </c>
      <c r="G53" s="16">
        <v>3.6849130146394713</v>
      </c>
      <c r="H53" s="16">
        <v>0.31807121999999999</v>
      </c>
      <c r="I53" s="16">
        <v>3.7376181927275627</v>
      </c>
      <c r="J53" s="49">
        <v>7.0700000000000013E-2</v>
      </c>
      <c r="K53" s="16">
        <v>3.6213873144590938</v>
      </c>
      <c r="L53" s="16">
        <v>0.30586373737339279</v>
      </c>
      <c r="M53" s="16">
        <v>3.7413004013882172</v>
      </c>
    </row>
    <row r="54" spans="3:13">
      <c r="C54" s="26">
        <v>0.02</v>
      </c>
      <c r="D54" s="16">
        <v>3.2122044000000001</v>
      </c>
      <c r="E54" s="16">
        <v>4.4077754480552018</v>
      </c>
      <c r="F54" s="16">
        <v>0.53536739999999994</v>
      </c>
      <c r="G54" s="16">
        <v>3.6293082120690356</v>
      </c>
      <c r="H54" s="16">
        <v>0.32122044</v>
      </c>
      <c r="I54" s="16">
        <v>3.7347185682452113</v>
      </c>
      <c r="J54" s="49">
        <v>7.1400000000000005E-2</v>
      </c>
      <c r="K54" s="16">
        <v>3.5032549529745691</v>
      </c>
      <c r="L54" s="16">
        <v>0.30889209120877292</v>
      </c>
      <c r="M54" s="16">
        <v>3.7420829855665274</v>
      </c>
    </row>
    <row r="55" spans="3:13">
      <c r="C55" s="26">
        <v>0.05</v>
      </c>
      <c r="D55" s="16">
        <v>3.3066810000000002</v>
      </c>
      <c r="E55" s="16">
        <v>5.4086618943231324</v>
      </c>
      <c r="F55" s="16">
        <v>0.55111349999999992</v>
      </c>
      <c r="G55" s="16">
        <v>3.4624938043577074</v>
      </c>
      <c r="H55" s="16">
        <v>0.33066810000000002</v>
      </c>
      <c r="I55" s="16">
        <v>3.726019694798159</v>
      </c>
      <c r="J55" s="49">
        <v>7.350000000000001E-2</v>
      </c>
      <c r="K55" s="16">
        <v>3.154745337984902</v>
      </c>
      <c r="L55" s="16">
        <v>0.31797715271491328</v>
      </c>
      <c r="M55" s="16">
        <v>3.7444307381014474</v>
      </c>
    </row>
    <row r="56" spans="3:13">
      <c r="C56" s="26">
        <v>0.08</v>
      </c>
      <c r="D56" s="16">
        <v>3.4011576000000003</v>
      </c>
      <c r="E56" s="16">
        <v>6.4095483405910665</v>
      </c>
      <c r="F56" s="16">
        <v>0.56685960000000002</v>
      </c>
      <c r="G56" s="16">
        <v>3.2956793966463862</v>
      </c>
      <c r="H56" s="16">
        <v>0.34011575999999999</v>
      </c>
      <c r="I56" s="16">
        <v>3.7173208213511031</v>
      </c>
      <c r="J56" s="49">
        <v>7.5600000000000014E-2</v>
      </c>
      <c r="K56" s="16">
        <v>2.814858894775166</v>
      </c>
      <c r="L56" s="16">
        <v>0.32706221422105369</v>
      </c>
      <c r="M56" s="16">
        <v>3.7467784906363675</v>
      </c>
    </row>
    <row r="57" spans="3:13">
      <c r="C57" s="26">
        <v>0.1</v>
      </c>
      <c r="D57" s="16">
        <v>3.4641420000000003</v>
      </c>
      <c r="E57" s="16">
        <v>7.0768059714363547</v>
      </c>
      <c r="F57" s="16">
        <v>0.57735700000000001</v>
      </c>
      <c r="G57" s="16">
        <v>3.1844697915055042</v>
      </c>
      <c r="H57" s="16">
        <v>0.34641420000000001</v>
      </c>
      <c r="I57" s="16">
        <v>3.7115215723864021</v>
      </c>
      <c r="J57" s="49">
        <v>7.7000000000000013E-2</v>
      </c>
      <c r="K57" s="16">
        <v>2.5929298855102885</v>
      </c>
      <c r="L57" s="16">
        <v>0.33311892189181391</v>
      </c>
      <c r="M57" s="16">
        <v>3.7483436589929773</v>
      </c>
    </row>
    <row r="58" spans="3:13">
      <c r="C58" s="26">
        <v>0.15</v>
      </c>
      <c r="D58" s="16">
        <v>3.6216029999999999</v>
      </c>
      <c r="E58" s="16">
        <v>8.7449500485495708</v>
      </c>
      <c r="F58" s="16">
        <v>0.60360049999999987</v>
      </c>
      <c r="G58" s="16">
        <v>2.9064457786533047</v>
      </c>
      <c r="H58" s="16">
        <v>0.36216029999999994</v>
      </c>
      <c r="I58" s="16">
        <v>3.6970234499746453</v>
      </c>
      <c r="J58" s="49">
        <v>8.0500000000000002E-2</v>
      </c>
      <c r="K58" s="16">
        <v>2.053881799409794</v>
      </c>
      <c r="L58" s="16">
        <v>0.34826069106871455</v>
      </c>
      <c r="M58" s="16">
        <v>3.7522565798845107</v>
      </c>
    </row>
    <row r="59" spans="3:13">
      <c r="C59" s="26">
        <v>0.2</v>
      </c>
      <c r="D59" s="16">
        <v>3.779064</v>
      </c>
      <c r="E59" s="16">
        <v>10.413094125662797</v>
      </c>
      <c r="F59" s="16">
        <v>0.62984399999999996</v>
      </c>
      <c r="G59" s="16">
        <v>2.6284217658011015</v>
      </c>
      <c r="H59" s="16">
        <v>0.37790639999999998</v>
      </c>
      <c r="I59" s="16">
        <v>3.6825253275628884</v>
      </c>
      <c r="J59" s="49">
        <v>8.4000000000000005E-2</v>
      </c>
      <c r="K59" s="16">
        <v>1.5364778509112234</v>
      </c>
      <c r="L59" s="16">
        <v>0.36340246024561518</v>
      </c>
      <c r="M59" s="16">
        <v>3.7561695007760405</v>
      </c>
    </row>
    <row r="60" spans="3:13">
      <c r="C60" s="26">
        <v>0.3</v>
      </c>
      <c r="D60" s="16">
        <v>4.0939860000000001</v>
      </c>
      <c r="E60" s="16">
        <v>13.749382279889234</v>
      </c>
      <c r="F60" s="16">
        <v>0.68233099999999991</v>
      </c>
      <c r="G60" s="16">
        <v>2.0723737400966935</v>
      </c>
      <c r="H60" s="16">
        <v>0.4093986</v>
      </c>
      <c r="I60" s="16">
        <v>3.6535290827393747</v>
      </c>
      <c r="J60" s="49">
        <v>9.1000000000000011E-2</v>
      </c>
      <c r="K60" s="16">
        <v>0.56241761476234142</v>
      </c>
      <c r="L60" s="16">
        <v>0.39368599859941644</v>
      </c>
      <c r="M60" s="16">
        <v>3.7639953425591108</v>
      </c>
    </row>
    <row r="61" spans="3:13">
      <c r="C61" s="26">
        <v>0.4</v>
      </c>
      <c r="D61" s="16">
        <v>4.4089080000000003</v>
      </c>
      <c r="E61" s="16">
        <v>17.085670434115677</v>
      </c>
      <c r="F61" s="16">
        <v>0.73481799999999986</v>
      </c>
      <c r="G61" s="16">
        <v>1.5163257143922908</v>
      </c>
      <c r="H61" s="16">
        <v>0.44089079999999992</v>
      </c>
      <c r="I61" s="16">
        <v>3.624532837915861</v>
      </c>
      <c r="J61" s="49">
        <v>9.8000000000000004E-2</v>
      </c>
      <c r="K61" s="16">
        <v>-0.33705520804623051</v>
      </c>
      <c r="L61" s="16">
        <v>0.42396953695321771</v>
      </c>
      <c r="M61" s="16">
        <v>3.7718211843421741</v>
      </c>
    </row>
    <row r="62" spans="3:13">
      <c r="C62" s="26">
        <v>0.5</v>
      </c>
      <c r="D62" s="16">
        <v>4.7238300000000004</v>
      </c>
      <c r="E62" s="16">
        <v>20.421958588342122</v>
      </c>
      <c r="F62" s="16">
        <v>0.78730499999999992</v>
      </c>
      <c r="G62" s="16">
        <v>0.96027768868788421</v>
      </c>
      <c r="H62" s="16">
        <v>0.472383</v>
      </c>
      <c r="I62" s="16">
        <v>3.5955365930923491</v>
      </c>
      <c r="J62" s="49">
        <v>0.10500000000000001</v>
      </c>
      <c r="K62" s="16">
        <v>-1.168914969810801</v>
      </c>
      <c r="L62" s="16">
        <v>0.45425307530701897</v>
      </c>
      <c r="M62" s="16">
        <v>3.7796470261252373</v>
      </c>
    </row>
    <row r="66" spans="3:9">
      <c r="C66" t="s">
        <v>0</v>
      </c>
    </row>
    <row r="67" spans="3:9">
      <c r="C67" t="s">
        <v>69</v>
      </c>
    </row>
    <row r="68" spans="3:9">
      <c r="D68" t="s">
        <v>110</v>
      </c>
      <c r="E68" s="16" t="s">
        <v>111</v>
      </c>
      <c r="F68" s="16" t="s">
        <v>112</v>
      </c>
      <c r="G68" s="16" t="s">
        <v>113</v>
      </c>
      <c r="H68" s="16" t="s">
        <v>114</v>
      </c>
      <c r="I68" s="16"/>
    </row>
    <row r="69" spans="3:9">
      <c r="C69" s="27">
        <v>-0.5</v>
      </c>
      <c r="D69" s="16">
        <v>-12.940922953922287</v>
      </c>
      <c r="E69" s="16">
        <v>6.5207579457319449</v>
      </c>
      <c r="F69" s="16">
        <v>3.885499041327479</v>
      </c>
      <c r="G69" s="16">
        <v>11.234765423780884</v>
      </c>
      <c r="H69" s="16">
        <v>3.7013886082945908</v>
      </c>
      <c r="I69" s="16"/>
    </row>
    <row r="70" spans="3:9">
      <c r="C70" s="27">
        <v>-0.4</v>
      </c>
      <c r="D70" s="16">
        <v>-9.6046347996958481</v>
      </c>
      <c r="E70" s="16">
        <v>5.9647099200275351</v>
      </c>
      <c r="F70" s="16">
        <v>3.8565027965039671</v>
      </c>
      <c r="G70" s="16">
        <v>9.4575599311248215</v>
      </c>
      <c r="H70" s="16">
        <v>3.709214450077654</v>
      </c>
      <c r="I70" s="16"/>
    </row>
    <row r="71" spans="3:9">
      <c r="C71" s="27">
        <v>-0.3</v>
      </c>
      <c r="D71" s="16">
        <v>-6.2683466454694088</v>
      </c>
      <c r="E71" s="16">
        <v>5.4086618943231324</v>
      </c>
      <c r="F71" s="16">
        <v>3.8275065516804552</v>
      </c>
      <c r="G71" s="16">
        <v>7.8343988225449159</v>
      </c>
      <c r="H71" s="16">
        <v>3.7170402918607208</v>
      </c>
      <c r="I71" s="16"/>
    </row>
    <row r="72" spans="3:9">
      <c r="C72" s="27">
        <v>-0.2</v>
      </c>
      <c r="D72" s="16">
        <v>-2.9320584912429637</v>
      </c>
      <c r="E72" s="16">
        <v>4.8526138686187226</v>
      </c>
      <c r="F72" s="16">
        <v>3.7985103068569415</v>
      </c>
      <c r="G72" s="16">
        <v>6.3495473344903726</v>
      </c>
      <c r="H72" s="16">
        <v>3.724866133643784</v>
      </c>
      <c r="I72" s="16"/>
    </row>
    <row r="73" spans="3:9">
      <c r="C73" s="27">
        <v>-0.15</v>
      </c>
      <c r="D73" s="16">
        <v>-1.263914414129748</v>
      </c>
      <c r="E73" s="16">
        <v>4.5745898557665194</v>
      </c>
      <c r="F73" s="16">
        <v>3.7840121844451846</v>
      </c>
      <c r="G73" s="16">
        <v>5.6545635116147395</v>
      </c>
      <c r="H73" s="16">
        <v>3.7287790545353139</v>
      </c>
      <c r="I73" s="16"/>
    </row>
    <row r="74" spans="3:9">
      <c r="C74" s="27">
        <v>-0.1</v>
      </c>
      <c r="D74" s="16">
        <v>0.40422966298347085</v>
      </c>
      <c r="E74" s="16">
        <v>4.2965658429143199</v>
      </c>
      <c r="F74" s="16">
        <v>3.7695140620334278</v>
      </c>
      <c r="G74" s="16">
        <v>4.9890509206621658</v>
      </c>
      <c r="H74" s="16">
        <v>3.7326919754268473</v>
      </c>
      <c r="I74" s="16"/>
    </row>
    <row r="75" spans="3:9">
      <c r="C75" s="27">
        <v>-0.08</v>
      </c>
      <c r="D75" s="16">
        <v>1.0714872938287625</v>
      </c>
      <c r="E75" s="16">
        <v>4.1853562377734379</v>
      </c>
      <c r="F75" s="16">
        <v>3.763714813068725</v>
      </c>
      <c r="G75" s="16">
        <v>4.7307584845423811</v>
      </c>
      <c r="H75" s="16">
        <v>3.7342571437834642</v>
      </c>
      <c r="I75" s="16"/>
    </row>
    <row r="76" spans="3:9">
      <c r="C76" s="27">
        <v>-0.05</v>
      </c>
      <c r="D76" s="16">
        <v>2.0723737400966935</v>
      </c>
      <c r="E76" s="16">
        <v>4.0185418300621167</v>
      </c>
      <c r="F76" s="16">
        <v>3.7550159396216709</v>
      </c>
      <c r="G76" s="16">
        <v>4.3515077418880814</v>
      </c>
      <c r="H76" s="16">
        <v>3.7366048963183807</v>
      </c>
      <c r="I76" s="16"/>
    </row>
    <row r="77" spans="3:9">
      <c r="C77" s="27">
        <v>-0.02</v>
      </c>
      <c r="D77" s="16">
        <v>3.0732601863646258</v>
      </c>
      <c r="E77" s="16">
        <v>3.8517274223507889</v>
      </c>
      <c r="F77" s="16">
        <v>3.7463170661746168</v>
      </c>
      <c r="G77" s="16">
        <v>3.9818146288200511</v>
      </c>
      <c r="H77" s="16">
        <v>3.7389526488533007</v>
      </c>
      <c r="I77" s="16"/>
    </row>
    <row r="78" spans="3:9">
      <c r="C78" s="27">
        <v>-0.01</v>
      </c>
      <c r="D78" s="16">
        <v>3.4068890017872682</v>
      </c>
      <c r="E78" s="16">
        <v>3.7961226197803533</v>
      </c>
      <c r="F78" s="16">
        <v>3.7434174416922672</v>
      </c>
      <c r="G78" s="16">
        <v>3.8606567766693853</v>
      </c>
      <c r="H78" s="16">
        <v>3.7397352330316074</v>
      </c>
      <c r="I78" s="16"/>
    </row>
    <row r="79" spans="3:9">
      <c r="C79" s="27">
        <v>0</v>
      </c>
      <c r="D79" s="16">
        <v>3.7405178172099141</v>
      </c>
      <c r="E79" s="16">
        <v>3.7405178172099141</v>
      </c>
      <c r="F79" s="16">
        <v>3.7405178172099141</v>
      </c>
      <c r="G79" s="16">
        <v>3.7405178172099141</v>
      </c>
      <c r="H79" s="16">
        <v>3.7405178172099141</v>
      </c>
      <c r="I79" s="16"/>
    </row>
    <row r="80" spans="3:9">
      <c r="C80" s="27">
        <v>0.01</v>
      </c>
      <c r="D80" s="16">
        <v>4.0741466326325559</v>
      </c>
      <c r="E80" s="16">
        <v>3.6849130146394713</v>
      </c>
      <c r="F80" s="16">
        <v>3.7376181927275627</v>
      </c>
      <c r="G80" s="16">
        <v>3.6213873144590938</v>
      </c>
      <c r="H80" s="16">
        <v>3.7413004013882172</v>
      </c>
      <c r="I80" s="16"/>
    </row>
    <row r="81" spans="3:9">
      <c r="C81" s="27">
        <v>0.02</v>
      </c>
      <c r="D81" s="16">
        <v>4.4077754480552018</v>
      </c>
      <c r="E81" s="16">
        <v>3.6293082120690356</v>
      </c>
      <c r="F81" s="16">
        <v>3.7347185682452113</v>
      </c>
      <c r="G81" s="16">
        <v>3.5032549529745691</v>
      </c>
      <c r="H81" s="16">
        <v>3.7420829855665274</v>
      </c>
      <c r="I81" s="16"/>
    </row>
    <row r="82" spans="3:9">
      <c r="C82" s="27">
        <v>0.05</v>
      </c>
      <c r="D82" s="16">
        <v>5.4086618943231324</v>
      </c>
      <c r="E82" s="16">
        <v>3.4624938043577074</v>
      </c>
      <c r="F82" s="16">
        <v>3.726019694798159</v>
      </c>
      <c r="G82" s="16">
        <v>3.154745337984902</v>
      </c>
      <c r="H82" s="16">
        <v>3.7444307381014474</v>
      </c>
      <c r="I82" s="16"/>
    </row>
    <row r="83" spans="3:9">
      <c r="C83" s="27">
        <v>0.08</v>
      </c>
      <c r="D83" s="16">
        <v>6.4095483405910665</v>
      </c>
      <c r="E83" s="16">
        <v>3.2956793966463862</v>
      </c>
      <c r="F83" s="16">
        <v>3.7173208213511031</v>
      </c>
      <c r="G83" s="16">
        <v>2.814858894775166</v>
      </c>
      <c r="H83" s="16">
        <v>3.7467784906363675</v>
      </c>
      <c r="I83" s="16"/>
    </row>
    <row r="84" spans="3:9">
      <c r="C84" s="27">
        <v>0.1</v>
      </c>
      <c r="D84" s="16">
        <v>7.0768059714363547</v>
      </c>
      <c r="E84" s="16">
        <v>3.1844697915055042</v>
      </c>
      <c r="F84" s="16">
        <v>3.7115215723864021</v>
      </c>
      <c r="G84" s="16">
        <v>2.5929298855102885</v>
      </c>
      <c r="H84" s="16">
        <v>3.7483436589929773</v>
      </c>
      <c r="I84" s="16"/>
    </row>
    <row r="85" spans="3:9">
      <c r="C85" s="27">
        <v>0.15</v>
      </c>
      <c r="D85" s="16">
        <v>8.7449500485495708</v>
      </c>
      <c r="E85" s="16">
        <v>2.9064457786533047</v>
      </c>
      <c r="F85" s="16">
        <v>3.6970234499746453</v>
      </c>
      <c r="G85" s="16">
        <v>2.053881799409794</v>
      </c>
      <c r="H85" s="16">
        <v>3.7522565798845107</v>
      </c>
      <c r="I85" s="16"/>
    </row>
    <row r="86" spans="3:9">
      <c r="C86" s="27">
        <v>0.2</v>
      </c>
      <c r="D86" s="16">
        <v>10.413094125662797</v>
      </c>
      <c r="E86" s="16">
        <v>2.6284217658011015</v>
      </c>
      <c r="F86" s="16">
        <v>3.6825253275628884</v>
      </c>
      <c r="G86" s="16">
        <v>1.5364778509112234</v>
      </c>
      <c r="H86" s="16">
        <v>3.7561695007760405</v>
      </c>
      <c r="I86" s="16"/>
    </row>
    <row r="87" spans="3:9">
      <c r="C87" s="27">
        <v>0.3</v>
      </c>
      <c r="D87" s="16">
        <v>13.749382279889234</v>
      </c>
      <c r="E87" s="16">
        <v>2.0723737400966935</v>
      </c>
      <c r="F87" s="16">
        <v>3.6535290827393747</v>
      </c>
      <c r="G87" s="16">
        <v>0.56241761476234142</v>
      </c>
      <c r="H87" s="16">
        <v>3.7639953425591108</v>
      </c>
      <c r="I87" s="16"/>
    </row>
    <row r="88" spans="3:9">
      <c r="C88" s="27">
        <v>0.4</v>
      </c>
      <c r="D88" s="16">
        <v>17.085670434115677</v>
      </c>
      <c r="E88" s="16">
        <v>1.5163257143922908</v>
      </c>
      <c r="F88" s="16">
        <v>3.624532837915861</v>
      </c>
      <c r="G88" s="16">
        <v>-0.33705520804623051</v>
      </c>
      <c r="H88" s="16">
        <v>3.7718211843421741</v>
      </c>
      <c r="I88" s="16"/>
    </row>
    <row r="89" spans="3:9">
      <c r="C89" s="27">
        <v>0.5</v>
      </c>
      <c r="D89" s="16">
        <v>20.421958588342122</v>
      </c>
      <c r="E89" s="16">
        <v>0.96027768868788421</v>
      </c>
      <c r="F89" s="16">
        <v>3.5955365930923491</v>
      </c>
      <c r="G89" s="16">
        <v>-1.168914969810801</v>
      </c>
      <c r="H89" s="16">
        <v>3.7796470261252373</v>
      </c>
      <c r="I89" s="16"/>
    </row>
    <row r="93" spans="3:9">
      <c r="D93" t="s">
        <v>110</v>
      </c>
      <c r="E93" s="16" t="s">
        <v>111</v>
      </c>
      <c r="F93" s="16" t="s">
        <v>112</v>
      </c>
      <c r="G93" s="16" t="s">
        <v>113</v>
      </c>
      <c r="H93" s="16" t="s">
        <v>114</v>
      </c>
      <c r="I93" s="16"/>
    </row>
    <row r="94" spans="3:9">
      <c r="C94" s="27">
        <v>-0.5</v>
      </c>
    </row>
    <row r="95" spans="3:9">
      <c r="C95" s="27">
        <v>-0.4</v>
      </c>
    </row>
    <row r="96" spans="3:9">
      <c r="C96" s="27">
        <v>-0.3</v>
      </c>
      <c r="G96" s="16">
        <v>7.8343988225449159</v>
      </c>
    </row>
    <row r="97" spans="3:8">
      <c r="C97" s="27">
        <v>-0.2</v>
      </c>
    </row>
    <row r="98" spans="3:8">
      <c r="C98" s="27">
        <v>-0.15</v>
      </c>
      <c r="H98" s="16">
        <v>3.7287790545353139</v>
      </c>
    </row>
    <row r="99" spans="3:8">
      <c r="C99" s="27">
        <v>-0.1</v>
      </c>
      <c r="D99" s="16">
        <v>0.40422966298347085</v>
      </c>
    </row>
    <row r="100" spans="3:8">
      <c r="C100" s="27">
        <v>-0.08</v>
      </c>
      <c r="E100" s="16">
        <v>4.1853562377734379</v>
      </c>
    </row>
    <row r="101" spans="3:8">
      <c r="C101" s="27">
        <v>-0.05</v>
      </c>
      <c r="F101" s="16">
        <v>3.7550159396216709</v>
      </c>
    </row>
    <row r="102" spans="3:8">
      <c r="C102" s="27">
        <v>-0.02</v>
      </c>
    </row>
    <row r="103" spans="3:8">
      <c r="C103" s="27">
        <v>-0.01</v>
      </c>
    </row>
    <row r="104" spans="3:8">
      <c r="C104" s="27">
        <v>0</v>
      </c>
    </row>
    <row r="105" spans="3:8">
      <c r="C105" s="27">
        <v>0.01</v>
      </c>
    </row>
    <row r="106" spans="3:8">
      <c r="C106" s="27">
        <v>0.02</v>
      </c>
    </row>
    <row r="107" spans="3:8">
      <c r="C107" s="27">
        <v>0.05</v>
      </c>
      <c r="F107" s="16">
        <v>3.726019694798159</v>
      </c>
    </row>
    <row r="108" spans="3:8">
      <c r="C108" s="27">
        <v>0.08</v>
      </c>
      <c r="E108" s="16">
        <v>3.2956793966463862</v>
      </c>
    </row>
    <row r="109" spans="3:8">
      <c r="C109" s="27">
        <v>0.1</v>
      </c>
      <c r="D109" s="16">
        <v>7.0768059714363547</v>
      </c>
    </row>
    <row r="110" spans="3:8">
      <c r="C110" s="27">
        <v>0.15</v>
      </c>
      <c r="H110" s="16">
        <v>3.7522565798845107</v>
      </c>
    </row>
    <row r="111" spans="3:8">
      <c r="C111" s="27">
        <v>0.2</v>
      </c>
    </row>
    <row r="112" spans="3:8">
      <c r="C112" s="27">
        <v>0.3</v>
      </c>
      <c r="G112" s="16">
        <v>0.56241761476234142</v>
      </c>
    </row>
    <row r="113" spans="3:3">
      <c r="C113" s="27">
        <v>0.4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 xr3:uid="{85D5C41F-068E-5C55-9968-509E7C2A5619}">
      <selection sqref="A1:XFD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sashank</dc:creator>
  <cp:keywords/>
  <dc:description/>
  <cp:lastModifiedBy>Hetasvi Javiya</cp:lastModifiedBy>
  <cp:revision/>
  <dcterms:created xsi:type="dcterms:W3CDTF">2018-03-15T22:36:32Z</dcterms:created>
  <dcterms:modified xsi:type="dcterms:W3CDTF">2018-04-15T00:21:13Z</dcterms:modified>
  <cp:category/>
  <cp:contentStatus/>
</cp:coreProperties>
</file>