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vek_important_documetns_DO_NOT_DELETE\Decision Analysis\"/>
    </mc:Choice>
  </mc:AlternateContent>
  <xr:revisionPtr revIDLastSave="0" documentId="13_ncr:1_{C2ACDCCD-9242-44C4-B90F-7A27370EC0BC}" xr6:coauthVersionLast="43" xr6:coauthVersionMax="43" xr10:uidLastSave="{00000000-0000-0000-0000-000000000000}"/>
  <bookViews>
    <workbookView xWindow="120" yWindow="24" windowWidth="22920" windowHeight="12336" activeTab="3" xr2:uid="{5138717A-7865-429E-860D-E330D96C6D0D}"/>
  </bookViews>
  <sheets>
    <sheet name="Solar" sheetId="2" r:id="rId1"/>
    <sheet name="Utility" sheetId="5" r:id="rId2"/>
    <sheet name="Multiple" sheetId="4" r:id="rId3"/>
    <sheet name="Light" sheetId="3" r:id="rId4"/>
  </sheets>
  <calcPr calcId="191029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2" l="1"/>
  <c r="I7" i="4" l="1"/>
  <c r="I5" i="4"/>
  <c r="F19" i="2"/>
  <c r="F42" i="2" s="1"/>
  <c r="H6" i="4"/>
  <c r="H7" i="4"/>
  <c r="H8" i="4"/>
  <c r="H5" i="4"/>
  <c r="G55" i="2"/>
  <c r="G54" i="2"/>
  <c r="G51" i="2"/>
  <c r="G50" i="2"/>
  <c r="G42" i="2"/>
  <c r="G47" i="2"/>
  <c r="G46" i="2"/>
  <c r="G43" i="2"/>
  <c r="F43" i="2"/>
  <c r="P12" i="3"/>
  <c r="P11" i="3"/>
  <c r="C12" i="4"/>
  <c r="C11" i="4"/>
  <c r="E50" i="2"/>
  <c r="E54" i="2" s="1"/>
  <c r="E42" i="2"/>
  <c r="E46" i="2" s="1"/>
  <c r="D32" i="2"/>
  <c r="G29" i="2"/>
  <c r="G30" i="2"/>
  <c r="D22" i="2"/>
  <c r="G20" i="2"/>
  <c r="G19" i="2"/>
  <c r="B12" i="4"/>
  <c r="Q42" i="3"/>
  <c r="P42" i="3"/>
  <c r="E42" i="3"/>
  <c r="D42" i="3"/>
  <c r="Q41" i="3"/>
  <c r="P41" i="3"/>
  <c r="E41" i="3"/>
  <c r="D41" i="3"/>
  <c r="Q40" i="3"/>
  <c r="P40" i="3"/>
  <c r="E40" i="3"/>
  <c r="D40" i="3"/>
  <c r="U38" i="3"/>
  <c r="S38" i="3"/>
  <c r="V20" i="3" s="1"/>
  <c r="G38" i="3"/>
  <c r="Q34" i="3"/>
  <c r="P34" i="3"/>
  <c r="E34" i="3"/>
  <c r="D34" i="3"/>
  <c r="Q33" i="3"/>
  <c r="P33" i="3"/>
  <c r="E33" i="3"/>
  <c r="D33" i="3"/>
  <c r="Q32" i="3"/>
  <c r="P32" i="3"/>
  <c r="E32" i="3"/>
  <c r="D32" i="3"/>
  <c r="U30" i="3"/>
  <c r="S30" i="3"/>
  <c r="G30" i="3"/>
  <c r="Q27" i="3"/>
  <c r="P27" i="3"/>
  <c r="E27" i="3"/>
  <c r="D27" i="3"/>
  <c r="Q26" i="3"/>
  <c r="P26" i="3"/>
  <c r="E26" i="3"/>
  <c r="D26" i="3"/>
  <c r="Q25" i="3"/>
  <c r="P25" i="3"/>
  <c r="E25" i="3"/>
  <c r="D25" i="3"/>
  <c r="S23" i="3"/>
  <c r="R23" i="3"/>
  <c r="I23" i="3"/>
  <c r="G23" i="3"/>
  <c r="J20" i="3" s="1"/>
  <c r="F23" i="3"/>
  <c r="O18" i="3"/>
  <c r="B15" i="3"/>
  <c r="V13" i="3"/>
  <c r="P13" i="3"/>
  <c r="U23" i="3" s="1"/>
  <c r="F13" i="3"/>
  <c r="I38" i="3" s="1"/>
  <c r="F11" i="3"/>
  <c r="F12" i="3" s="1"/>
  <c r="P6" i="3"/>
  <c r="P7" i="3" s="1"/>
  <c r="F6" i="3"/>
  <c r="F7" i="3" s="1"/>
  <c r="H55" i="2" l="1"/>
  <c r="H51" i="2"/>
  <c r="I51" i="2" s="1"/>
  <c r="H47" i="2"/>
  <c r="H43" i="2"/>
  <c r="I43" i="2" s="1"/>
  <c r="E51" i="2"/>
  <c r="E55" i="2" s="1"/>
  <c r="E43" i="2"/>
  <c r="E47" i="2" s="1"/>
  <c r="R26" i="3"/>
  <c r="R32" i="3"/>
  <c r="R25" i="3"/>
  <c r="P8" i="3"/>
  <c r="R27" i="3"/>
  <c r="R40" i="3"/>
  <c r="R41" i="3"/>
  <c r="R42" i="3"/>
  <c r="R33" i="3"/>
  <c r="R34" i="3"/>
  <c r="F8" i="3"/>
  <c r="F41" i="3"/>
  <c r="F32" i="3"/>
  <c r="F34" i="3"/>
  <c r="F27" i="3"/>
  <c r="F40" i="3"/>
  <c r="F42" i="3"/>
  <c r="F33" i="3"/>
  <c r="F25" i="3"/>
  <c r="F26" i="3"/>
  <c r="H23" i="3"/>
  <c r="H38" i="3"/>
  <c r="H30" i="3"/>
  <c r="T30" i="3"/>
  <c r="T38" i="3"/>
  <c r="T23" i="3"/>
  <c r="I30" i="3"/>
  <c r="J43" i="2" l="1"/>
  <c r="S32" i="3"/>
  <c r="U32" i="3" s="1"/>
  <c r="S33" i="3"/>
  <c r="U33" i="3" s="1"/>
  <c r="S34" i="3"/>
  <c r="U34" i="3" s="1"/>
  <c r="G32" i="3"/>
  <c r="G34" i="3"/>
  <c r="I34" i="3" s="1"/>
  <c r="G33" i="3"/>
  <c r="I33" i="3" s="1"/>
  <c r="I32" i="3"/>
  <c r="U25" i="3"/>
  <c r="I40" i="3"/>
  <c r="S27" i="3"/>
  <c r="U27" i="3" s="1"/>
  <c r="S25" i="3"/>
  <c r="S26" i="3"/>
  <c r="U26" i="3" s="1"/>
  <c r="G40" i="3"/>
  <c r="G42" i="3"/>
  <c r="I42" i="3" s="1"/>
  <c r="G41" i="3"/>
  <c r="I41" i="3" s="1"/>
  <c r="G25" i="3"/>
  <c r="I25" i="3" s="1"/>
  <c r="G27" i="3"/>
  <c r="I27" i="3" s="1"/>
  <c r="G26" i="3"/>
  <c r="I26" i="3" s="1"/>
  <c r="S40" i="3"/>
  <c r="U40" i="3" s="1"/>
  <c r="S41" i="3"/>
  <c r="U41" i="3" s="1"/>
  <c r="S42" i="3"/>
  <c r="U42" i="3" s="1"/>
  <c r="B45" i="2"/>
  <c r="B13" i="2"/>
  <c r="C30" i="2" s="1"/>
  <c r="C29" i="2"/>
  <c r="C19" i="2"/>
  <c r="V40" i="3" l="1"/>
  <c r="X40" i="3"/>
  <c r="V41" i="3"/>
  <c r="X41" i="3"/>
  <c r="A34" i="3"/>
  <c r="J34" i="3"/>
  <c r="J41" i="3"/>
  <c r="A41" i="3"/>
  <c r="J42" i="3"/>
  <c r="A42" i="3"/>
  <c r="A26" i="3"/>
  <c r="J26" i="3"/>
  <c r="A27" i="3"/>
  <c r="J27" i="3"/>
  <c r="A25" i="3"/>
  <c r="J25" i="3"/>
  <c r="L26" i="3" s="1"/>
  <c r="X27" i="3"/>
  <c r="V27" i="3"/>
  <c r="X42" i="3"/>
  <c r="V42" i="3"/>
  <c r="X34" i="3"/>
  <c r="V34" i="3"/>
  <c r="A40" i="3"/>
  <c r="J40" i="3"/>
  <c r="A33" i="3"/>
  <c r="J33" i="3"/>
  <c r="V25" i="3"/>
  <c r="X25" i="3"/>
  <c r="X32" i="3"/>
  <c r="V32" i="3"/>
  <c r="W33" i="3" s="1"/>
  <c r="J32" i="3"/>
  <c r="L33" i="3" s="1"/>
  <c r="A32" i="3"/>
  <c r="X26" i="3"/>
  <c r="V26" i="3"/>
  <c r="V33" i="3"/>
  <c r="X33" i="3"/>
  <c r="B53" i="2"/>
  <c r="C20" i="2"/>
  <c r="D30" i="2"/>
  <c r="D29" i="2"/>
  <c r="O29" i="2" s="1"/>
  <c r="E27" i="2"/>
  <c r="D27" i="2"/>
  <c r="E17" i="2"/>
  <c r="D20" i="2"/>
  <c r="O21" i="2" s="1"/>
  <c r="D19" i="2"/>
  <c r="O19" i="2" s="1"/>
  <c r="D17" i="2"/>
  <c r="L41" i="3" l="1"/>
  <c r="W26" i="3"/>
  <c r="L44" i="3"/>
  <c r="W41" i="3"/>
  <c r="K29" i="2"/>
  <c r="H30" i="2"/>
  <c r="O31" i="2"/>
  <c r="H19" i="2"/>
  <c r="H20" i="2"/>
  <c r="K19" i="2"/>
  <c r="K20" i="2"/>
  <c r="K30" i="2"/>
  <c r="H29" i="2"/>
  <c r="K20" i="3" l="1"/>
  <c r="B14" i="4"/>
  <c r="W44" i="3"/>
  <c r="O30" i="2"/>
  <c r="O22" i="2"/>
  <c r="O20" i="2"/>
  <c r="O28" i="2"/>
  <c r="O32" i="2"/>
  <c r="O18" i="2"/>
  <c r="I4" i="2"/>
  <c r="F5" i="2"/>
  <c r="F6" i="2" s="1"/>
  <c r="I5" i="2"/>
  <c r="I30" i="2"/>
  <c r="W20" i="3" l="1"/>
  <c r="B15" i="4"/>
  <c r="L30" i="2"/>
  <c r="I29" i="2"/>
  <c r="I10" i="2"/>
  <c r="F10" i="2"/>
  <c r="E20" i="2"/>
  <c r="E19" i="2"/>
  <c r="I19" i="2"/>
  <c r="I20" i="2"/>
  <c r="I8" i="2"/>
  <c r="C27" i="2" s="1"/>
  <c r="E29" i="2"/>
  <c r="E30" i="2"/>
  <c r="L29" i="2"/>
  <c r="L19" i="2"/>
  <c r="L20" i="2"/>
  <c r="J30" i="2"/>
  <c r="P30" i="2" s="1"/>
  <c r="F8" i="2"/>
  <c r="C17" i="2" s="1"/>
  <c r="I6" i="2"/>
  <c r="M29" i="2" l="1"/>
  <c r="I12" i="2"/>
  <c r="F30" i="2"/>
  <c r="P31" i="2" s="1"/>
  <c r="F29" i="2"/>
  <c r="F46" i="2" s="1"/>
  <c r="J29" i="2"/>
  <c r="P28" i="2" s="1"/>
  <c r="M30" i="2"/>
  <c r="P32" i="2" s="1"/>
  <c r="F12" i="2"/>
  <c r="J19" i="2"/>
  <c r="P18" i="2" s="1"/>
  <c r="F20" i="2"/>
  <c r="P21" i="2" s="1"/>
  <c r="M20" i="2"/>
  <c r="P22" i="2" s="1"/>
  <c r="J20" i="2"/>
  <c r="P20" i="2" s="1"/>
  <c r="M19" i="2"/>
  <c r="P29" i="2" l="1"/>
  <c r="F54" i="2"/>
  <c r="D31" i="2"/>
  <c r="F55" i="2"/>
  <c r="F47" i="2"/>
  <c r="H46" i="2" s="1"/>
  <c r="F51" i="2"/>
  <c r="P19" i="2"/>
  <c r="D21" i="2"/>
  <c r="B11" i="4" s="1"/>
  <c r="F50" i="2"/>
  <c r="H50" i="2" l="1"/>
  <c r="H54" i="2"/>
  <c r="H42" i="2"/>
  <c r="I42" i="2" s="1"/>
  <c r="J42" i="2" l="1"/>
  <c r="I50" i="2"/>
  <c r="B13" i="4" l="1"/>
  <c r="L45" i="2"/>
</calcChain>
</file>

<file path=xl/sharedStrings.xml><?xml version="1.0" encoding="utf-8"?>
<sst xmlns="http://schemas.openxmlformats.org/spreadsheetml/2006/main" count="327" uniqueCount="143">
  <si>
    <t>Large P</t>
  </si>
  <si>
    <t>Small P</t>
  </si>
  <si>
    <t>Low Eff</t>
  </si>
  <si>
    <t>unit cost</t>
  </si>
  <si>
    <t>/m2</t>
  </si>
  <si>
    <t xml:space="preserve">large </t>
  </si>
  <si>
    <t>m2</t>
  </si>
  <si>
    <t>small</t>
  </si>
  <si>
    <t>high eff</t>
  </si>
  <si>
    <t>low eff</t>
  </si>
  <si>
    <t>m3/m2</t>
  </si>
  <si>
    <t>large installtion</t>
  </si>
  <si>
    <t>area</t>
  </si>
  <si>
    <t>upp eff</t>
  </si>
  <si>
    <t>lower eff</t>
  </si>
  <si>
    <t>mean</t>
  </si>
  <si>
    <t>total cost</t>
  </si>
  <si>
    <t>Gas price</t>
  </si>
  <si>
    <t>per m3</t>
  </si>
  <si>
    <t>Yearly sa</t>
  </si>
  <si>
    <t>Maint</t>
  </si>
  <si>
    <t xml:space="preserve">rate </t>
  </si>
  <si>
    <t>Npw</t>
  </si>
  <si>
    <t>small installtion</t>
  </si>
  <si>
    <t>Test</t>
  </si>
  <si>
    <t>High Eff</t>
  </si>
  <si>
    <t>Large</t>
  </si>
  <si>
    <t>HE</t>
  </si>
  <si>
    <t>Small</t>
  </si>
  <si>
    <t>LE</t>
  </si>
  <si>
    <t>govt bee</t>
  </si>
  <si>
    <t>govt ben</t>
  </si>
  <si>
    <t>life</t>
  </si>
  <si>
    <t>Large Panel</t>
  </si>
  <si>
    <t xml:space="preserve">High Eff. </t>
  </si>
  <si>
    <t>Low Eff.</t>
  </si>
  <si>
    <t>Prob</t>
  </si>
  <si>
    <t>Cost</t>
  </si>
  <si>
    <t>Maint.</t>
  </si>
  <si>
    <t>Max. Eff</t>
  </si>
  <si>
    <t>Min Eff.</t>
  </si>
  <si>
    <t xml:space="preserve">Mean Eff. </t>
  </si>
  <si>
    <t>Mean Sav</t>
  </si>
  <si>
    <t>Max. Sav</t>
  </si>
  <si>
    <t>Min. sav.</t>
  </si>
  <si>
    <t>Mean Npw</t>
  </si>
  <si>
    <t>MeanHE</t>
  </si>
  <si>
    <t>Mean LE</t>
  </si>
  <si>
    <t>Govt. Ben</t>
  </si>
  <si>
    <t>Max. npw</t>
  </si>
  <si>
    <t>Min Npw</t>
  </si>
  <si>
    <t>NPW</t>
  </si>
  <si>
    <t>NPW -L</t>
  </si>
  <si>
    <t>NPW -S</t>
  </si>
  <si>
    <t>Small Panel</t>
  </si>
  <si>
    <t>Indicated</t>
  </si>
  <si>
    <t>Actual</t>
  </si>
  <si>
    <t>prob</t>
  </si>
  <si>
    <t>EMV</t>
  </si>
  <si>
    <t>Emv</t>
  </si>
  <si>
    <t>Pro HE</t>
  </si>
  <si>
    <t>Pro LE</t>
  </si>
  <si>
    <t>VPI</t>
  </si>
  <si>
    <t>Given Data</t>
  </si>
  <si>
    <t>Conventional Light</t>
  </si>
  <si>
    <t>Elect Cost</t>
  </si>
  <si>
    <t>Floors</t>
  </si>
  <si>
    <t>per kWh</t>
  </si>
  <si>
    <t>Hrs on/yr</t>
  </si>
  <si>
    <t>Bulbs/floor</t>
  </si>
  <si>
    <t>Kwh/yr</t>
  </si>
  <si>
    <t>Bulb spec</t>
  </si>
  <si>
    <t>Cost/yr</t>
  </si>
  <si>
    <t>appt/floor</t>
  </si>
  <si>
    <t>watt</t>
  </si>
  <si>
    <t>times turned on</t>
  </si>
  <si>
    <t>Motion Light</t>
  </si>
  <si>
    <t>Motion sensing light</t>
  </si>
  <si>
    <t>Hrs/yr</t>
  </si>
  <si>
    <t>for 100% occupancy</t>
  </si>
  <si>
    <t>Hrs per day</t>
  </si>
  <si>
    <t>sec</t>
  </si>
  <si>
    <t>kwh/yr</t>
  </si>
  <si>
    <t>days per year</t>
  </si>
  <si>
    <t>Bulb hr per Kwh</t>
  </si>
  <si>
    <t>Discount</t>
  </si>
  <si>
    <t>Maint (motion)</t>
  </si>
  <si>
    <t>Occ %</t>
  </si>
  <si>
    <t>Maint (conven)</t>
  </si>
  <si>
    <t>Same</t>
  </si>
  <si>
    <t>90-100</t>
  </si>
  <si>
    <t>rate</t>
  </si>
  <si>
    <t>Incre</t>
  </si>
  <si>
    <t>60-90</t>
  </si>
  <si>
    <t>yr</t>
  </si>
  <si>
    <t>Decre</t>
  </si>
  <si>
    <t>0-60</t>
  </si>
  <si>
    <t>100 W</t>
  </si>
  <si>
    <t>60 W</t>
  </si>
  <si>
    <t>Occupancy 90-100%</t>
  </si>
  <si>
    <t>cost</t>
  </si>
  <si>
    <t>Probab</t>
  </si>
  <si>
    <t>% diff</t>
  </si>
  <si>
    <t xml:space="preserve">convention </t>
  </si>
  <si>
    <t>Motion L</t>
  </si>
  <si>
    <t>Savings</t>
  </si>
  <si>
    <t>same</t>
  </si>
  <si>
    <t>increase</t>
  </si>
  <si>
    <t>decrease</t>
  </si>
  <si>
    <t>Occupancy 60-90%</t>
  </si>
  <si>
    <t>Occupancy 0-60%</t>
  </si>
  <si>
    <t>Relative Wt.</t>
  </si>
  <si>
    <t>Object</t>
  </si>
  <si>
    <t>Alternative</t>
  </si>
  <si>
    <t>ROR</t>
  </si>
  <si>
    <t>Convicen</t>
  </si>
  <si>
    <t>Large Solar</t>
  </si>
  <si>
    <t>Small Solar</t>
  </si>
  <si>
    <t>Amt</t>
  </si>
  <si>
    <t>High ROR</t>
  </si>
  <si>
    <t>Alt</t>
  </si>
  <si>
    <t>ror</t>
  </si>
  <si>
    <t>Succ Pro</t>
  </si>
  <si>
    <t>Utility (V)</t>
  </si>
  <si>
    <t>Utility (A)</t>
  </si>
  <si>
    <t>Utility (B)</t>
  </si>
  <si>
    <t>Utility(G)</t>
  </si>
  <si>
    <r>
      <t>y = -6E-11x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+ 2E-05x - 0.3478</t>
    </r>
  </si>
  <si>
    <t>R² = 0.9906</t>
  </si>
  <si>
    <t>Utility(M)</t>
  </si>
  <si>
    <t>y = 0.4527ln(x) - 4.4933</t>
  </si>
  <si>
    <t>R² = 0.9962</t>
  </si>
  <si>
    <t>Utility(N)</t>
  </si>
  <si>
    <t>y = 6E-06x - 0.1513</t>
  </si>
  <si>
    <t>R² = 0.9944</t>
  </si>
  <si>
    <r>
      <t>y = 2E-11x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+ 2E-06x - 0.0589</t>
    </r>
  </si>
  <si>
    <t>R² = 0.9977</t>
  </si>
  <si>
    <t>y = 2E-11x2 + 2E-06x - 0.0589</t>
  </si>
  <si>
    <r>
      <t>y = -6E-11x</t>
    </r>
    <r>
      <rPr>
        <vertAlign val="superscript"/>
        <sz val="9"/>
        <rFont val="Calibri"/>
        <family val="2"/>
        <scheme val="minor"/>
      </rPr>
      <t>2</t>
    </r>
    <r>
      <rPr>
        <sz val="9"/>
        <rFont val="Calibri"/>
        <family val="2"/>
        <scheme val="minor"/>
      </rPr>
      <t xml:space="preserve"> + 2E-05x - 0.3478</t>
    </r>
  </si>
  <si>
    <t>U(G)</t>
  </si>
  <si>
    <t>U(M)</t>
  </si>
  <si>
    <t>U(V)</t>
  </si>
  <si>
    <t>U(N)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</si>
</sst>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"/>
    <numFmt numFmtId="166" formatCode="&quot;$&quot;#,##0.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595959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vertAlign val="superscript"/>
      <sz val="9"/>
      <color rgb="FF595959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5">
    <xf numFmtId="0" fontId="0" fillId="0" borderId="0" xfId="0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0" fontId="1" fillId="0" borderId="0" xfId="0" applyFont="1"/>
    <xf numFmtId="0" fontId="3" fillId="0" borderId="0" xfId="0" applyFont="1" applyFill="1"/>
    <xf numFmtId="0" fontId="0" fillId="0" borderId="0" xfId="0" applyFill="1"/>
    <xf numFmtId="0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8" fontId="0" fillId="0" borderId="0" xfId="0" applyNumberFormat="1" applyBorder="1"/>
    <xf numFmtId="0" fontId="0" fillId="0" borderId="6" xfId="0" applyBorder="1"/>
    <xf numFmtId="8" fontId="0" fillId="0" borderId="7" xfId="0" applyNumberFormat="1" applyBorder="1"/>
    <xf numFmtId="8" fontId="1" fillId="0" borderId="0" xfId="0" applyNumberFormat="1" applyFont="1"/>
    <xf numFmtId="164" fontId="0" fillId="0" borderId="0" xfId="1" applyNumberFormat="1" applyFont="1"/>
    <xf numFmtId="0" fontId="0" fillId="0" borderId="0" xfId="0" applyBorder="1"/>
    <xf numFmtId="8" fontId="0" fillId="0" borderId="0" xfId="0" applyNumberFormat="1" applyBorder="1" applyAlignment="1">
      <alignment vertical="center"/>
    </xf>
    <xf numFmtId="0" fontId="0" fillId="0" borderId="7" xfId="0" applyBorder="1"/>
    <xf numFmtId="0" fontId="1" fillId="0" borderId="9" xfId="0" applyFont="1" applyBorder="1" applyAlignment="1">
      <alignment horizontal="right"/>
    </xf>
    <xf numFmtId="8" fontId="1" fillId="0" borderId="10" xfId="0" applyNumberFormat="1" applyFont="1" applyBorder="1"/>
    <xf numFmtId="165" fontId="0" fillId="0" borderId="0" xfId="0" applyNumberFormat="1"/>
    <xf numFmtId="0" fontId="4" fillId="0" borderId="0" xfId="0" applyFont="1" applyAlignment="1">
      <alignment horizontal="center" vertical="center" readingOrder="1"/>
    </xf>
    <xf numFmtId="0" fontId="0" fillId="0" borderId="0" xfId="0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8" fontId="0" fillId="0" borderId="16" xfId="0" applyNumberFormat="1" applyBorder="1"/>
    <xf numFmtId="0" fontId="0" fillId="0" borderId="0" xfId="0" applyAlignment="1">
      <alignment wrapText="1"/>
    </xf>
    <xf numFmtId="0" fontId="7" fillId="0" borderId="0" xfId="0" applyFont="1"/>
    <xf numFmtId="0" fontId="0" fillId="2" borderId="0" xfId="0" applyFill="1"/>
    <xf numFmtId="44" fontId="9" fillId="3" borderId="0" xfId="1" applyFont="1" applyFill="1"/>
    <xf numFmtId="44" fontId="0" fillId="0" borderId="0" xfId="0" applyNumberFormat="1"/>
    <xf numFmtId="0" fontId="0" fillId="0" borderId="11" xfId="0" applyBorder="1"/>
    <xf numFmtId="0" fontId="0" fillId="0" borderId="17" xfId="0" applyBorder="1"/>
    <xf numFmtId="0" fontId="0" fillId="0" borderId="12" xfId="0" applyBorder="1"/>
    <xf numFmtId="0" fontId="0" fillId="4" borderId="0" xfId="0" applyFill="1"/>
    <xf numFmtId="166" fontId="5" fillId="0" borderId="14" xfId="0" applyNumberFormat="1" applyFont="1" applyBorder="1"/>
    <xf numFmtId="44" fontId="5" fillId="0" borderId="14" xfId="1" applyFont="1" applyBorder="1"/>
    <xf numFmtId="10" fontId="5" fillId="0" borderId="14" xfId="0" applyNumberFormat="1" applyFont="1" applyBorder="1"/>
    <xf numFmtId="10" fontId="0" fillId="0" borderId="0" xfId="0" applyNumberFormat="1"/>
    <xf numFmtId="0" fontId="0" fillId="0" borderId="18" xfId="0" applyBorder="1"/>
    <xf numFmtId="44" fontId="10" fillId="5" borderId="18" xfId="1" applyFont="1" applyFill="1" applyBorder="1"/>
    <xf numFmtId="44" fontId="9" fillId="5" borderId="16" xfId="1" applyFont="1" applyFill="1" applyBorder="1"/>
    <xf numFmtId="0" fontId="0" fillId="5" borderId="18" xfId="0" applyFill="1" applyBorder="1"/>
    <xf numFmtId="0" fontId="0" fillId="0" borderId="0" xfId="0" applyAlignment="1">
      <alignment vertical="center" textRotation="90"/>
    </xf>
    <xf numFmtId="8" fontId="0" fillId="0" borderId="0" xfId="0" applyNumberFormat="1" applyAlignment="1">
      <alignment horizontal="right"/>
    </xf>
    <xf numFmtId="44" fontId="0" fillId="0" borderId="0" xfId="0" applyNumberFormat="1" applyAlignment="1">
      <alignment horizontal="right"/>
    </xf>
    <xf numFmtId="8" fontId="1" fillId="0" borderId="0" xfId="0" applyNumberFormat="1" applyFont="1" applyBorder="1"/>
    <xf numFmtId="10" fontId="0" fillId="0" borderId="0" xfId="0" applyNumberFormat="1" applyBorder="1"/>
    <xf numFmtId="0" fontId="0" fillId="0" borderId="3" xfId="0" applyFill="1" applyBorder="1"/>
    <xf numFmtId="10" fontId="0" fillId="0" borderId="5" xfId="0" applyNumberFormat="1" applyBorder="1"/>
    <xf numFmtId="8" fontId="1" fillId="0" borderId="7" xfId="0" applyNumberFormat="1" applyFont="1" applyBorder="1"/>
    <xf numFmtId="10" fontId="0" fillId="0" borderId="8" xfId="0" applyNumberFormat="1" applyBorder="1"/>
    <xf numFmtId="0" fontId="0" fillId="0" borderId="5" xfId="0" applyBorder="1"/>
    <xf numFmtId="0" fontId="0" fillId="0" borderId="8" xfId="0" applyBorder="1"/>
    <xf numFmtId="2" fontId="0" fillId="0" borderId="0" xfId="0" applyNumberFormat="1" applyBorder="1"/>
    <xf numFmtId="2" fontId="0" fillId="0" borderId="7" xfId="0" applyNumberFormat="1" applyBorder="1"/>
    <xf numFmtId="0" fontId="0" fillId="6" borderId="0" xfId="0" applyFill="1"/>
    <xf numFmtId="8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Fill="1" applyBorder="1"/>
    <xf numFmtId="10" fontId="0" fillId="0" borderId="0" xfId="0" applyNumberFormat="1" applyBorder="1" applyAlignment="1">
      <alignment vertical="center"/>
    </xf>
    <xf numFmtId="10" fontId="0" fillId="0" borderId="7" xfId="2" applyNumberFormat="1" applyFont="1" applyBorder="1" applyAlignment="1">
      <alignment vertical="center"/>
    </xf>
    <xf numFmtId="10" fontId="0" fillId="0" borderId="5" xfId="2" applyNumberFormat="1" applyFont="1" applyBorder="1" applyAlignment="1">
      <alignment vertical="center"/>
    </xf>
    <xf numFmtId="10" fontId="1" fillId="0" borderId="0" xfId="2" applyNumberFormat="1" applyFont="1"/>
    <xf numFmtId="165" fontId="0" fillId="0" borderId="0" xfId="2" applyNumberFormat="1" applyFont="1"/>
    <xf numFmtId="0" fontId="12" fillId="0" borderId="0" xfId="0" applyFont="1" applyAlignment="1">
      <alignment vertical="center" wrapText="1" readingOrder="1"/>
    </xf>
    <xf numFmtId="0" fontId="3" fillId="0" borderId="0" xfId="0" applyFont="1" applyAlignment="1">
      <alignment wrapText="1"/>
    </xf>
    <xf numFmtId="0" fontId="12" fillId="0" borderId="0" xfId="0" applyFont="1" applyAlignment="1">
      <alignment horizontal="center" vertical="center" readingOrder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11" xfId="0" applyBorder="1" applyAlignment="1">
      <alignment horizontal="center"/>
    </xf>
    <xf numFmtId="0" fontId="6" fillId="0" borderId="12" xfId="0" applyFont="1" applyBorder="1"/>
    <xf numFmtId="0" fontId="8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E1A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SPIDER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Solar!$O$17</c:f>
              <c:strCache>
                <c:ptCount val="1"/>
                <c:pt idx="0">
                  <c:v>Large Panel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Solar!$O$18:$O$22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84</c:v>
                </c:pt>
                <c:pt idx="3">
                  <c:v>70</c:v>
                </c:pt>
                <c:pt idx="4">
                  <c:v>56</c:v>
                </c:pt>
              </c:numCache>
            </c:numRef>
          </c:xVal>
          <c:yVal>
            <c:numRef>
              <c:f>Solar!$P$18:$P$22</c:f>
              <c:numCache>
                <c:formatCode>"$"#,##0.00_);[Red]\("$"#,##0.00\)</c:formatCode>
                <c:ptCount val="5"/>
                <c:pt idx="0">
                  <c:v>173130.49950996737</c:v>
                </c:pt>
                <c:pt idx="1">
                  <c:v>125577.40793314006</c:v>
                </c:pt>
                <c:pt idx="2">
                  <c:v>87534.934671678173</c:v>
                </c:pt>
                <c:pt idx="3">
                  <c:v>54247.770567898988</c:v>
                </c:pt>
                <c:pt idx="4">
                  <c:v>20960.606464119861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3B-44EE-BBDC-0C0138261563}"/>
            </c:ext>
          </c:extLst>
        </c:ser>
        <c:ser>
          <c:idx val="1"/>
          <c:order val="1"/>
          <c:tx>
            <c:strRef>
              <c:f>Solar!$O$27</c:f>
              <c:strCache>
                <c:ptCount val="1"/>
                <c:pt idx="0">
                  <c:v>Small Panel</c:v>
                </c:pt>
              </c:strCache>
            </c:strRef>
          </c:tx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Solar!$O$28:$O$32</c:f>
              <c:numCache>
                <c:formatCode>General</c:formatCode>
                <c:ptCount val="5"/>
                <c:pt idx="0">
                  <c:v>120</c:v>
                </c:pt>
                <c:pt idx="1">
                  <c:v>100</c:v>
                </c:pt>
                <c:pt idx="2">
                  <c:v>84</c:v>
                </c:pt>
                <c:pt idx="3">
                  <c:v>70</c:v>
                </c:pt>
                <c:pt idx="4">
                  <c:v>56</c:v>
                </c:pt>
              </c:numCache>
            </c:numRef>
          </c:xVal>
          <c:yVal>
            <c:numRef>
              <c:f>Solar!$P$28:$P$32</c:f>
              <c:numCache>
                <c:formatCode>"$"#,##0.00_);[Red]\("$"#,##0.00\)</c:formatCode>
                <c:ptCount val="5"/>
                <c:pt idx="0">
                  <c:v>141837.32231122968</c:v>
                </c:pt>
                <c:pt idx="1">
                  <c:v>107599.09637591397</c:v>
                </c:pt>
                <c:pt idx="2">
                  <c:v>80208.515627661414</c:v>
                </c:pt>
                <c:pt idx="3">
                  <c:v>56241.757472940444</c:v>
                </c:pt>
                <c:pt idx="4">
                  <c:v>32274.999318219445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3B-44EE-BBDC-0C0138261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88832"/>
        <c:axId val="390290008"/>
      </c:scatterChart>
      <c:valAx>
        <c:axId val="39028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0008"/>
        <c:crosses val="autoZero"/>
        <c:crossBetween val="midCat"/>
      </c:valAx>
      <c:valAx>
        <c:axId val="39029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NPW</a:t>
                </a:r>
              </a:p>
            </c:rich>
          </c:tx>
          <c:layout>
            <c:manualLayout>
              <c:xMode val="edge"/>
              <c:yMode val="edge"/>
              <c:x val="1.5024094555840105E-2"/>
              <c:y val="0.444027405694747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Utility</a:t>
            </a:r>
            <a:r>
              <a:rPr lang="en-CA" baseline="0"/>
              <a:t>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Solar!$C$61</c:f>
              <c:strCache>
                <c:ptCount val="1"/>
                <c:pt idx="0">
                  <c:v>U(G)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name>Poly. (G)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Solar!$B$62:$B$93</c:f>
              <c:numCache>
                <c:formatCode>General</c:formatCode>
                <c:ptCount val="32"/>
                <c:pt idx="0">
                  <c:v>173000</c:v>
                </c:pt>
                <c:pt idx="1">
                  <c:v>170000</c:v>
                </c:pt>
                <c:pt idx="2">
                  <c:v>165000</c:v>
                </c:pt>
                <c:pt idx="3">
                  <c:v>160000</c:v>
                </c:pt>
                <c:pt idx="4">
                  <c:v>155000</c:v>
                </c:pt>
                <c:pt idx="5">
                  <c:v>150000</c:v>
                </c:pt>
                <c:pt idx="6">
                  <c:v>145000</c:v>
                </c:pt>
                <c:pt idx="7">
                  <c:v>140000</c:v>
                </c:pt>
                <c:pt idx="8">
                  <c:v>135000</c:v>
                </c:pt>
                <c:pt idx="9">
                  <c:v>130000</c:v>
                </c:pt>
                <c:pt idx="10">
                  <c:v>125000</c:v>
                </c:pt>
                <c:pt idx="11">
                  <c:v>120000</c:v>
                </c:pt>
                <c:pt idx="12">
                  <c:v>115000</c:v>
                </c:pt>
                <c:pt idx="13">
                  <c:v>110000</c:v>
                </c:pt>
                <c:pt idx="14">
                  <c:v>105000</c:v>
                </c:pt>
                <c:pt idx="15">
                  <c:v>100000</c:v>
                </c:pt>
                <c:pt idx="16">
                  <c:v>95000</c:v>
                </c:pt>
                <c:pt idx="17">
                  <c:v>90000</c:v>
                </c:pt>
                <c:pt idx="18">
                  <c:v>85000</c:v>
                </c:pt>
                <c:pt idx="19">
                  <c:v>80000</c:v>
                </c:pt>
                <c:pt idx="20">
                  <c:v>75000</c:v>
                </c:pt>
                <c:pt idx="21">
                  <c:v>70000</c:v>
                </c:pt>
                <c:pt idx="22">
                  <c:v>65000</c:v>
                </c:pt>
                <c:pt idx="23">
                  <c:v>60000</c:v>
                </c:pt>
                <c:pt idx="24">
                  <c:v>55000</c:v>
                </c:pt>
                <c:pt idx="25">
                  <c:v>50000</c:v>
                </c:pt>
                <c:pt idx="26">
                  <c:v>45000</c:v>
                </c:pt>
                <c:pt idx="27">
                  <c:v>40000</c:v>
                </c:pt>
                <c:pt idx="28">
                  <c:v>35000</c:v>
                </c:pt>
                <c:pt idx="29">
                  <c:v>30000</c:v>
                </c:pt>
                <c:pt idx="30">
                  <c:v>25000</c:v>
                </c:pt>
                <c:pt idx="31">
                  <c:v>20000</c:v>
                </c:pt>
              </c:numCache>
            </c:numRef>
          </c:xVal>
          <c:yVal>
            <c:numRef>
              <c:f>Solar!$C$62:$C$93</c:f>
              <c:numCache>
                <c:formatCode>General</c:formatCode>
                <c:ptCount val="32"/>
                <c:pt idx="0">
                  <c:v>1</c:v>
                </c:pt>
                <c:pt idx="3">
                  <c:v>0.98</c:v>
                </c:pt>
                <c:pt idx="6">
                  <c:v>0.97</c:v>
                </c:pt>
                <c:pt idx="10">
                  <c:v>0.95</c:v>
                </c:pt>
                <c:pt idx="14">
                  <c:v>0.92</c:v>
                </c:pt>
                <c:pt idx="16">
                  <c:v>0.87</c:v>
                </c:pt>
                <c:pt idx="19">
                  <c:v>0.78</c:v>
                </c:pt>
                <c:pt idx="21">
                  <c:v>0.64</c:v>
                </c:pt>
                <c:pt idx="24">
                  <c:v>0.4</c:v>
                </c:pt>
                <c:pt idx="29">
                  <c:v>0.16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B-4CD5-9B9E-287280CC5112}"/>
            </c:ext>
          </c:extLst>
        </c:ser>
        <c:ser>
          <c:idx val="1"/>
          <c:order val="1"/>
          <c:tx>
            <c:strRef>
              <c:f>Solar!$D$61</c:f>
              <c:strCache>
                <c:ptCount val="1"/>
                <c:pt idx="0">
                  <c:v>U(M)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Log. (M)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Solar!$B$62:$B$93</c:f>
              <c:numCache>
                <c:formatCode>General</c:formatCode>
                <c:ptCount val="32"/>
                <c:pt idx="0">
                  <c:v>173000</c:v>
                </c:pt>
                <c:pt idx="1">
                  <c:v>170000</c:v>
                </c:pt>
                <c:pt idx="2">
                  <c:v>165000</c:v>
                </c:pt>
                <c:pt idx="3">
                  <c:v>160000</c:v>
                </c:pt>
                <c:pt idx="4">
                  <c:v>155000</c:v>
                </c:pt>
                <c:pt idx="5">
                  <c:v>150000</c:v>
                </c:pt>
                <c:pt idx="6">
                  <c:v>145000</c:v>
                </c:pt>
                <c:pt idx="7">
                  <c:v>140000</c:v>
                </c:pt>
                <c:pt idx="8">
                  <c:v>135000</c:v>
                </c:pt>
                <c:pt idx="9">
                  <c:v>130000</c:v>
                </c:pt>
                <c:pt idx="10">
                  <c:v>125000</c:v>
                </c:pt>
                <c:pt idx="11">
                  <c:v>120000</c:v>
                </c:pt>
                <c:pt idx="12">
                  <c:v>115000</c:v>
                </c:pt>
                <c:pt idx="13">
                  <c:v>110000</c:v>
                </c:pt>
                <c:pt idx="14">
                  <c:v>105000</c:v>
                </c:pt>
                <c:pt idx="15">
                  <c:v>100000</c:v>
                </c:pt>
                <c:pt idx="16">
                  <c:v>95000</c:v>
                </c:pt>
                <c:pt idx="17">
                  <c:v>90000</c:v>
                </c:pt>
                <c:pt idx="18">
                  <c:v>85000</c:v>
                </c:pt>
                <c:pt idx="19">
                  <c:v>80000</c:v>
                </c:pt>
                <c:pt idx="20">
                  <c:v>75000</c:v>
                </c:pt>
                <c:pt idx="21">
                  <c:v>70000</c:v>
                </c:pt>
                <c:pt idx="22">
                  <c:v>65000</c:v>
                </c:pt>
                <c:pt idx="23">
                  <c:v>60000</c:v>
                </c:pt>
                <c:pt idx="24">
                  <c:v>55000</c:v>
                </c:pt>
                <c:pt idx="25">
                  <c:v>50000</c:v>
                </c:pt>
                <c:pt idx="26">
                  <c:v>45000</c:v>
                </c:pt>
                <c:pt idx="27">
                  <c:v>40000</c:v>
                </c:pt>
                <c:pt idx="28">
                  <c:v>35000</c:v>
                </c:pt>
                <c:pt idx="29">
                  <c:v>30000</c:v>
                </c:pt>
                <c:pt idx="30">
                  <c:v>25000</c:v>
                </c:pt>
                <c:pt idx="31">
                  <c:v>20000</c:v>
                </c:pt>
              </c:numCache>
            </c:numRef>
          </c:xVal>
          <c:yVal>
            <c:numRef>
              <c:f>Solar!$D$62:$D$93</c:f>
              <c:numCache>
                <c:formatCode>General</c:formatCode>
                <c:ptCount val="32"/>
                <c:pt idx="0">
                  <c:v>1</c:v>
                </c:pt>
                <c:pt idx="5">
                  <c:v>0.87</c:v>
                </c:pt>
                <c:pt idx="11">
                  <c:v>0.78400000000000003</c:v>
                </c:pt>
                <c:pt idx="19">
                  <c:v>0.64</c:v>
                </c:pt>
                <c:pt idx="25">
                  <c:v>0.4</c:v>
                </c:pt>
                <c:pt idx="29">
                  <c:v>0.16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B-4CD5-9B9E-287280CC5112}"/>
            </c:ext>
          </c:extLst>
        </c:ser>
        <c:ser>
          <c:idx val="2"/>
          <c:order val="2"/>
          <c:tx>
            <c:strRef>
              <c:f>Solar!$E$61</c:f>
              <c:strCache>
                <c:ptCount val="1"/>
                <c:pt idx="0">
                  <c:v>U(V)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Poly. (V)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Solar!$B$62:$B$93</c:f>
              <c:numCache>
                <c:formatCode>General</c:formatCode>
                <c:ptCount val="32"/>
                <c:pt idx="0">
                  <c:v>173000</c:v>
                </c:pt>
                <c:pt idx="1">
                  <c:v>170000</c:v>
                </c:pt>
                <c:pt idx="2">
                  <c:v>165000</c:v>
                </c:pt>
                <c:pt idx="3">
                  <c:v>160000</c:v>
                </c:pt>
                <c:pt idx="4">
                  <c:v>155000</c:v>
                </c:pt>
                <c:pt idx="5">
                  <c:v>150000</c:v>
                </c:pt>
                <c:pt idx="6">
                  <c:v>145000</c:v>
                </c:pt>
                <c:pt idx="7">
                  <c:v>140000</c:v>
                </c:pt>
                <c:pt idx="8">
                  <c:v>135000</c:v>
                </c:pt>
                <c:pt idx="9">
                  <c:v>130000</c:v>
                </c:pt>
                <c:pt idx="10">
                  <c:v>125000</c:v>
                </c:pt>
                <c:pt idx="11">
                  <c:v>120000</c:v>
                </c:pt>
                <c:pt idx="12">
                  <c:v>115000</c:v>
                </c:pt>
                <c:pt idx="13">
                  <c:v>110000</c:v>
                </c:pt>
                <c:pt idx="14">
                  <c:v>105000</c:v>
                </c:pt>
                <c:pt idx="15">
                  <c:v>100000</c:v>
                </c:pt>
                <c:pt idx="16">
                  <c:v>95000</c:v>
                </c:pt>
                <c:pt idx="17">
                  <c:v>90000</c:v>
                </c:pt>
                <c:pt idx="18">
                  <c:v>85000</c:v>
                </c:pt>
                <c:pt idx="19">
                  <c:v>80000</c:v>
                </c:pt>
                <c:pt idx="20">
                  <c:v>75000</c:v>
                </c:pt>
                <c:pt idx="21">
                  <c:v>70000</c:v>
                </c:pt>
                <c:pt idx="22">
                  <c:v>65000</c:v>
                </c:pt>
                <c:pt idx="23">
                  <c:v>60000</c:v>
                </c:pt>
                <c:pt idx="24">
                  <c:v>55000</c:v>
                </c:pt>
                <c:pt idx="25">
                  <c:v>50000</c:v>
                </c:pt>
                <c:pt idx="26">
                  <c:v>45000</c:v>
                </c:pt>
                <c:pt idx="27">
                  <c:v>40000</c:v>
                </c:pt>
                <c:pt idx="28">
                  <c:v>35000</c:v>
                </c:pt>
                <c:pt idx="29">
                  <c:v>30000</c:v>
                </c:pt>
                <c:pt idx="30">
                  <c:v>25000</c:v>
                </c:pt>
                <c:pt idx="31">
                  <c:v>20000</c:v>
                </c:pt>
              </c:numCache>
            </c:numRef>
          </c:xVal>
          <c:yVal>
            <c:numRef>
              <c:f>Solar!$E$62:$E$93</c:f>
              <c:numCache>
                <c:formatCode>General</c:formatCode>
                <c:ptCount val="32"/>
                <c:pt idx="0">
                  <c:v>1</c:v>
                </c:pt>
                <c:pt idx="4">
                  <c:v>0.78400000000000003</c:v>
                </c:pt>
                <c:pt idx="8">
                  <c:v>0.64</c:v>
                </c:pt>
                <c:pt idx="15">
                  <c:v>0.4</c:v>
                </c:pt>
                <c:pt idx="22">
                  <c:v>0.16</c:v>
                </c:pt>
                <c:pt idx="26">
                  <c:v>6.4000000000000001E-2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B-4CD5-9B9E-287280CC5112}"/>
            </c:ext>
          </c:extLst>
        </c:ser>
        <c:ser>
          <c:idx val="3"/>
          <c:order val="3"/>
          <c:tx>
            <c:strRef>
              <c:f>Solar!$F$61</c:f>
              <c:strCache>
                <c:ptCount val="1"/>
                <c:pt idx="0">
                  <c:v>U(N)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Liner (N)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Solar!$B$62:$B$93</c:f>
              <c:numCache>
                <c:formatCode>General</c:formatCode>
                <c:ptCount val="32"/>
                <c:pt idx="0">
                  <c:v>173000</c:v>
                </c:pt>
                <c:pt idx="1">
                  <c:v>170000</c:v>
                </c:pt>
                <c:pt idx="2">
                  <c:v>165000</c:v>
                </c:pt>
                <c:pt idx="3">
                  <c:v>160000</c:v>
                </c:pt>
                <c:pt idx="4">
                  <c:v>155000</c:v>
                </c:pt>
                <c:pt idx="5">
                  <c:v>150000</c:v>
                </c:pt>
                <c:pt idx="6">
                  <c:v>145000</c:v>
                </c:pt>
                <c:pt idx="7">
                  <c:v>140000</c:v>
                </c:pt>
                <c:pt idx="8">
                  <c:v>135000</c:v>
                </c:pt>
                <c:pt idx="9">
                  <c:v>130000</c:v>
                </c:pt>
                <c:pt idx="10">
                  <c:v>125000</c:v>
                </c:pt>
                <c:pt idx="11">
                  <c:v>120000</c:v>
                </c:pt>
                <c:pt idx="12">
                  <c:v>115000</c:v>
                </c:pt>
                <c:pt idx="13">
                  <c:v>110000</c:v>
                </c:pt>
                <c:pt idx="14">
                  <c:v>105000</c:v>
                </c:pt>
                <c:pt idx="15">
                  <c:v>100000</c:v>
                </c:pt>
                <c:pt idx="16">
                  <c:v>95000</c:v>
                </c:pt>
                <c:pt idx="17">
                  <c:v>90000</c:v>
                </c:pt>
                <c:pt idx="18">
                  <c:v>85000</c:v>
                </c:pt>
                <c:pt idx="19">
                  <c:v>80000</c:v>
                </c:pt>
                <c:pt idx="20">
                  <c:v>75000</c:v>
                </c:pt>
                <c:pt idx="21">
                  <c:v>70000</c:v>
                </c:pt>
                <c:pt idx="22">
                  <c:v>65000</c:v>
                </c:pt>
                <c:pt idx="23">
                  <c:v>60000</c:v>
                </c:pt>
                <c:pt idx="24">
                  <c:v>55000</c:v>
                </c:pt>
                <c:pt idx="25">
                  <c:v>50000</c:v>
                </c:pt>
                <c:pt idx="26">
                  <c:v>45000</c:v>
                </c:pt>
                <c:pt idx="27">
                  <c:v>40000</c:v>
                </c:pt>
                <c:pt idx="28">
                  <c:v>35000</c:v>
                </c:pt>
                <c:pt idx="29">
                  <c:v>30000</c:v>
                </c:pt>
                <c:pt idx="30">
                  <c:v>25000</c:v>
                </c:pt>
                <c:pt idx="31">
                  <c:v>20000</c:v>
                </c:pt>
              </c:numCache>
            </c:numRef>
          </c:xVal>
          <c:yVal>
            <c:numRef>
              <c:f>Solar!$F$62:$F$93</c:f>
              <c:numCache>
                <c:formatCode>General</c:formatCode>
                <c:ptCount val="32"/>
                <c:pt idx="0">
                  <c:v>1</c:v>
                </c:pt>
                <c:pt idx="5">
                  <c:v>0.78400000000000003</c:v>
                </c:pt>
                <c:pt idx="9">
                  <c:v>0.64</c:v>
                </c:pt>
                <c:pt idx="18">
                  <c:v>0.4</c:v>
                </c:pt>
                <c:pt idx="25">
                  <c:v>0.16</c:v>
                </c:pt>
                <c:pt idx="28">
                  <c:v>6.4000000000000001E-2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2B-4CD5-9B9E-287280CC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12688"/>
        <c:axId val="713009488"/>
      </c:scatterChart>
      <c:valAx>
        <c:axId val="7130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Net</a:t>
                </a:r>
                <a:r>
                  <a:rPr lang="en-CA" baseline="0"/>
                  <a:t> Present Worth (NPW)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9488"/>
        <c:crosses val="autoZero"/>
        <c:crossBetween val="midCat"/>
      </c:valAx>
      <c:valAx>
        <c:axId val="7130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Utility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Utility!$C$4</c:f>
              <c:strCache>
                <c:ptCount val="1"/>
                <c:pt idx="0">
                  <c:v>Utility(G)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EE1ABC"/>
                </a:solidFill>
              </a:ln>
              <a:effectLst/>
            </c:spPr>
          </c:marker>
          <c:trendline>
            <c:name>Utility (G)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Utility!$B$5:$B$15</c:f>
              <c:numCache>
                <c:formatCode>General</c:formatCode>
                <c:ptCount val="11"/>
                <c:pt idx="0">
                  <c:v>173000</c:v>
                </c:pt>
                <c:pt idx="1">
                  <c:v>160000</c:v>
                </c:pt>
                <c:pt idx="2">
                  <c:v>145000</c:v>
                </c:pt>
                <c:pt idx="3">
                  <c:v>125000</c:v>
                </c:pt>
                <c:pt idx="4">
                  <c:v>105000</c:v>
                </c:pt>
                <c:pt idx="5">
                  <c:v>95000</c:v>
                </c:pt>
                <c:pt idx="6">
                  <c:v>80000</c:v>
                </c:pt>
                <c:pt idx="7">
                  <c:v>70000</c:v>
                </c:pt>
                <c:pt idx="8">
                  <c:v>55000</c:v>
                </c:pt>
                <c:pt idx="9">
                  <c:v>30000</c:v>
                </c:pt>
                <c:pt idx="10">
                  <c:v>20000</c:v>
                </c:pt>
              </c:numCache>
            </c:numRef>
          </c:xVal>
          <c:yVal>
            <c:numRef>
              <c:f>Utility!$C$5:$C$15</c:f>
              <c:numCache>
                <c:formatCode>General</c:formatCode>
                <c:ptCount val="11"/>
                <c:pt idx="0">
                  <c:v>1</c:v>
                </c:pt>
                <c:pt idx="1">
                  <c:v>0.98</c:v>
                </c:pt>
                <c:pt idx="2">
                  <c:v>0.97</c:v>
                </c:pt>
                <c:pt idx="3">
                  <c:v>0.95</c:v>
                </c:pt>
                <c:pt idx="4">
                  <c:v>0.92</c:v>
                </c:pt>
                <c:pt idx="5">
                  <c:v>0.87</c:v>
                </c:pt>
                <c:pt idx="6">
                  <c:v>0.78</c:v>
                </c:pt>
                <c:pt idx="7">
                  <c:v>0.64</c:v>
                </c:pt>
                <c:pt idx="8">
                  <c:v>0.4</c:v>
                </c:pt>
                <c:pt idx="9">
                  <c:v>0.16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B-4F1E-8302-5F44C72F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514552"/>
        <c:axId val="840513272"/>
      </c:scatterChart>
      <c:valAx>
        <c:axId val="840514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3272"/>
        <c:crosses val="autoZero"/>
        <c:crossBetween val="midCat"/>
      </c:valAx>
      <c:valAx>
        <c:axId val="8405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14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Utility!$B$20:$B$26</c:f>
              <c:numCache>
                <c:formatCode>General</c:formatCode>
                <c:ptCount val="7"/>
                <c:pt idx="0">
                  <c:v>173000</c:v>
                </c:pt>
                <c:pt idx="1">
                  <c:v>150000</c:v>
                </c:pt>
                <c:pt idx="2">
                  <c:v>120000</c:v>
                </c:pt>
                <c:pt idx="3">
                  <c:v>80000</c:v>
                </c:pt>
                <c:pt idx="4">
                  <c:v>50000</c:v>
                </c:pt>
                <c:pt idx="5">
                  <c:v>30000</c:v>
                </c:pt>
                <c:pt idx="6">
                  <c:v>20000</c:v>
                </c:pt>
              </c:numCache>
            </c:numRef>
          </c:xVal>
          <c:yVal>
            <c:numRef>
              <c:f>Utility!$C$20:$C$26</c:f>
              <c:numCache>
                <c:formatCode>General</c:formatCode>
                <c:ptCount val="7"/>
                <c:pt idx="0">
                  <c:v>1</c:v>
                </c:pt>
                <c:pt idx="1">
                  <c:v>0.87</c:v>
                </c:pt>
                <c:pt idx="2">
                  <c:v>0.78400000000000003</c:v>
                </c:pt>
                <c:pt idx="3">
                  <c:v>0.64</c:v>
                </c:pt>
                <c:pt idx="4">
                  <c:v>0.4</c:v>
                </c:pt>
                <c:pt idx="5">
                  <c:v>0.16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5-42EC-8D0B-606494E0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83888"/>
        <c:axId val="712984528"/>
      </c:scatterChart>
      <c:valAx>
        <c:axId val="71298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4528"/>
        <c:crosses val="autoZero"/>
        <c:crossBetween val="midCat"/>
      </c:valAx>
      <c:valAx>
        <c:axId val="7129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8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Utility!$Q$4:$Q$10</c:f>
              <c:numCache>
                <c:formatCode>General</c:formatCode>
                <c:ptCount val="7"/>
                <c:pt idx="0">
                  <c:v>173000</c:v>
                </c:pt>
                <c:pt idx="1">
                  <c:v>150000</c:v>
                </c:pt>
                <c:pt idx="2">
                  <c:v>130000</c:v>
                </c:pt>
                <c:pt idx="3">
                  <c:v>85000</c:v>
                </c:pt>
                <c:pt idx="4">
                  <c:v>50000</c:v>
                </c:pt>
                <c:pt idx="5">
                  <c:v>35000</c:v>
                </c:pt>
                <c:pt idx="6">
                  <c:v>20000</c:v>
                </c:pt>
              </c:numCache>
            </c:numRef>
          </c:xVal>
          <c:yVal>
            <c:numRef>
              <c:f>Utility!$R$4:$R$10</c:f>
              <c:numCache>
                <c:formatCode>General</c:formatCode>
                <c:ptCount val="7"/>
                <c:pt idx="0">
                  <c:v>1</c:v>
                </c:pt>
                <c:pt idx="1">
                  <c:v>0.78400000000000003</c:v>
                </c:pt>
                <c:pt idx="2">
                  <c:v>0.64</c:v>
                </c:pt>
                <c:pt idx="3">
                  <c:v>0.4</c:v>
                </c:pt>
                <c:pt idx="4">
                  <c:v>0.16</c:v>
                </c:pt>
                <c:pt idx="5">
                  <c:v>6.4000000000000001E-2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1-4599-BA44-D3C295F9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04688"/>
        <c:axId val="713004368"/>
      </c:scatterChart>
      <c:valAx>
        <c:axId val="7130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4368"/>
        <c:crosses val="autoZero"/>
        <c:crossBetween val="midCat"/>
      </c:valAx>
      <c:valAx>
        <c:axId val="7130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Utility!$Q$18:$Q$24</c:f>
              <c:numCache>
                <c:formatCode>General</c:formatCode>
                <c:ptCount val="7"/>
                <c:pt idx="0">
                  <c:v>173000</c:v>
                </c:pt>
                <c:pt idx="1">
                  <c:v>155000</c:v>
                </c:pt>
                <c:pt idx="2">
                  <c:v>135000</c:v>
                </c:pt>
                <c:pt idx="3">
                  <c:v>100000</c:v>
                </c:pt>
                <c:pt idx="4">
                  <c:v>65000</c:v>
                </c:pt>
                <c:pt idx="5">
                  <c:v>45000</c:v>
                </c:pt>
                <c:pt idx="6">
                  <c:v>20000</c:v>
                </c:pt>
              </c:numCache>
            </c:numRef>
          </c:xVal>
          <c:yVal>
            <c:numRef>
              <c:f>Utility!$R$18:$R$24</c:f>
              <c:numCache>
                <c:formatCode>General</c:formatCode>
                <c:ptCount val="7"/>
                <c:pt idx="0">
                  <c:v>1</c:v>
                </c:pt>
                <c:pt idx="1">
                  <c:v>0.78400000000000003</c:v>
                </c:pt>
                <c:pt idx="2">
                  <c:v>0.64</c:v>
                </c:pt>
                <c:pt idx="3">
                  <c:v>0.4</c:v>
                </c:pt>
                <c:pt idx="4">
                  <c:v>0.16</c:v>
                </c:pt>
                <c:pt idx="5">
                  <c:v>6.4000000000000001E-2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B-44A4-A90D-5DAB08B1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06608"/>
        <c:axId val="713004048"/>
      </c:scatterChart>
      <c:valAx>
        <c:axId val="71300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4048"/>
        <c:crosses val="autoZero"/>
        <c:crossBetween val="midCat"/>
      </c:valAx>
      <c:valAx>
        <c:axId val="713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84058763487901"/>
          <c:y val="0.14406540414137375"/>
          <c:w val="0.80325441090696992"/>
          <c:h val="0.74212683431224868"/>
        </c:manualLayout>
      </c:layout>
      <c:scatterChart>
        <c:scatterStyle val="lineMarker"/>
        <c:varyColors val="0"/>
        <c:ser>
          <c:idx val="0"/>
          <c:order val="0"/>
          <c:tx>
            <c:strRef>
              <c:f>Utility!$E$44</c:f>
              <c:strCache>
                <c:ptCount val="1"/>
                <c:pt idx="0">
                  <c:v>Utility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Utility!$E$45:$E$52</c:f>
              <c:numCache>
                <c:formatCode>General</c:formatCode>
                <c:ptCount val="8"/>
                <c:pt idx="0">
                  <c:v>1</c:v>
                </c:pt>
                <c:pt idx="1">
                  <c:v>0.87</c:v>
                </c:pt>
                <c:pt idx="2">
                  <c:v>0.78400000000000003</c:v>
                </c:pt>
                <c:pt idx="3">
                  <c:v>0.64</c:v>
                </c:pt>
                <c:pt idx="4">
                  <c:v>0.4</c:v>
                </c:pt>
                <c:pt idx="5">
                  <c:v>0.25600000000000001</c:v>
                </c:pt>
                <c:pt idx="6">
                  <c:v>0.1024</c:v>
                </c:pt>
                <c:pt idx="7">
                  <c:v>0</c:v>
                </c:pt>
              </c:numCache>
            </c:numRef>
          </c:xVal>
          <c:yVal>
            <c:numRef>
              <c:f>Utility!$D$45:$D$52</c:f>
              <c:numCache>
                <c:formatCode>General</c:formatCode>
                <c:ptCount val="8"/>
                <c:pt idx="0">
                  <c:v>134454.54493635349</c:v>
                </c:pt>
                <c:pt idx="1">
                  <c:v>115000</c:v>
                </c:pt>
                <c:pt idx="2">
                  <c:v>93072.442760787177</c:v>
                </c:pt>
                <c:pt idx="3">
                  <c:v>68004.261115336019</c:v>
                </c:pt>
                <c:pt idx="4">
                  <c:v>43174.999809996269</c:v>
                </c:pt>
                <c:pt idx="5">
                  <c:v>26622.158939769761</c:v>
                </c:pt>
                <c:pt idx="6">
                  <c:v>10069.318069543246</c:v>
                </c:pt>
                <c:pt idx="7">
                  <c:v>-3485.7956488674536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10-4E3A-B4BE-F65CF5C94714}"/>
            </c:ext>
          </c:extLst>
        </c:ser>
        <c:ser>
          <c:idx val="1"/>
          <c:order val="1"/>
          <c:tx>
            <c:strRef>
              <c:f>Utility!$F$44</c:f>
              <c:strCache>
                <c:ptCount val="1"/>
                <c:pt idx="0">
                  <c:v>Utility 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Utility!$F$45:$F$52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0.3</c:v>
                </c:pt>
                <c:pt idx="4">
                  <c:v>0.15</c:v>
                </c:pt>
                <c:pt idx="5">
                  <c:v>0.09</c:v>
                </c:pt>
                <c:pt idx="6">
                  <c:v>0.05</c:v>
                </c:pt>
                <c:pt idx="7">
                  <c:v>1.0000000000000001E-5</c:v>
                </c:pt>
              </c:numCache>
            </c:numRef>
          </c:xVal>
          <c:yVal>
            <c:numRef>
              <c:f>Utility!$D$45:$D$52</c:f>
              <c:numCache>
                <c:formatCode>General</c:formatCode>
                <c:ptCount val="8"/>
                <c:pt idx="0">
                  <c:v>134454.54493635349</c:v>
                </c:pt>
                <c:pt idx="1">
                  <c:v>115000</c:v>
                </c:pt>
                <c:pt idx="2">
                  <c:v>93072.442760787177</c:v>
                </c:pt>
                <c:pt idx="3">
                  <c:v>68004.261115336019</c:v>
                </c:pt>
                <c:pt idx="4">
                  <c:v>43174.999809996269</c:v>
                </c:pt>
                <c:pt idx="5">
                  <c:v>26622.158939769761</c:v>
                </c:pt>
                <c:pt idx="6">
                  <c:v>10069.318069543246</c:v>
                </c:pt>
                <c:pt idx="7">
                  <c:v>-3485.7956488674536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10-4E3A-B4BE-F65CF5C94714}"/>
            </c:ext>
          </c:extLst>
        </c:ser>
        <c:ser>
          <c:idx val="2"/>
          <c:order val="2"/>
          <c:tx>
            <c:strRef>
              <c:f>Utility!$G$44</c:f>
              <c:strCache>
                <c:ptCount val="1"/>
                <c:pt idx="0">
                  <c:v>Utility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Utility!$G$45:$G$52</c:f>
              <c:numCache>
                <c:formatCode>General</c:formatCode>
                <c:ptCount val="8"/>
                <c:pt idx="0">
                  <c:v>1</c:v>
                </c:pt>
                <c:pt idx="1">
                  <c:v>0.98</c:v>
                </c:pt>
                <c:pt idx="2">
                  <c:v>0.9</c:v>
                </c:pt>
                <c:pt idx="3">
                  <c:v>0.8</c:v>
                </c:pt>
                <c:pt idx="4">
                  <c:v>0.67</c:v>
                </c:pt>
                <c:pt idx="5">
                  <c:v>0.5</c:v>
                </c:pt>
                <c:pt idx="6">
                  <c:v>0.35</c:v>
                </c:pt>
                <c:pt idx="7">
                  <c:v>1.0000000000000001E-5</c:v>
                </c:pt>
              </c:numCache>
            </c:numRef>
          </c:xVal>
          <c:yVal>
            <c:numRef>
              <c:f>Utility!$D$45:$D$52</c:f>
              <c:numCache>
                <c:formatCode>General</c:formatCode>
                <c:ptCount val="8"/>
                <c:pt idx="0">
                  <c:v>134454.54493635349</c:v>
                </c:pt>
                <c:pt idx="1">
                  <c:v>115000</c:v>
                </c:pt>
                <c:pt idx="2">
                  <c:v>93072.442760787177</c:v>
                </c:pt>
                <c:pt idx="3">
                  <c:v>68004.261115336019</c:v>
                </c:pt>
                <c:pt idx="4">
                  <c:v>43174.999809996269</c:v>
                </c:pt>
                <c:pt idx="5">
                  <c:v>26622.158939769761</c:v>
                </c:pt>
                <c:pt idx="6">
                  <c:v>10069.318069543246</c:v>
                </c:pt>
                <c:pt idx="7">
                  <c:v>-3485.7956488674536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10-4E3A-B4BE-F65CF5C94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151056"/>
        <c:axId val="721153296"/>
      </c:scatterChart>
      <c:valAx>
        <c:axId val="72115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3296"/>
        <c:crosses val="autoZero"/>
        <c:crossBetween val="midCat"/>
      </c:valAx>
      <c:valAx>
        <c:axId val="7211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NPW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5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441960</xdr:colOff>
      <xdr:row>11</xdr:row>
      <xdr:rowOff>45720</xdr:rowOff>
    </xdr:from>
    <xdr:to>
      <xdr:col>28</xdr:col>
      <xdr:colOff>508303</xdr:colOff>
      <xdr:row>30</xdr:row>
      <xdr:rowOff>59618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FD69E-447E-4BFA-A2BF-75E852E81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532086</xdr:colOff>
      <xdr:row>61</xdr:row>
      <xdr:rowOff>175392</xdr:rowOff>
    </xdr:from>
    <xdr:to>
      <xdr:col>13</xdr:col>
      <xdr:colOff>551793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160943-66C3-4CC3-B8A4-A4EFDA7FF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442948</xdr:colOff>
      <xdr:row>1</xdr:row>
      <xdr:rowOff>150676</xdr:rowOff>
    </xdr:from>
    <xdr:to>
      <xdr:col>12</xdr:col>
      <xdr:colOff>138150</xdr:colOff>
      <xdr:row>17</xdr:row>
      <xdr:rowOff>9885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E55A0-823C-45DB-82EB-74DBE07F3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180258</xdr:colOff>
      <xdr:row>18</xdr:row>
      <xdr:rowOff>45884</xdr:rowOff>
    </xdr:from>
    <xdr:to>
      <xdr:col>12</xdr:col>
      <xdr:colOff>508000</xdr:colOff>
      <xdr:row>33</xdr:row>
      <xdr:rowOff>85213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A785C7-727C-4665-8F95-5F89CC932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27</xdr:col>
      <xdr:colOff>294292</xdr:colOff>
      <xdr:row>18</xdr:row>
      <xdr:rowOff>54182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FE9004-49E1-4BBB-8F57-8E01783B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7471</xdr:colOff>
      <xdr:row>21</xdr:row>
      <xdr:rowOff>56707</xdr:rowOff>
    </xdr:from>
    <xdr:to>
      <xdr:col>27</xdr:col>
      <xdr:colOff>301763</xdr:colOff>
      <xdr:row>35</xdr:row>
      <xdr:rowOff>164060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8BD230-CF95-424D-8C91-1CE52328F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18</xdr:col>
      <xdr:colOff>76996</xdr:colOff>
      <xdr:row>60</xdr:row>
      <xdr:rowOff>90925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337B20-0C9F-4D9C-8313-54ECBB7F4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6234-88E8-4FE0-B67C-50608D48A5DF}">
  <dimension ref="A2:P95"/>
  <sheetViews>
    <sheetView zoomScale="110" zoomScaleNormal="40" workbookViewId="0">
      <selection activeCell="O59" sqref="O59"/>
    </sheetView>
  </sheetViews>
  <sheetFormatPr defaultRowHeight="14.4"/>
  <cols>
    <col min="1" max="1" width="11.44140625" bestFit="1" customWidth="1"/>
    <col min="2" max="2" width="9" bestFit="1" customWidth="1"/>
    <col min="3" max="3" width="9.109375" bestFit="1" customWidth="1"/>
    <col min="4" max="4" width="11" bestFit="1" customWidth="1"/>
    <col min="5" max="5" width="10.88671875" bestFit="1" customWidth="1"/>
    <col min="6" max="6" width="11.88671875" bestFit="1" customWidth="1"/>
    <col min="7" max="8" width="11.5546875" bestFit="1" customWidth="1"/>
    <col min="9" max="9" width="11.88671875" bestFit="1" customWidth="1"/>
    <col min="10" max="10" width="11.33203125" bestFit="1" customWidth="1"/>
    <col min="11" max="11" width="10.33203125" bestFit="1" customWidth="1"/>
    <col min="12" max="12" width="15.109375" bestFit="1" customWidth="1"/>
    <col min="13" max="13" width="10.109375" bestFit="1" customWidth="1"/>
    <col min="14" max="14" width="10.44140625" customWidth="1"/>
    <col min="15" max="15" width="14.88671875" customWidth="1"/>
    <col min="16" max="16" width="11.5546875" customWidth="1"/>
    <col min="30" max="30" width="9.6640625" customWidth="1"/>
  </cols>
  <sheetData>
    <row r="2" spans="1:10">
      <c r="A2" t="s">
        <v>3</v>
      </c>
      <c r="B2" s="1">
        <v>-285</v>
      </c>
      <c r="C2" t="s">
        <v>4</v>
      </c>
      <c r="E2" s="74" t="s">
        <v>11</v>
      </c>
      <c r="F2" s="74"/>
      <c r="H2" s="74" t="s">
        <v>23</v>
      </c>
      <c r="I2" s="74"/>
    </row>
    <row r="3" spans="1:10">
      <c r="A3" t="s">
        <v>5</v>
      </c>
      <c r="B3">
        <v>250</v>
      </c>
      <c r="C3" t="s">
        <v>6</v>
      </c>
      <c r="E3" t="s">
        <v>12</v>
      </c>
      <c r="F3">
        <v>250</v>
      </c>
      <c r="G3" t="s">
        <v>6</v>
      </c>
      <c r="H3" t="s">
        <v>12</v>
      </c>
      <c r="I3">
        <v>180</v>
      </c>
      <c r="J3" t="s">
        <v>6</v>
      </c>
    </row>
    <row r="4" spans="1:10">
      <c r="A4" t="s">
        <v>7</v>
      </c>
      <c r="B4">
        <v>150</v>
      </c>
      <c r="C4" t="s">
        <v>6</v>
      </c>
      <c r="E4" t="s">
        <v>13</v>
      </c>
      <c r="F4" s="5">
        <v>105</v>
      </c>
      <c r="H4" t="s">
        <v>13</v>
      </c>
      <c r="I4" s="6">
        <f>(B5+B6)/2</f>
        <v>75</v>
      </c>
    </row>
    <row r="5" spans="1:10">
      <c r="A5" t="s">
        <v>8</v>
      </c>
      <c r="B5">
        <v>105</v>
      </c>
      <c r="C5" t="s">
        <v>10</v>
      </c>
      <c r="E5" t="s">
        <v>14</v>
      </c>
      <c r="F5" s="5">
        <f>(B5+B6)/2</f>
        <v>75</v>
      </c>
      <c r="H5" t="s">
        <v>14</v>
      </c>
      <c r="I5" s="6">
        <f>B6</f>
        <v>45</v>
      </c>
    </row>
    <row r="6" spans="1:10">
      <c r="A6" t="s">
        <v>9</v>
      </c>
      <c r="B6">
        <v>45</v>
      </c>
      <c r="C6" t="s">
        <v>10</v>
      </c>
      <c r="E6" t="s">
        <v>15</v>
      </c>
      <c r="F6" s="5">
        <f>(F5+F4)/2</f>
        <v>90</v>
      </c>
      <c r="H6" t="s">
        <v>15</v>
      </c>
      <c r="I6" s="6">
        <f>(I5+I4)/2</f>
        <v>60</v>
      </c>
    </row>
    <row r="7" spans="1:10">
      <c r="A7" t="s">
        <v>17</v>
      </c>
      <c r="B7" s="2">
        <v>0.55000000000000004</v>
      </c>
      <c r="C7" t="s">
        <v>18</v>
      </c>
      <c r="E7" t="s">
        <v>15</v>
      </c>
      <c r="F7" s="4">
        <v>60</v>
      </c>
      <c r="H7" t="s">
        <v>15</v>
      </c>
      <c r="I7" s="4">
        <v>60</v>
      </c>
    </row>
    <row r="8" spans="1:10">
      <c r="A8" t="s">
        <v>21</v>
      </c>
      <c r="B8" s="3">
        <v>0.04</v>
      </c>
      <c r="E8" t="s">
        <v>16</v>
      </c>
      <c r="F8" s="1">
        <f>F3*B2</f>
        <v>-71250</v>
      </c>
      <c r="G8" s="1"/>
      <c r="H8" s="1" t="s">
        <v>16</v>
      </c>
      <c r="I8" s="1">
        <f>I3*B2</f>
        <v>-51300</v>
      </c>
    </row>
    <row r="9" spans="1:10">
      <c r="A9" t="s">
        <v>32</v>
      </c>
      <c r="B9">
        <v>30</v>
      </c>
      <c r="E9" t="s">
        <v>20</v>
      </c>
      <c r="F9" s="1">
        <v>-1500</v>
      </c>
      <c r="H9" t="s">
        <v>20</v>
      </c>
      <c r="I9" s="1">
        <v>-1000</v>
      </c>
    </row>
    <row r="10" spans="1:10">
      <c r="A10" t="s">
        <v>46</v>
      </c>
      <c r="B10">
        <v>100</v>
      </c>
      <c r="E10" t="s">
        <v>19</v>
      </c>
      <c r="F10" s="2">
        <f>(F7*F3*B7)+F9</f>
        <v>6750</v>
      </c>
      <c r="G10" s="2"/>
      <c r="H10" s="2" t="s">
        <v>19</v>
      </c>
      <c r="I10" s="2">
        <f>(I7*I3*B7)+I9</f>
        <v>4940.0000000000009</v>
      </c>
    </row>
    <row r="11" spans="1:10">
      <c r="A11" t="s">
        <v>47</v>
      </c>
      <c r="B11">
        <v>70</v>
      </c>
      <c r="C11" s="7"/>
      <c r="E11" t="s">
        <v>30</v>
      </c>
      <c r="F11" s="1">
        <v>-15000</v>
      </c>
      <c r="H11" t="s">
        <v>31</v>
      </c>
      <c r="I11" s="1">
        <v>5000</v>
      </c>
    </row>
    <row r="12" spans="1:10">
      <c r="A12" t="s">
        <v>60</v>
      </c>
      <c r="B12">
        <v>0.4</v>
      </c>
      <c r="E12" t="s">
        <v>22</v>
      </c>
      <c r="F12" s="2">
        <f>-(PV(B8,30,F10)-(F8+F11))</f>
        <v>30471.224779485317</v>
      </c>
      <c r="G12" s="2"/>
      <c r="H12" s="2" t="s">
        <v>22</v>
      </c>
      <c r="I12" s="2">
        <f>-(PV(B8,30,I10)-(I8+I11))</f>
        <v>39122.644505282602</v>
      </c>
    </row>
    <row r="13" spans="1:10">
      <c r="A13" t="s">
        <v>61</v>
      </c>
      <c r="B13">
        <f>1-B12</f>
        <v>0.6</v>
      </c>
    </row>
    <row r="16" spans="1:10">
      <c r="A16" s="8"/>
      <c r="B16" s="8"/>
      <c r="C16" t="s">
        <v>37</v>
      </c>
      <c r="D16" t="s">
        <v>38</v>
      </c>
      <c r="E16" t="s">
        <v>48</v>
      </c>
    </row>
    <row r="17" spans="2:16" ht="15" thickBot="1">
      <c r="B17" s="4" t="s">
        <v>0</v>
      </c>
      <c r="C17" s="1">
        <f>F8</f>
        <v>-71250</v>
      </c>
      <c r="D17" s="1">
        <f>F9</f>
        <v>-1500</v>
      </c>
      <c r="E17" s="1">
        <f>F11</f>
        <v>-15000</v>
      </c>
      <c r="O17" t="s">
        <v>33</v>
      </c>
      <c r="P17" t="s">
        <v>52</v>
      </c>
    </row>
    <row r="18" spans="2:16">
      <c r="C18" t="s">
        <v>36</v>
      </c>
      <c r="D18" s="9" t="s">
        <v>41</v>
      </c>
      <c r="E18" s="10" t="s">
        <v>42</v>
      </c>
      <c r="F18" s="10" t="s">
        <v>45</v>
      </c>
      <c r="G18" s="53" t="s">
        <v>114</v>
      </c>
      <c r="H18" t="s">
        <v>39</v>
      </c>
      <c r="I18" t="s">
        <v>43</v>
      </c>
      <c r="J18" t="s">
        <v>49</v>
      </c>
      <c r="K18" t="s">
        <v>40</v>
      </c>
      <c r="L18" t="s">
        <v>44</v>
      </c>
      <c r="M18" t="s">
        <v>50</v>
      </c>
      <c r="O18">
        <f>H19</f>
        <v>120</v>
      </c>
      <c r="P18" s="2">
        <f>J19</f>
        <v>173130.49950996737</v>
      </c>
    </row>
    <row r="19" spans="2:16">
      <c r="B19" t="s">
        <v>34</v>
      </c>
      <c r="C19">
        <f>B$12</f>
        <v>0.4</v>
      </c>
      <c r="D19" s="12">
        <f>B10</f>
        <v>100</v>
      </c>
      <c r="E19" s="13">
        <f>(D19*$F$3*$B$7)+$F$9</f>
        <v>12250.000000000002</v>
      </c>
      <c r="F19" s="51">
        <f>-(PV($B$8,30,E19)-($C$17+$E$17))</f>
        <v>125577.40793314006</v>
      </c>
      <c r="G19" s="54">
        <f>RATE(30,E19,C$17+E$17)</f>
        <v>0.13918059429115404</v>
      </c>
      <c r="H19">
        <f>D19*1.2</f>
        <v>120</v>
      </c>
      <c r="I19" s="2">
        <f>(H19*$F$3*$B$7)+$F$9</f>
        <v>15000</v>
      </c>
      <c r="J19" s="2">
        <f>-(PV($B$8,30,I19)-($C$17+$E$17))</f>
        <v>173130.49950996737</v>
      </c>
      <c r="K19">
        <f>D19*0.8</f>
        <v>80</v>
      </c>
      <c r="L19" s="2">
        <f>(K19*$F$3*$B$7)+$F$9</f>
        <v>9500</v>
      </c>
      <c r="M19" s="2">
        <f>-(PV($B$8,30,L19)-($C$17+$E$17))</f>
        <v>78024.316356312687</v>
      </c>
      <c r="O19">
        <f>D19</f>
        <v>100</v>
      </c>
      <c r="P19" s="2">
        <f>F19</f>
        <v>125577.40793314006</v>
      </c>
    </row>
    <row r="20" spans="2:16" ht="15" thickBot="1">
      <c r="B20" t="s">
        <v>35</v>
      </c>
      <c r="C20">
        <f>B$13</f>
        <v>0.6</v>
      </c>
      <c r="D20" s="14">
        <f>B11</f>
        <v>70</v>
      </c>
      <c r="E20" s="15">
        <f>(D20*$F$3*$B$7)+$F$9</f>
        <v>8125</v>
      </c>
      <c r="F20" s="55">
        <f>-(PV($B$8,30,E20)-($C$17+$E$17))</f>
        <v>54247.770567898988</v>
      </c>
      <c r="G20" s="56">
        <f>RATE(30,E20,C$17+E$17)</f>
        <v>8.6351357071967894E-2</v>
      </c>
      <c r="H20">
        <f>D20*1.2</f>
        <v>84</v>
      </c>
      <c r="I20" s="2">
        <f>(H20*$F$3*$B$7)+$F$9</f>
        <v>10050.000000000002</v>
      </c>
      <c r="J20" s="2">
        <f>-(PV($B$8,30,I20)-($C$17+$E$17))</f>
        <v>87534.934671678173</v>
      </c>
      <c r="K20">
        <f>D20*0.8</f>
        <v>56</v>
      </c>
      <c r="L20" s="2">
        <f>(K20*$F$3*$B$7)+$F$9</f>
        <v>6200.0000000000009</v>
      </c>
      <c r="M20" s="2">
        <f>-(PV($B$8,30,L20)-($C$17+$E$17))</f>
        <v>20960.606464119861</v>
      </c>
      <c r="O20">
        <f>H20</f>
        <v>84</v>
      </c>
      <c r="P20" s="2">
        <f>J20</f>
        <v>87534.934671678173</v>
      </c>
    </row>
    <row r="21" spans="2:16">
      <c r="C21" t="s">
        <v>59</v>
      </c>
      <c r="D21" s="16">
        <f>(F19*C19)+(F20*C20)</f>
        <v>82779.625513995416</v>
      </c>
      <c r="O21">
        <f>D20</f>
        <v>70</v>
      </c>
      <c r="P21" s="2">
        <f>F20</f>
        <v>54247.770567898988</v>
      </c>
    </row>
    <row r="22" spans="2:16">
      <c r="C22" t="s">
        <v>114</v>
      </c>
      <c r="D22" s="43">
        <f>(G19*C19)+(G20*C20)</f>
        <v>0.10748305195964236</v>
      </c>
      <c r="O22">
        <f>K20</f>
        <v>56</v>
      </c>
      <c r="P22" s="2">
        <f>M20</f>
        <v>20960.606464119861</v>
      </c>
    </row>
    <row r="26" spans="2:16">
      <c r="B26" s="8"/>
      <c r="C26" t="s">
        <v>37</v>
      </c>
      <c r="D26" t="s">
        <v>38</v>
      </c>
      <c r="E26" t="s">
        <v>48</v>
      </c>
    </row>
    <row r="27" spans="2:16" ht="15" thickBot="1">
      <c r="B27" s="4" t="s">
        <v>1</v>
      </c>
      <c r="C27" s="1">
        <f>I8</f>
        <v>-51300</v>
      </c>
      <c r="D27" s="1">
        <f>I9</f>
        <v>-1000</v>
      </c>
      <c r="E27" s="1">
        <f>I11</f>
        <v>5000</v>
      </c>
      <c r="O27" t="s">
        <v>54</v>
      </c>
      <c r="P27" t="s">
        <v>53</v>
      </c>
    </row>
    <row r="28" spans="2:16">
      <c r="C28" t="s">
        <v>36</v>
      </c>
      <c r="D28" s="9" t="s">
        <v>41</v>
      </c>
      <c r="E28" s="10" t="s">
        <v>42</v>
      </c>
      <c r="F28" s="10" t="s">
        <v>45</v>
      </c>
      <c r="G28" s="11" t="s">
        <v>114</v>
      </c>
      <c r="H28" t="s">
        <v>39</v>
      </c>
      <c r="I28" t="s">
        <v>43</v>
      </c>
      <c r="J28" t="s">
        <v>49</v>
      </c>
      <c r="K28" t="s">
        <v>40</v>
      </c>
      <c r="L28" t="s">
        <v>44</v>
      </c>
      <c r="M28" t="s">
        <v>50</v>
      </c>
      <c r="O28">
        <f>H29</f>
        <v>120</v>
      </c>
      <c r="P28" s="2">
        <f>J29</f>
        <v>141837.32231122968</v>
      </c>
    </row>
    <row r="29" spans="2:16">
      <c r="B29" t="s">
        <v>34</v>
      </c>
      <c r="C29">
        <f>B$12</f>
        <v>0.4</v>
      </c>
      <c r="D29" s="12">
        <f>B10</f>
        <v>100</v>
      </c>
      <c r="E29" s="13">
        <f>(D29*$I$3*$B$7)+$I$9</f>
        <v>8900</v>
      </c>
      <c r="F29" s="51">
        <f>-(PV($B$8,30,E29)-($C$27+$E$27))</f>
        <v>107599.09637591397</v>
      </c>
      <c r="G29" s="54">
        <f>RATE(30,E29,C$27+E$27,0,0,25%)</f>
        <v>0.19121512977510621</v>
      </c>
      <c r="H29">
        <f>D29*1.2</f>
        <v>120</v>
      </c>
      <c r="I29" s="2">
        <f>(H29*$I$3*$B$7)+$I$9</f>
        <v>10880.000000000002</v>
      </c>
      <c r="J29" s="2">
        <f>-(PV($B$8,30,I29)-($C$27+$E$27))</f>
        <v>141837.32231122968</v>
      </c>
      <c r="K29">
        <f>D29*0.8</f>
        <v>80</v>
      </c>
      <c r="L29" s="2">
        <f>(K29*$I$3*$B$7)+$I$9</f>
        <v>6920.0000000000009</v>
      </c>
      <c r="M29" s="2">
        <f>-(PV($B$8,30,L29)-($C$27+$E$27))</f>
        <v>73360.870440598301</v>
      </c>
      <c r="O29">
        <f>D29</f>
        <v>100</v>
      </c>
      <c r="P29" s="2">
        <f>F29</f>
        <v>107599.09637591397</v>
      </c>
    </row>
    <row r="30" spans="2:16" ht="15" thickBot="1">
      <c r="B30" t="s">
        <v>35</v>
      </c>
      <c r="C30">
        <f>B$13</f>
        <v>0.6</v>
      </c>
      <c r="D30" s="14">
        <f>B11</f>
        <v>70</v>
      </c>
      <c r="E30" s="15">
        <f>(D30*$I$3*$B$7)+$I$9</f>
        <v>5930.0000000000009</v>
      </c>
      <c r="F30" s="55">
        <f>-(PV($B$8,30,E30)-($C$27+$E$27))</f>
        <v>56241.757472940444</v>
      </c>
      <c r="G30" s="56">
        <f>RATE(30,E30,(C$27+E$27),0,0,20%)</f>
        <v>0.12426329680564109</v>
      </c>
      <c r="H30">
        <f>D30*1.2</f>
        <v>84</v>
      </c>
      <c r="I30" s="2">
        <f>(H30*$I$3*$B$7)+$I$9</f>
        <v>7316</v>
      </c>
      <c r="J30" s="2">
        <f>-(PV($B$8,30,I30)-($C$27+$E$27))</f>
        <v>80208.515627661414</v>
      </c>
      <c r="K30">
        <f>D30*0.8</f>
        <v>56</v>
      </c>
      <c r="L30" s="2">
        <f>(K30*$I$3*$B$7)+$I$9</f>
        <v>4544</v>
      </c>
      <c r="M30" s="2">
        <f>-(PV($B$8,30,L30)-($C$27+$E$27))</f>
        <v>32274.999318219445</v>
      </c>
      <c r="O30">
        <f>H30</f>
        <v>84</v>
      </c>
      <c r="P30" s="2">
        <f>J30</f>
        <v>80208.515627661414</v>
      </c>
    </row>
    <row r="31" spans="2:16">
      <c r="C31" t="s">
        <v>58</v>
      </c>
      <c r="D31" s="16">
        <f>(F29*C29)+(F30*C30)</f>
        <v>76784.693034129858</v>
      </c>
      <c r="O31">
        <f>D30</f>
        <v>70</v>
      </c>
      <c r="P31" s="2">
        <f>F30</f>
        <v>56241.757472940444</v>
      </c>
    </row>
    <row r="32" spans="2:16">
      <c r="C32" t="s">
        <v>114</v>
      </c>
      <c r="D32" s="43">
        <f>(G29*C29)+(G30*C30)</f>
        <v>0.15104402999342714</v>
      </c>
      <c r="O32">
        <f>K30</f>
        <v>56</v>
      </c>
      <c r="P32" s="2">
        <f>M30</f>
        <v>32274.999318219445</v>
      </c>
    </row>
    <row r="33" spans="1:16" ht="15" thickBot="1"/>
    <row r="34" spans="1:16">
      <c r="B34" s="9"/>
      <c r="C34" s="75" t="s">
        <v>56</v>
      </c>
      <c r="D34" s="76"/>
    </row>
    <row r="35" spans="1:16">
      <c r="B35" s="12" t="s">
        <v>55</v>
      </c>
      <c r="C35" s="18" t="s">
        <v>25</v>
      </c>
      <c r="D35" s="57" t="s">
        <v>2</v>
      </c>
      <c r="O35" s="23"/>
      <c r="P35" s="23"/>
    </row>
    <row r="36" spans="1:16">
      <c r="B36" s="12" t="s">
        <v>25</v>
      </c>
      <c r="C36" s="18">
        <v>0.7</v>
      </c>
      <c r="D36" s="57">
        <v>0.25</v>
      </c>
      <c r="O36" s="23"/>
      <c r="P36" s="23"/>
    </row>
    <row r="37" spans="1:16" ht="15" thickBot="1">
      <c r="B37" s="14" t="s">
        <v>2</v>
      </c>
      <c r="C37" s="20">
        <v>0.3</v>
      </c>
      <c r="D37" s="58">
        <v>0.75</v>
      </c>
      <c r="O37" s="23"/>
      <c r="P37" s="23"/>
    </row>
    <row r="38" spans="1:16">
      <c r="O38" s="23"/>
      <c r="P38" s="23"/>
    </row>
    <row r="39" spans="1:16">
      <c r="O39" s="23"/>
      <c r="P39" s="23"/>
    </row>
    <row r="40" spans="1:16" ht="15" thickBot="1"/>
    <row r="41" spans="1:16">
      <c r="B41" s="9"/>
      <c r="C41" s="10" t="s">
        <v>26</v>
      </c>
      <c r="D41" s="10"/>
      <c r="E41" s="10" t="s">
        <v>57</v>
      </c>
      <c r="F41" s="10" t="s">
        <v>51</v>
      </c>
      <c r="G41" s="65" t="s">
        <v>114</v>
      </c>
      <c r="H41" s="10" t="s">
        <v>58</v>
      </c>
      <c r="I41" s="11" t="s">
        <v>58</v>
      </c>
      <c r="J41" t="s">
        <v>58</v>
      </c>
    </row>
    <row r="42" spans="1:16">
      <c r="B42" s="12"/>
      <c r="C42" s="18"/>
      <c r="D42" s="18" t="s">
        <v>27</v>
      </c>
      <c r="E42" s="59">
        <f>(C36*B12)/((C36*B12+(D36*B13)))</f>
        <v>0.65116279069767447</v>
      </c>
      <c r="F42" s="13">
        <f>F19+A45</f>
        <v>123577.40793314006</v>
      </c>
      <c r="G42" s="52">
        <f>RATE(30,E$19,C$17+E$17+A$45)</f>
        <v>0.13576384562559701</v>
      </c>
      <c r="H42" s="19">
        <f>(F42*E42)+(F43*E43)</f>
        <v>98694.976294102482</v>
      </c>
      <c r="I42" s="62">
        <f>MAX(H46,H42)</f>
        <v>98694.976294102482</v>
      </c>
      <c r="J42" s="16">
        <f>I42*B45+(I50*B53)</f>
        <v>81036.712315042416</v>
      </c>
      <c r="K42" s="16"/>
    </row>
    <row r="43" spans="1:16">
      <c r="B43" s="12"/>
      <c r="C43" s="18"/>
      <c r="D43" s="18" t="s">
        <v>29</v>
      </c>
      <c r="E43" s="59">
        <f>1-E42</f>
        <v>0.34883720930232553</v>
      </c>
      <c r="F43" s="13">
        <f>F20+A45</f>
        <v>52247.770567898988</v>
      </c>
      <c r="G43" s="52">
        <f>RATE(30,E20,C$17+E$17+A$45)</f>
        <v>8.3843440499537306E-2</v>
      </c>
      <c r="H43" s="66">
        <f>(G42*E42)+(G43*E43)</f>
        <v>0.11765207639557618</v>
      </c>
      <c r="I43" s="68">
        <f>MAX(H47,H43)</f>
        <v>0.16055296552593196</v>
      </c>
      <c r="J43" s="69">
        <f>I43*B45+(I51*B53)</f>
        <v>0.14348261507362509</v>
      </c>
    </row>
    <row r="44" spans="1:16" ht="15" thickBot="1">
      <c r="A44" t="s">
        <v>37</v>
      </c>
      <c r="B44" s="12" t="s">
        <v>25</v>
      </c>
      <c r="C44" s="18"/>
      <c r="D44" s="18"/>
      <c r="E44" s="18"/>
      <c r="F44" s="18"/>
      <c r="G44" s="18"/>
      <c r="H44" s="19"/>
      <c r="I44" s="63"/>
    </row>
    <row r="45" spans="1:16" ht="15" thickBot="1">
      <c r="A45" s="17">
        <v>-2000</v>
      </c>
      <c r="B45" s="12">
        <f>B12</f>
        <v>0.4</v>
      </c>
      <c r="C45" s="18" t="s">
        <v>28</v>
      </c>
      <c r="D45" s="18"/>
      <c r="E45" s="18" t="s">
        <v>36</v>
      </c>
      <c r="F45" s="18" t="s">
        <v>51</v>
      </c>
      <c r="G45" s="18"/>
      <c r="H45" s="18" t="s">
        <v>58</v>
      </c>
      <c r="I45" s="63"/>
      <c r="K45" s="21" t="s">
        <v>62</v>
      </c>
      <c r="L45" s="22">
        <f>J42-(MAX(D21,D31))</f>
        <v>-1742.9131989529997</v>
      </c>
    </row>
    <row r="46" spans="1:16">
      <c r="B46" s="12"/>
      <c r="C46" s="18"/>
      <c r="D46" s="18" t="s">
        <v>27</v>
      </c>
      <c r="E46" s="59">
        <f>E42</f>
        <v>0.65116279069767447</v>
      </c>
      <c r="F46" s="13">
        <f>F29</f>
        <v>107599.09637591397</v>
      </c>
      <c r="G46" s="52">
        <f>RATE(30,E29,C$27+E$27+A$45,0,0,25%)</f>
        <v>0.18307634459494798</v>
      </c>
      <c r="H46" s="19">
        <f>F46*E46+(F47*E47)</f>
        <v>89683.745595806919</v>
      </c>
      <c r="I46" s="63"/>
    </row>
    <row r="47" spans="1:16" ht="15" thickBot="1">
      <c r="B47" s="14"/>
      <c r="C47" s="20"/>
      <c r="D47" s="20" t="s">
        <v>29</v>
      </c>
      <c r="E47" s="60">
        <f>E43</f>
        <v>0.34883720930232553</v>
      </c>
      <c r="F47" s="15">
        <f>F30</f>
        <v>56241.757472940444</v>
      </c>
      <c r="G47" s="52">
        <f>RATE(30,E30,C$27+E$27+A$45,0,0,25%)</f>
        <v>0.11850932459710205</v>
      </c>
      <c r="H47" s="67">
        <f>(G46*E46)+(E47*G47)</f>
        <v>0.16055296552593196</v>
      </c>
      <c r="I47" s="64"/>
    </row>
    <row r="48" spans="1:16" ht="15" thickBot="1"/>
    <row r="49" spans="2:13">
      <c r="B49" s="9"/>
      <c r="C49" s="10" t="s">
        <v>26</v>
      </c>
      <c r="D49" s="10"/>
      <c r="E49" s="10" t="s">
        <v>57</v>
      </c>
      <c r="F49" s="10" t="s">
        <v>51</v>
      </c>
      <c r="G49" s="65" t="s">
        <v>114</v>
      </c>
      <c r="H49" s="10" t="s">
        <v>58</v>
      </c>
      <c r="I49" s="11" t="s">
        <v>58</v>
      </c>
    </row>
    <row r="50" spans="2:13">
      <c r="B50" s="12"/>
      <c r="C50" s="18"/>
      <c r="D50" s="18" t="s">
        <v>27</v>
      </c>
      <c r="E50" s="59">
        <f>(C37*B12)/((C37*B12)+(D37*B13))</f>
        <v>0.2105263157894737</v>
      </c>
      <c r="F50" s="13">
        <f>F19</f>
        <v>125577.40793314006</v>
      </c>
      <c r="G50" s="52">
        <f>RATE(30,E$19,C$17+E$17+A$45)</f>
        <v>0.13576384562559701</v>
      </c>
      <c r="H50" s="19">
        <f>F50*E50+(F51*E51)</f>
        <v>69264.536329002382</v>
      </c>
      <c r="I50" s="62">
        <f>MAX(H54,H50)</f>
        <v>69264.536329002382</v>
      </c>
    </row>
    <row r="51" spans="2:13">
      <c r="B51" s="12"/>
      <c r="C51" s="18"/>
      <c r="D51" s="18" t="s">
        <v>29</v>
      </c>
      <c r="E51" s="59">
        <f>1-E50</f>
        <v>0.78947368421052633</v>
      </c>
      <c r="F51" s="13">
        <f>F20</f>
        <v>54247.770567898988</v>
      </c>
      <c r="G51" s="52">
        <f>RATE(30,E$20,C$17+E$17+A$45)</f>
        <v>8.3843440499537306E-2</v>
      </c>
      <c r="H51" s="19">
        <f>(G50*E50)+(G51*E51)</f>
        <v>9.4774052105023557E-2</v>
      </c>
      <c r="I51" s="68">
        <f>MAX(H55,H51)</f>
        <v>0.13210238143875383</v>
      </c>
      <c r="L51" s="4"/>
      <c r="M51" s="4"/>
    </row>
    <row r="52" spans="2:13">
      <c r="B52" s="12" t="s">
        <v>2</v>
      </c>
      <c r="C52" s="18"/>
      <c r="D52" s="18"/>
      <c r="E52" s="18"/>
      <c r="F52" s="18"/>
      <c r="G52" s="18"/>
      <c r="H52" s="19"/>
      <c r="I52" s="63"/>
    </row>
    <row r="53" spans="2:13">
      <c r="B53" s="12">
        <f>B13</f>
        <v>0.6</v>
      </c>
      <c r="C53" s="18" t="s">
        <v>28</v>
      </c>
      <c r="D53" s="18"/>
      <c r="E53" s="18" t="s">
        <v>36</v>
      </c>
      <c r="F53" s="18" t="s">
        <v>51</v>
      </c>
      <c r="G53" s="18"/>
      <c r="H53" s="18" t="s">
        <v>58</v>
      </c>
      <c r="I53" s="63"/>
    </row>
    <row r="54" spans="2:13">
      <c r="B54" s="12"/>
      <c r="C54" s="18"/>
      <c r="D54" s="18" t="s">
        <v>27</v>
      </c>
      <c r="E54" s="59">
        <f>E50</f>
        <v>0.2105263157894737</v>
      </c>
      <c r="F54" s="13">
        <f>F29</f>
        <v>107599.09637591397</v>
      </c>
      <c r="G54" s="52">
        <f>RATE(30,E29,C$27+E$27+A$45,0,0,25%)</f>
        <v>0.18307634459494798</v>
      </c>
      <c r="H54" s="19">
        <f>F54*E54+(F55*E55)</f>
        <v>67053.828820934868</v>
      </c>
      <c r="I54" s="63"/>
    </row>
    <row r="55" spans="2:13" ht="15" thickBot="1">
      <c r="B55" s="14"/>
      <c r="C55" s="20"/>
      <c r="D55" s="20" t="s">
        <v>29</v>
      </c>
      <c r="E55" s="60">
        <f>E51</f>
        <v>0.78947368421052633</v>
      </c>
      <c r="F55" s="15">
        <f>F30</f>
        <v>56241.757472940444</v>
      </c>
      <c r="G55" s="52">
        <f>RATE(30,E30,C$27+E$27+A$45,0,0,25%)</f>
        <v>0.11850932459710205</v>
      </c>
      <c r="H55" s="67">
        <f>(G54*E54)+(G55*E55)</f>
        <v>0.13210238143875383</v>
      </c>
      <c r="I55" s="64"/>
    </row>
    <row r="60" spans="2:13">
      <c r="J60" s="25"/>
      <c r="K60" s="25"/>
    </row>
    <row r="61" spans="2:13">
      <c r="B61" t="s">
        <v>51</v>
      </c>
      <c r="C61" t="s">
        <v>139</v>
      </c>
      <c r="D61" t="s">
        <v>140</v>
      </c>
      <c r="E61" t="s">
        <v>141</v>
      </c>
      <c r="F61" t="s">
        <v>142</v>
      </c>
      <c r="J61" s="25"/>
      <c r="K61" s="25"/>
    </row>
    <row r="62" spans="2:13">
      <c r="B62">
        <v>173000</v>
      </c>
      <c r="C62">
        <v>1</v>
      </c>
      <c r="D62">
        <v>1</v>
      </c>
      <c r="E62">
        <v>1</v>
      </c>
      <c r="F62">
        <v>1</v>
      </c>
      <c r="J62" s="25"/>
      <c r="K62" s="25"/>
    </row>
    <row r="63" spans="2:13">
      <c r="B63">
        <v>170000</v>
      </c>
      <c r="C63" s="25"/>
      <c r="J63" s="25"/>
      <c r="K63" s="25"/>
    </row>
    <row r="64" spans="2:13">
      <c r="B64">
        <v>165000</v>
      </c>
      <c r="C64" s="25"/>
      <c r="J64" s="25"/>
      <c r="K64" s="25"/>
    </row>
    <row r="65" spans="2:12">
      <c r="B65">
        <v>160000</v>
      </c>
      <c r="C65" s="25">
        <v>0.98</v>
      </c>
      <c r="J65" s="25"/>
      <c r="K65" s="25"/>
    </row>
    <row r="66" spans="2:12">
      <c r="B66" s="25">
        <v>155000</v>
      </c>
      <c r="C66" s="25"/>
      <c r="E66">
        <v>0.78400000000000003</v>
      </c>
      <c r="J66" s="25"/>
      <c r="K66" s="25"/>
      <c r="L66" s="24"/>
    </row>
    <row r="67" spans="2:12">
      <c r="B67" s="25">
        <v>150000</v>
      </c>
      <c r="C67" s="25"/>
      <c r="D67">
        <v>0.87</v>
      </c>
      <c r="F67">
        <v>0.78400000000000003</v>
      </c>
      <c r="J67" s="25"/>
      <c r="K67" s="25"/>
      <c r="L67" s="24"/>
    </row>
    <row r="68" spans="2:12">
      <c r="B68" s="25">
        <v>145000</v>
      </c>
      <c r="C68" s="25">
        <v>0.97</v>
      </c>
      <c r="J68" s="25"/>
      <c r="K68" s="24"/>
    </row>
    <row r="69" spans="2:12">
      <c r="B69" s="25">
        <v>140000</v>
      </c>
      <c r="C69" s="25"/>
      <c r="J69" s="25"/>
      <c r="K69" s="24"/>
    </row>
    <row r="70" spans="2:12">
      <c r="B70" s="25">
        <v>135000</v>
      </c>
      <c r="C70" s="25"/>
      <c r="E70">
        <v>0.64</v>
      </c>
      <c r="J70" s="25"/>
      <c r="K70" s="25"/>
    </row>
    <row r="71" spans="2:12">
      <c r="B71" s="25">
        <v>130000</v>
      </c>
      <c r="F71">
        <v>0.64</v>
      </c>
      <c r="J71" s="25"/>
      <c r="K71" s="25"/>
    </row>
    <row r="72" spans="2:12">
      <c r="B72" s="25">
        <v>125000</v>
      </c>
      <c r="C72">
        <f>0.95</f>
        <v>0.95</v>
      </c>
      <c r="J72" s="25"/>
      <c r="K72" s="25"/>
    </row>
    <row r="73" spans="2:12">
      <c r="B73" s="25">
        <v>120000</v>
      </c>
      <c r="D73">
        <v>0.78400000000000003</v>
      </c>
      <c r="J73" s="25"/>
      <c r="K73" s="25"/>
    </row>
    <row r="74" spans="2:12">
      <c r="B74" s="25">
        <v>115000</v>
      </c>
      <c r="J74" s="25"/>
      <c r="K74" s="25"/>
    </row>
    <row r="75" spans="2:12">
      <c r="B75" s="25">
        <v>110000</v>
      </c>
      <c r="J75" s="25"/>
      <c r="K75" s="25"/>
    </row>
    <row r="76" spans="2:12">
      <c r="B76" s="25">
        <v>105000</v>
      </c>
      <c r="C76">
        <v>0.92</v>
      </c>
      <c r="J76" s="25"/>
      <c r="K76" s="25"/>
    </row>
    <row r="77" spans="2:12">
      <c r="B77" s="25">
        <v>100000</v>
      </c>
      <c r="E77">
        <v>0.4</v>
      </c>
      <c r="J77" s="25"/>
      <c r="K77" s="25"/>
    </row>
    <row r="78" spans="2:12">
      <c r="B78" s="25">
        <v>95000</v>
      </c>
      <c r="C78">
        <v>0.87</v>
      </c>
      <c r="J78" s="25"/>
      <c r="K78" s="25"/>
    </row>
    <row r="79" spans="2:12">
      <c r="B79" s="25">
        <v>90000</v>
      </c>
      <c r="J79" s="25"/>
      <c r="K79" s="25"/>
    </row>
    <row r="80" spans="2:12">
      <c r="B80" s="25">
        <v>85000</v>
      </c>
      <c r="F80">
        <v>0.4</v>
      </c>
      <c r="J80" s="25"/>
      <c r="K80" s="25"/>
    </row>
    <row r="81" spans="2:11">
      <c r="B81" s="25">
        <v>80000</v>
      </c>
      <c r="C81">
        <v>0.78</v>
      </c>
      <c r="D81">
        <v>0.64</v>
      </c>
      <c r="J81" s="25"/>
      <c r="K81" s="25"/>
    </row>
    <row r="82" spans="2:11">
      <c r="B82" s="25">
        <v>75000</v>
      </c>
      <c r="J82" s="25"/>
      <c r="K82" s="24"/>
    </row>
    <row r="83" spans="2:11">
      <c r="B83" s="25">
        <v>70000</v>
      </c>
      <c r="C83">
        <v>0.64</v>
      </c>
      <c r="J83" s="25"/>
      <c r="K83" s="24"/>
    </row>
    <row r="84" spans="2:11">
      <c r="B84" s="25">
        <v>65000</v>
      </c>
      <c r="E84">
        <v>0.16</v>
      </c>
    </row>
    <row r="85" spans="2:11">
      <c r="B85" s="25">
        <v>60000</v>
      </c>
    </row>
    <row r="86" spans="2:11">
      <c r="B86" s="25">
        <v>55000</v>
      </c>
      <c r="C86">
        <v>0.4</v>
      </c>
    </row>
    <row r="87" spans="2:11">
      <c r="B87" s="25">
        <v>50000</v>
      </c>
      <c r="D87">
        <v>0.4</v>
      </c>
      <c r="F87">
        <v>0.16</v>
      </c>
    </row>
    <row r="88" spans="2:11">
      <c r="B88" s="25">
        <v>45000</v>
      </c>
      <c r="E88">
        <v>6.4000000000000001E-2</v>
      </c>
    </row>
    <row r="89" spans="2:11">
      <c r="B89" s="25">
        <v>40000</v>
      </c>
    </row>
    <row r="90" spans="2:11">
      <c r="B90" s="25">
        <v>35000</v>
      </c>
      <c r="F90">
        <v>6.4000000000000001E-2</v>
      </c>
    </row>
    <row r="91" spans="2:11">
      <c r="B91" s="25">
        <v>30000</v>
      </c>
      <c r="C91">
        <v>0.16</v>
      </c>
      <c r="D91">
        <v>0.16</v>
      </c>
    </row>
    <row r="92" spans="2:11">
      <c r="B92" s="25">
        <v>25000</v>
      </c>
    </row>
    <row r="93" spans="2:11">
      <c r="B93" s="25">
        <v>20000</v>
      </c>
      <c r="C93">
        <v>0</v>
      </c>
      <c r="D93">
        <v>0</v>
      </c>
      <c r="E93">
        <v>0</v>
      </c>
      <c r="F93">
        <v>0</v>
      </c>
    </row>
    <row r="94" spans="2:11" ht="37.799999999999997">
      <c r="C94" s="71" t="s">
        <v>138</v>
      </c>
      <c r="D94" s="71" t="s">
        <v>130</v>
      </c>
      <c r="E94" s="71" t="s">
        <v>137</v>
      </c>
      <c r="F94" s="72" t="s">
        <v>133</v>
      </c>
    </row>
    <row r="95" spans="2:11">
      <c r="C95" s="73" t="s">
        <v>128</v>
      </c>
      <c r="D95" s="73" t="s">
        <v>131</v>
      </c>
      <c r="E95" s="73" t="s">
        <v>136</v>
      </c>
      <c r="F95" s="73" t="s">
        <v>134</v>
      </c>
    </row>
  </sheetData>
  <sortState xmlns:xlrd2="http://schemas.microsoft.com/office/spreadsheetml/2017/richdata2" ref="N43:N50">
    <sortCondition descending="1" ref="N43"/>
  </sortState>
  <mergeCells count="3">
    <mergeCell ref="H2:I2"/>
    <mergeCell ref="E2:F2"/>
    <mergeCell ref="C34:D34"/>
  </mergeCells>
  <conditionalFormatting sqref="D21 K42 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 D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 J42 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 D32 J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 D22 J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I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A6B3-D0F4-41EF-927E-20057BE8EDA3}">
  <dimension ref="B3:R52"/>
  <sheetViews>
    <sheetView topLeftCell="A5" zoomScale="63" workbookViewId="0">
      <selection activeCell="J43" sqref="J43"/>
    </sheetView>
  </sheetViews>
  <sheetFormatPr defaultRowHeight="14.4"/>
  <sheetData>
    <row r="3" spans="2:18">
      <c r="Q3" t="s">
        <v>51</v>
      </c>
      <c r="R3" t="s">
        <v>132</v>
      </c>
    </row>
    <row r="4" spans="2:18">
      <c r="B4" t="s">
        <v>51</v>
      </c>
      <c r="C4" t="s">
        <v>126</v>
      </c>
      <c r="Q4">
        <v>173000</v>
      </c>
      <c r="R4">
        <v>1</v>
      </c>
    </row>
    <row r="5" spans="2:18">
      <c r="B5">
        <v>173000</v>
      </c>
      <c r="C5">
        <v>1</v>
      </c>
      <c r="Q5">
        <v>150000</v>
      </c>
      <c r="R5">
        <v>0.78400000000000003</v>
      </c>
    </row>
    <row r="6" spans="2:18">
      <c r="B6">
        <v>160000</v>
      </c>
      <c r="C6">
        <v>0.98</v>
      </c>
      <c r="Q6">
        <v>130000</v>
      </c>
      <c r="R6">
        <v>0.64</v>
      </c>
    </row>
    <row r="7" spans="2:18">
      <c r="B7">
        <v>145000</v>
      </c>
      <c r="C7">
        <v>0.97</v>
      </c>
      <c r="Q7">
        <v>85000</v>
      </c>
      <c r="R7">
        <v>0.4</v>
      </c>
    </row>
    <row r="8" spans="2:18">
      <c r="B8">
        <v>125000</v>
      </c>
      <c r="C8">
        <v>0.95</v>
      </c>
      <c r="Q8">
        <v>50000</v>
      </c>
      <c r="R8">
        <v>0.16</v>
      </c>
    </row>
    <row r="9" spans="2:18">
      <c r="B9">
        <v>105000</v>
      </c>
      <c r="C9">
        <v>0.92</v>
      </c>
      <c r="Q9">
        <v>35000</v>
      </c>
      <c r="R9">
        <v>6.4000000000000001E-2</v>
      </c>
    </row>
    <row r="10" spans="2:18">
      <c r="B10">
        <v>95000</v>
      </c>
      <c r="C10">
        <v>0.87</v>
      </c>
      <c r="Q10">
        <v>20000</v>
      </c>
      <c r="R10">
        <v>0</v>
      </c>
    </row>
    <row r="11" spans="2:18">
      <c r="B11">
        <v>80000</v>
      </c>
      <c r="C11">
        <v>0.78</v>
      </c>
      <c r="R11" s="24" t="s">
        <v>133</v>
      </c>
    </row>
    <row r="12" spans="2:18">
      <c r="B12">
        <v>70000</v>
      </c>
      <c r="C12">
        <v>0.64</v>
      </c>
      <c r="R12" s="24" t="s">
        <v>134</v>
      </c>
    </row>
    <row r="13" spans="2:18">
      <c r="B13">
        <v>55000</v>
      </c>
      <c r="C13">
        <v>0.4</v>
      </c>
    </row>
    <row r="14" spans="2:18">
      <c r="B14">
        <v>30000</v>
      </c>
      <c r="C14">
        <v>0.16</v>
      </c>
    </row>
    <row r="15" spans="2:18">
      <c r="B15">
        <v>20000</v>
      </c>
      <c r="C15">
        <v>0</v>
      </c>
    </row>
    <row r="16" spans="2:18">
      <c r="B16" s="77" t="s">
        <v>127</v>
      </c>
      <c r="C16" s="77"/>
      <c r="D16" s="77"/>
    </row>
    <row r="17" spans="2:18">
      <c r="C17" s="24" t="s">
        <v>128</v>
      </c>
      <c r="Q17" t="s">
        <v>51</v>
      </c>
      <c r="R17" t="s">
        <v>123</v>
      </c>
    </row>
    <row r="18" spans="2:18">
      <c r="Q18">
        <v>173000</v>
      </c>
      <c r="R18">
        <v>1</v>
      </c>
    </row>
    <row r="19" spans="2:18">
      <c r="B19" t="s">
        <v>51</v>
      </c>
      <c r="C19" t="s">
        <v>129</v>
      </c>
      <c r="D19" s="25"/>
      <c r="Q19">
        <v>155000</v>
      </c>
      <c r="R19">
        <v>0.78400000000000003</v>
      </c>
    </row>
    <row r="20" spans="2:18">
      <c r="B20">
        <v>173000</v>
      </c>
      <c r="C20">
        <v>1</v>
      </c>
      <c r="Q20">
        <v>135000</v>
      </c>
      <c r="R20">
        <v>0.64</v>
      </c>
    </row>
    <row r="21" spans="2:18">
      <c r="B21">
        <v>150000</v>
      </c>
      <c r="C21">
        <v>0.87</v>
      </c>
      <c r="Q21">
        <v>100000</v>
      </c>
      <c r="R21">
        <v>0.4</v>
      </c>
    </row>
    <row r="22" spans="2:18">
      <c r="B22">
        <v>120000</v>
      </c>
      <c r="C22">
        <v>0.78400000000000003</v>
      </c>
      <c r="Q22">
        <v>65000</v>
      </c>
      <c r="R22">
        <v>0.16</v>
      </c>
    </row>
    <row r="23" spans="2:18">
      <c r="B23">
        <v>80000</v>
      </c>
      <c r="C23">
        <v>0.64</v>
      </c>
      <c r="Q23">
        <v>45000</v>
      </c>
      <c r="R23">
        <v>6.4000000000000001E-2</v>
      </c>
    </row>
    <row r="24" spans="2:18">
      <c r="B24">
        <v>50000</v>
      </c>
      <c r="C24">
        <v>0.4</v>
      </c>
      <c r="Q24">
        <v>20000</v>
      </c>
      <c r="R24">
        <v>0</v>
      </c>
    </row>
    <row r="25" spans="2:18">
      <c r="B25">
        <v>30000</v>
      </c>
      <c r="C25">
        <v>0.16</v>
      </c>
      <c r="R25" s="24" t="s">
        <v>135</v>
      </c>
    </row>
    <row r="26" spans="2:18">
      <c r="B26">
        <v>20000</v>
      </c>
      <c r="C26">
        <v>0</v>
      </c>
      <c r="R26" s="24" t="s">
        <v>136</v>
      </c>
    </row>
    <row r="27" spans="2:18">
      <c r="C27" s="24" t="s">
        <v>130</v>
      </c>
    </row>
    <row r="28" spans="2:18">
      <c r="C28" s="24" t="s">
        <v>131</v>
      </c>
    </row>
    <row r="44" spans="4:7">
      <c r="D44" t="s">
        <v>51</v>
      </c>
      <c r="E44" t="s">
        <v>124</v>
      </c>
      <c r="F44" t="s">
        <v>125</v>
      </c>
      <c r="G44" t="s">
        <v>123</v>
      </c>
    </row>
    <row r="45" spans="4:7">
      <c r="D45">
        <v>134454.54493635349</v>
      </c>
      <c r="E45">
        <v>1</v>
      </c>
      <c r="F45">
        <v>1</v>
      </c>
      <c r="G45">
        <v>1</v>
      </c>
    </row>
    <row r="46" spans="4:7">
      <c r="D46">
        <v>115000</v>
      </c>
      <c r="E46">
        <v>0.87</v>
      </c>
      <c r="F46">
        <v>0.75</v>
      </c>
      <c r="G46">
        <v>0.98</v>
      </c>
    </row>
    <row r="47" spans="4:7">
      <c r="D47">
        <v>93072.442760787177</v>
      </c>
      <c r="E47">
        <v>0.78400000000000003</v>
      </c>
      <c r="F47">
        <v>0.5</v>
      </c>
      <c r="G47">
        <v>0.9</v>
      </c>
    </row>
    <row r="48" spans="4:7">
      <c r="D48">
        <v>68004.261115336019</v>
      </c>
      <c r="E48">
        <v>0.64</v>
      </c>
      <c r="F48">
        <v>0.3</v>
      </c>
      <c r="G48">
        <v>0.8</v>
      </c>
    </row>
    <row r="49" spans="4:7">
      <c r="D49">
        <v>43174.999809996269</v>
      </c>
      <c r="E49">
        <v>0.4</v>
      </c>
      <c r="F49">
        <v>0.15</v>
      </c>
      <c r="G49">
        <v>0.67</v>
      </c>
    </row>
    <row r="50" spans="4:7">
      <c r="D50">
        <v>26622.158939769761</v>
      </c>
      <c r="E50">
        <v>0.25600000000000001</v>
      </c>
      <c r="F50">
        <v>0.09</v>
      </c>
      <c r="G50">
        <v>0.5</v>
      </c>
    </row>
    <row r="51" spans="4:7">
      <c r="D51">
        <v>10069.318069543246</v>
      </c>
      <c r="E51">
        <v>0.1024</v>
      </c>
      <c r="F51">
        <v>0.05</v>
      </c>
      <c r="G51">
        <v>0.35</v>
      </c>
    </row>
    <row r="52" spans="4:7">
      <c r="D52">
        <v>-3485.7956488674536</v>
      </c>
      <c r="E52">
        <v>0</v>
      </c>
      <c r="F52">
        <v>1.0000000000000001E-5</v>
      </c>
      <c r="G52">
        <v>1.0000000000000001E-5</v>
      </c>
    </row>
  </sheetData>
  <mergeCells count="1"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B5FC9-208C-4DB6-A3F9-6C42F70C6FCC}">
  <dimension ref="A3:I15"/>
  <sheetViews>
    <sheetView zoomScale="74" zoomScaleNormal="130" workbookViewId="0">
      <selection activeCell="I7" sqref="I7:I8"/>
    </sheetView>
  </sheetViews>
  <sheetFormatPr defaultRowHeight="14.4"/>
  <cols>
    <col min="1" max="1" width="10" bestFit="1" customWidth="1"/>
    <col min="2" max="2" width="11.33203125" bestFit="1" customWidth="1"/>
    <col min="3" max="3" width="12.109375" bestFit="1" customWidth="1"/>
  </cols>
  <sheetData>
    <row r="3" spans="1:9">
      <c r="B3" t="s">
        <v>111</v>
      </c>
      <c r="C3">
        <v>100</v>
      </c>
      <c r="D3">
        <v>75</v>
      </c>
      <c r="E3">
        <v>30</v>
      </c>
      <c r="F3">
        <v>60</v>
      </c>
    </row>
    <row r="4" spans="1:9">
      <c r="B4" t="s">
        <v>112</v>
      </c>
      <c r="C4" t="s">
        <v>118</v>
      </c>
      <c r="D4" t="s">
        <v>119</v>
      </c>
      <c r="E4" t="s">
        <v>122</v>
      </c>
      <c r="F4" t="s">
        <v>115</v>
      </c>
    </row>
    <row r="5" spans="1:9" ht="14.4" customHeight="1">
      <c r="A5" s="78" t="s">
        <v>113</v>
      </c>
      <c r="B5" t="s">
        <v>116</v>
      </c>
      <c r="C5" s="70">
        <v>0.9</v>
      </c>
      <c r="D5" s="23">
        <v>0.75</v>
      </c>
      <c r="E5">
        <v>0.2</v>
      </c>
      <c r="F5">
        <v>0.2</v>
      </c>
      <c r="H5">
        <f>(C5*$C$3)+(D5*$D$3)+(E5*$E$3)+(F5*$F$3)</f>
        <v>164.25</v>
      </c>
      <c r="I5" s="79">
        <f>MAX(H5,H6)</f>
        <v>188</v>
      </c>
    </row>
    <row r="6" spans="1:9">
      <c r="A6" s="78"/>
      <c r="B6" t="s">
        <v>117</v>
      </c>
      <c r="C6" s="23">
        <v>0.8</v>
      </c>
      <c r="D6" s="23">
        <v>1</v>
      </c>
      <c r="E6">
        <v>0.4</v>
      </c>
      <c r="F6">
        <v>0.35</v>
      </c>
      <c r="H6">
        <f t="shared" ref="H6:H8" si="0">(C6*$C$3)+(D6*$D$3)+(E6*$E$3)+(F6*$F$3)</f>
        <v>188</v>
      </c>
      <c r="I6" s="79"/>
    </row>
    <row r="7" spans="1:9">
      <c r="A7" s="78"/>
      <c r="B7" t="s">
        <v>97</v>
      </c>
      <c r="C7" s="23">
        <v>1</v>
      </c>
      <c r="D7" s="23">
        <v>0.3</v>
      </c>
      <c r="E7">
        <v>0.9</v>
      </c>
      <c r="F7">
        <v>0.75</v>
      </c>
      <c r="H7">
        <f t="shared" si="0"/>
        <v>194.5</v>
      </c>
      <c r="I7" s="79">
        <f>MAX(H7,H8)</f>
        <v>194.5</v>
      </c>
    </row>
    <row r="8" spans="1:9">
      <c r="A8" s="78"/>
      <c r="B8" t="s">
        <v>98</v>
      </c>
      <c r="C8" s="23">
        <v>0.9</v>
      </c>
      <c r="D8" s="23">
        <v>0.3</v>
      </c>
      <c r="E8">
        <v>0.8</v>
      </c>
      <c r="F8">
        <v>0.9</v>
      </c>
      <c r="H8">
        <f t="shared" si="0"/>
        <v>190.5</v>
      </c>
      <c r="I8" s="79"/>
    </row>
    <row r="9" spans="1:9">
      <c r="A9" s="48"/>
    </row>
    <row r="10" spans="1:9">
      <c r="A10" t="s">
        <v>120</v>
      </c>
      <c r="B10" t="s">
        <v>51</v>
      </c>
      <c r="C10" t="s">
        <v>114</v>
      </c>
    </row>
    <row r="11" spans="1:9">
      <c r="A11" t="s">
        <v>116</v>
      </c>
      <c r="B11" s="49">
        <f>Solar!D21</f>
        <v>82779.625513995416</v>
      </c>
      <c r="C11" s="43">
        <f>Solar!D22</f>
        <v>0.10748305195964236</v>
      </c>
    </row>
    <row r="12" spans="1:9">
      <c r="A12" t="s">
        <v>117</v>
      </c>
      <c r="B12" s="49">
        <f>Solar!D31</f>
        <v>76784.693034129858</v>
      </c>
      <c r="C12" s="43">
        <f>Solar!D32</f>
        <v>0.15104402999342714</v>
      </c>
    </row>
    <row r="13" spans="1:9">
      <c r="A13" t="s">
        <v>24</v>
      </c>
      <c r="B13" s="49">
        <f>Solar!K42</f>
        <v>0</v>
      </c>
    </row>
    <row r="14" spans="1:9">
      <c r="A14" t="s">
        <v>97</v>
      </c>
      <c r="B14" s="50">
        <f>Light!L44</f>
        <v>89501.606041468112</v>
      </c>
    </row>
    <row r="15" spans="1:9">
      <c r="A15" t="s">
        <v>98</v>
      </c>
      <c r="B15" s="50">
        <f>Light!W44</f>
        <v>82338.370006846191</v>
      </c>
    </row>
  </sheetData>
  <mergeCells count="3">
    <mergeCell ref="A5:A8"/>
    <mergeCell ref="I5:I6"/>
    <mergeCell ref="I7:I8"/>
  </mergeCells>
  <conditionalFormatting sqref="H5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F369-2CDE-4F31-9479-ACA9171C4204}">
  <dimension ref="A3:X1002"/>
  <sheetViews>
    <sheetView tabSelected="1" topLeftCell="D3" zoomScale="203" workbookViewId="0">
      <selection activeCell="I25" sqref="I25"/>
    </sheetView>
  </sheetViews>
  <sheetFormatPr defaultColWidth="14.44140625" defaultRowHeight="14.4"/>
  <cols>
    <col min="1" max="1" width="17.44140625" customWidth="1"/>
    <col min="2" max="2" width="10" customWidth="1"/>
    <col min="3" max="4" width="8.6640625" customWidth="1"/>
    <col min="5" max="5" width="10.33203125" customWidth="1"/>
    <col min="6" max="6" width="10.44140625" customWidth="1"/>
    <col min="7" max="7" width="11" customWidth="1"/>
    <col min="8" max="8" width="8.6640625" customWidth="1"/>
    <col min="9" max="9" width="9.33203125" customWidth="1"/>
    <col min="10" max="10" width="11.6640625" bestFit="1" customWidth="1"/>
    <col min="11" max="11" width="13.5546875" bestFit="1" customWidth="1"/>
    <col min="12" max="12" width="17" customWidth="1"/>
    <col min="13" max="13" width="11.77734375" bestFit="1" customWidth="1"/>
    <col min="14" max="14" width="8.6640625" customWidth="1"/>
    <col min="15" max="15" width="12.109375" bestFit="1" customWidth="1"/>
    <col min="16" max="16" width="10.88671875" customWidth="1"/>
    <col min="17" max="17" width="8.6640625" customWidth="1"/>
    <col min="18" max="18" width="10.6640625" customWidth="1"/>
    <col min="19" max="19" width="9.33203125" customWidth="1"/>
    <col min="20" max="20" width="8.6640625" customWidth="1"/>
    <col min="21" max="21" width="14.109375" bestFit="1" customWidth="1"/>
    <col min="22" max="22" width="11" bestFit="1" customWidth="1"/>
    <col min="23" max="23" width="12.88671875" bestFit="1" customWidth="1"/>
    <col min="24" max="24" width="11.21875" bestFit="1" customWidth="1"/>
    <col min="25" max="27" width="8.6640625" customWidth="1"/>
  </cols>
  <sheetData>
    <row r="3" spans="1:23" ht="14.25" customHeight="1" thickBot="1">
      <c r="U3" s="80" t="s">
        <v>63</v>
      </c>
      <c r="V3" s="81"/>
      <c r="W3" s="81"/>
    </row>
    <row r="4" spans="1:23" ht="14.25" customHeight="1">
      <c r="A4" s="80" t="s">
        <v>63</v>
      </c>
      <c r="B4" s="81"/>
      <c r="C4" s="81"/>
      <c r="E4" s="82" t="s">
        <v>64</v>
      </c>
      <c r="F4" s="83"/>
      <c r="O4" s="82" t="s">
        <v>64</v>
      </c>
      <c r="P4" s="83"/>
      <c r="S4" s="26"/>
      <c r="U4" t="s">
        <v>65</v>
      </c>
      <c r="V4" s="2">
        <v>0.05</v>
      </c>
    </row>
    <row r="5" spans="1:23" ht="14.25" customHeight="1">
      <c r="E5" s="27"/>
      <c r="F5" s="28"/>
      <c r="O5" s="27"/>
      <c r="P5" s="28"/>
      <c r="U5" t="s">
        <v>66</v>
      </c>
      <c r="V5">
        <v>14</v>
      </c>
    </row>
    <row r="6" spans="1:23" ht="14.25" customHeight="1">
      <c r="A6" t="s">
        <v>65</v>
      </c>
      <c r="B6" s="2">
        <v>0.05</v>
      </c>
      <c r="C6" t="s">
        <v>67</v>
      </c>
      <c r="E6" s="27" t="s">
        <v>68</v>
      </c>
      <c r="F6" s="28">
        <f>$B$13*$B$14*$B$8*$B$7</f>
        <v>1226400</v>
      </c>
      <c r="O6" s="27" t="s">
        <v>68</v>
      </c>
      <c r="P6" s="28">
        <f>$B$13*$B$14*$B$8*(B7)</f>
        <v>1226400</v>
      </c>
      <c r="U6" t="s">
        <v>69</v>
      </c>
      <c r="V6" s="61">
        <v>20</v>
      </c>
    </row>
    <row r="7" spans="1:23" ht="14.25" customHeight="1">
      <c r="A7" t="s">
        <v>66</v>
      </c>
      <c r="B7">
        <v>14</v>
      </c>
      <c r="E7" s="27" t="s">
        <v>70</v>
      </c>
      <c r="F7" s="28">
        <f>$F6/$B15</f>
        <v>122640</v>
      </c>
      <c r="O7" s="27" t="s">
        <v>70</v>
      </c>
      <c r="P7" s="28">
        <f>$P6/$B15</f>
        <v>122640</v>
      </c>
      <c r="U7" t="s">
        <v>71</v>
      </c>
      <c r="V7" s="61">
        <v>60</v>
      </c>
    </row>
    <row r="8" spans="1:23" ht="14.25" customHeight="1" thickBot="1">
      <c r="A8" t="s">
        <v>69</v>
      </c>
      <c r="B8" s="61">
        <v>10</v>
      </c>
      <c r="E8" s="29" t="s">
        <v>72</v>
      </c>
      <c r="F8" s="30">
        <f>$F$7*$B$6</f>
        <v>6132</v>
      </c>
      <c r="O8" s="29" t="s">
        <v>72</v>
      </c>
      <c r="P8" s="30">
        <f>$P$7*$V$4</f>
        <v>6132</v>
      </c>
      <c r="U8" t="s">
        <v>73</v>
      </c>
      <c r="V8">
        <v>8</v>
      </c>
    </row>
    <row r="9" spans="1:23" ht="14.25" customHeight="1">
      <c r="A9" t="s">
        <v>71</v>
      </c>
      <c r="B9" s="61">
        <v>100</v>
      </c>
      <c r="C9" t="s">
        <v>74</v>
      </c>
      <c r="U9" t="s">
        <v>75</v>
      </c>
      <c r="V9" s="26">
        <v>3</v>
      </c>
    </row>
    <row r="10" spans="1:23" ht="14.25" customHeight="1">
      <c r="A10" t="s">
        <v>73</v>
      </c>
      <c r="B10">
        <v>8</v>
      </c>
      <c r="E10" t="s">
        <v>76</v>
      </c>
      <c r="O10" t="s">
        <v>76</v>
      </c>
      <c r="U10" s="31" t="s">
        <v>77</v>
      </c>
      <c r="V10" s="26">
        <v>150</v>
      </c>
      <c r="W10" t="s">
        <v>81</v>
      </c>
    </row>
    <row r="11" spans="1:23" ht="14.25" customHeight="1">
      <c r="A11" t="s">
        <v>75</v>
      </c>
      <c r="B11" s="26">
        <v>3</v>
      </c>
      <c r="E11" t="s">
        <v>78</v>
      </c>
      <c r="F11">
        <f>$B$11*$B$12*$B$14*$B$8*$B$7*$B$10/3600</f>
        <v>51100</v>
      </c>
      <c r="G11" t="s">
        <v>79</v>
      </c>
      <c r="O11" t="s">
        <v>78</v>
      </c>
      <c r="P11">
        <f>$V$9*$V$10*$V$12*$V$6*(V5)*$V$8/3600</f>
        <v>102200</v>
      </c>
      <c r="Q11" t="s">
        <v>79</v>
      </c>
      <c r="U11" t="s">
        <v>80</v>
      </c>
      <c r="V11">
        <v>24</v>
      </c>
    </row>
    <row r="12" spans="1:23" ht="14.25" customHeight="1">
      <c r="A12" s="31" t="s">
        <v>77</v>
      </c>
      <c r="B12" s="26">
        <v>150</v>
      </c>
      <c r="C12" t="s">
        <v>81</v>
      </c>
      <c r="E12" t="s">
        <v>82</v>
      </c>
      <c r="F12">
        <f>$F$11/$B$15</f>
        <v>5110</v>
      </c>
      <c r="O12" t="s">
        <v>82</v>
      </c>
      <c r="P12">
        <f>$P$11/$V$13</f>
        <v>6132</v>
      </c>
      <c r="U12" t="s">
        <v>83</v>
      </c>
      <c r="V12">
        <v>365</v>
      </c>
    </row>
    <row r="13" spans="1:23" ht="14.25" customHeight="1">
      <c r="A13" t="s">
        <v>80</v>
      </c>
      <c r="B13">
        <v>24</v>
      </c>
      <c r="E13" t="s">
        <v>20</v>
      </c>
      <c r="F13" s="1">
        <f>B16*(1-F14)</f>
        <v>1350</v>
      </c>
      <c r="O13" t="s">
        <v>20</v>
      </c>
      <c r="P13" s="2">
        <f>V14*(1-P14)</f>
        <v>1800</v>
      </c>
      <c r="U13" t="s">
        <v>84</v>
      </c>
      <c r="V13">
        <f>1000/V7</f>
        <v>16.666666666666668</v>
      </c>
    </row>
    <row r="14" spans="1:23" ht="14.25" customHeight="1">
      <c r="A14" t="s">
        <v>83</v>
      </c>
      <c r="B14">
        <v>365</v>
      </c>
      <c r="E14" t="s">
        <v>85</v>
      </c>
      <c r="F14" s="3">
        <v>0.1</v>
      </c>
      <c r="O14" t="s">
        <v>85</v>
      </c>
      <c r="P14" s="3">
        <v>0.1</v>
      </c>
      <c r="U14" t="s">
        <v>86</v>
      </c>
      <c r="V14" s="1">
        <v>2000</v>
      </c>
    </row>
    <row r="15" spans="1:23" ht="14.25" customHeight="1">
      <c r="A15" t="s">
        <v>84</v>
      </c>
      <c r="B15">
        <f>1000/B9</f>
        <v>10</v>
      </c>
      <c r="J15" t="s">
        <v>36</v>
      </c>
      <c r="K15" s="32" t="s">
        <v>87</v>
      </c>
      <c r="U15" t="s">
        <v>88</v>
      </c>
      <c r="V15" s="1">
        <v>250</v>
      </c>
    </row>
    <row r="16" spans="1:23" ht="14.25" customHeight="1">
      <c r="A16" t="s">
        <v>86</v>
      </c>
      <c r="B16" s="1">
        <v>1500</v>
      </c>
      <c r="G16" t="s">
        <v>89</v>
      </c>
      <c r="H16" s="3">
        <v>1</v>
      </c>
      <c r="J16">
        <v>0.6</v>
      </c>
      <c r="K16" s="32" t="s">
        <v>90</v>
      </c>
      <c r="U16" t="s">
        <v>91</v>
      </c>
      <c r="V16" s="3">
        <v>0.04</v>
      </c>
    </row>
    <row r="17" spans="1:24" ht="14.25" customHeight="1">
      <c r="A17" t="s">
        <v>88</v>
      </c>
      <c r="B17" s="1">
        <v>250</v>
      </c>
      <c r="G17" t="s">
        <v>92</v>
      </c>
      <c r="H17" s="3">
        <v>1.1000000000000001</v>
      </c>
      <c r="J17">
        <v>0.3</v>
      </c>
      <c r="K17" s="32" t="s">
        <v>93</v>
      </c>
      <c r="U17" t="s">
        <v>94</v>
      </c>
      <c r="V17">
        <v>30</v>
      </c>
    </row>
    <row r="18" spans="1:24">
      <c r="A18" t="s">
        <v>91</v>
      </c>
      <c r="B18" s="3">
        <v>0.04</v>
      </c>
      <c r="G18" t="s">
        <v>95</v>
      </c>
      <c r="H18" s="3">
        <v>0.9</v>
      </c>
      <c r="J18">
        <v>0.1</v>
      </c>
      <c r="K18" s="32" t="s">
        <v>96</v>
      </c>
      <c r="O18" s="2">
        <f>PV(B18,B19,B16)</f>
        <v>-25938.049950996734</v>
      </c>
    </row>
    <row r="19" spans="1:24">
      <c r="A19" t="s">
        <v>94</v>
      </c>
      <c r="B19">
        <v>30</v>
      </c>
    </row>
    <row r="20" spans="1:24" ht="21">
      <c r="E20" s="84" t="s">
        <v>97</v>
      </c>
      <c r="F20" s="80"/>
      <c r="G20" s="80"/>
      <c r="H20" s="80"/>
      <c r="J20" s="33" t="str">
        <f>IF(SUM(G38,G30,G23)=1,"OK","not OK")</f>
        <v>OK</v>
      </c>
      <c r="K20" s="34">
        <f>L44</f>
        <v>89501.606041468112</v>
      </c>
      <c r="L20" s="35"/>
      <c r="Q20" s="84" t="s">
        <v>98</v>
      </c>
      <c r="R20" s="80"/>
      <c r="S20" s="80"/>
      <c r="T20" s="80"/>
      <c r="V20" s="33" t="str">
        <f>IF(SUM(S38,S30,S23)=1,"OK","not OK")</f>
        <v>OK</v>
      </c>
      <c r="W20" s="34">
        <f>W44</f>
        <v>82338.370006846191</v>
      </c>
    </row>
    <row r="21" spans="1:24" ht="14.25" customHeight="1" thickBot="1"/>
    <row r="22" spans="1:24" ht="14.25" customHeight="1">
      <c r="B22" s="36"/>
      <c r="C22" s="37"/>
      <c r="D22" s="37"/>
      <c r="E22" s="37"/>
      <c r="F22" s="37" t="s">
        <v>15</v>
      </c>
      <c r="G22" s="37" t="s">
        <v>36</v>
      </c>
      <c r="H22" s="37" t="s">
        <v>82</v>
      </c>
      <c r="I22" s="37" t="s">
        <v>20</v>
      </c>
      <c r="J22" s="37"/>
      <c r="K22" s="37"/>
      <c r="L22" s="38"/>
      <c r="N22" s="36"/>
      <c r="O22" s="37"/>
      <c r="P22" s="37"/>
      <c r="Q22" s="37"/>
      <c r="R22" s="37" t="s">
        <v>15</v>
      </c>
      <c r="S22" s="37" t="s">
        <v>36</v>
      </c>
      <c r="T22" s="37" t="s">
        <v>82</v>
      </c>
      <c r="U22" s="37" t="s">
        <v>20</v>
      </c>
      <c r="V22" s="37"/>
      <c r="W22" s="38"/>
    </row>
    <row r="23" spans="1:24" ht="14.25" customHeight="1">
      <c r="B23" s="27"/>
      <c r="D23" t="s">
        <v>99</v>
      </c>
      <c r="F23">
        <f>0.95</f>
        <v>0.95</v>
      </c>
      <c r="G23" s="39">
        <f>J16</f>
        <v>0.6</v>
      </c>
      <c r="H23">
        <f>F12*F23</f>
        <v>4854.5</v>
      </c>
      <c r="I23" s="1">
        <f>F13*F23</f>
        <v>1282.5</v>
      </c>
      <c r="L23" s="28"/>
      <c r="N23" s="27"/>
      <c r="P23" t="s">
        <v>99</v>
      </c>
      <c r="R23">
        <f>0.95</f>
        <v>0.95</v>
      </c>
      <c r="S23" s="39">
        <f>J16</f>
        <v>0.6</v>
      </c>
      <c r="T23">
        <f>P12*R23</f>
        <v>5825.4</v>
      </c>
      <c r="U23" s="1">
        <f>P13*R23</f>
        <v>1710</v>
      </c>
      <c r="W23" s="28"/>
    </row>
    <row r="24" spans="1:24" ht="14.25" customHeight="1">
      <c r="B24" s="27"/>
      <c r="C24" t="s">
        <v>100</v>
      </c>
      <c r="D24" t="s">
        <v>101</v>
      </c>
      <c r="E24" t="s">
        <v>102</v>
      </c>
      <c r="F24" t="s">
        <v>103</v>
      </c>
      <c r="G24" t="s">
        <v>104</v>
      </c>
      <c r="I24" t="s">
        <v>105</v>
      </c>
      <c r="J24" t="s">
        <v>51</v>
      </c>
      <c r="K24" t="s">
        <v>121</v>
      </c>
      <c r="L24" s="28"/>
      <c r="N24" s="27"/>
      <c r="O24" t="s">
        <v>100</v>
      </c>
      <c r="P24" t="s">
        <v>101</v>
      </c>
      <c r="Q24" t="s">
        <v>102</v>
      </c>
      <c r="R24" t="s">
        <v>103</v>
      </c>
      <c r="S24" t="s">
        <v>104</v>
      </c>
      <c r="U24" t="s">
        <v>105</v>
      </c>
      <c r="W24" s="28"/>
    </row>
    <row r="25" spans="1:24" ht="14.25" customHeight="1">
      <c r="A25" s="2">
        <f>-PV($B$18,$B$19,$I25)</f>
        <v>83983.515033834774</v>
      </c>
      <c r="B25" s="27">
        <v>1</v>
      </c>
      <c r="C25" t="s">
        <v>106</v>
      </c>
      <c r="D25">
        <f>$J$16</f>
        <v>0.6</v>
      </c>
      <c r="E25" s="3">
        <f>$H$16</f>
        <v>1</v>
      </c>
      <c r="F25" s="2">
        <f t="shared" ref="F25:F27" si="0">F$7*(B$6*E25)+$B$17</f>
        <v>6382</v>
      </c>
      <c r="G25" s="2">
        <f t="shared" ref="G25:G27" si="1">(H$23*(B$6*E25))+(I$23)</f>
        <v>1525.2249999999999</v>
      </c>
      <c r="I25" s="2">
        <f t="shared" ref="I25:I27" si="2">F25-G25</f>
        <v>4856.7749999999996</v>
      </c>
      <c r="J25" s="2">
        <f>-PV($B$18,$B$19,$I25)</f>
        <v>83983.515033834774</v>
      </c>
      <c r="K25" s="3"/>
      <c r="L25" s="28"/>
      <c r="N25" s="27">
        <v>1</v>
      </c>
      <c r="O25" t="s">
        <v>106</v>
      </c>
      <c r="P25">
        <f>$J$16</f>
        <v>0.6</v>
      </c>
      <c r="Q25" s="3">
        <f>$H$16</f>
        <v>1</v>
      </c>
      <c r="R25" s="2">
        <f>P$7*(V$4*Q25)+(V$15)</f>
        <v>6382</v>
      </c>
      <c r="S25" s="2">
        <f>(T$23*(V$4*Q25))+(U$23)</f>
        <v>2001.27</v>
      </c>
      <c r="U25" s="2">
        <f t="shared" ref="U25:U27" si="3">R25-S25</f>
        <v>4380.7299999999996</v>
      </c>
      <c r="V25" s="2">
        <f>-PV($B$18,$B$19,$U25)</f>
        <v>75751.729041219951</v>
      </c>
      <c r="W25" s="28"/>
      <c r="X25" s="2">
        <f t="shared" ref="X25:X27" si="4">-PV($B$18,$B$19,U25)</f>
        <v>75751.729041219951</v>
      </c>
    </row>
    <row r="26" spans="1:24" ht="14.25" customHeight="1">
      <c r="A26" s="2">
        <f t="shared" ref="A26:A27" si="5">-PV($B$18,$B$19,$I26)</f>
        <v>94167.268975511892</v>
      </c>
      <c r="B26" s="27">
        <v>2</v>
      </c>
      <c r="C26" t="s">
        <v>107</v>
      </c>
      <c r="D26">
        <f>$J$17</f>
        <v>0.3</v>
      </c>
      <c r="E26" s="3">
        <f>$H$17</f>
        <v>1.1000000000000001</v>
      </c>
      <c r="F26" s="2">
        <f t="shared" si="0"/>
        <v>6995.2000000000007</v>
      </c>
      <c r="G26" s="2">
        <f t="shared" si="1"/>
        <v>1549.4974999999999</v>
      </c>
      <c r="I26" s="2">
        <f t="shared" si="2"/>
        <v>5445.7025000000012</v>
      </c>
      <c r="J26" s="2">
        <f t="shared" ref="J26:J27" si="6">-PV($B$18,$B$19,$I26)</f>
        <v>94167.268975511892</v>
      </c>
      <c r="K26" s="2"/>
      <c r="L26" s="40">
        <f>(J25*D25)+(J26*D26)+(J27*D27)</f>
        <v>86020.2658221702</v>
      </c>
      <c r="N26" s="27">
        <v>2</v>
      </c>
      <c r="O26" t="s">
        <v>107</v>
      </c>
      <c r="P26">
        <f>$J$17</f>
        <v>0.3</v>
      </c>
      <c r="Q26" s="3">
        <f>$H$17</f>
        <v>1.1000000000000001</v>
      </c>
      <c r="R26" s="2">
        <f t="shared" ref="R26:R27" si="7">P$7*(V$4*Q26)+(V$15)</f>
        <v>6995.2000000000007</v>
      </c>
      <c r="S26" s="2">
        <f t="shared" ref="S26:S27" si="8">(T$23*(V$4*Q26))+(U$23)</f>
        <v>2030.3969999999999</v>
      </c>
      <c r="U26" s="2">
        <f t="shared" si="3"/>
        <v>4964.8030000000008</v>
      </c>
      <c r="V26" s="2">
        <f t="shared" ref="V26:V27" si="9">-PV($B$18,$B$19,$U26)</f>
        <v>85851.538807238976</v>
      </c>
      <c r="W26" s="41">
        <f>(V25*P25)+(V26*P26)+(V27*P27)</f>
        <v>77771.690994423756</v>
      </c>
      <c r="X26" s="2">
        <f t="shared" si="4"/>
        <v>85851.538807238976</v>
      </c>
    </row>
    <row r="27" spans="1:24" ht="14.25" customHeight="1">
      <c r="A27" s="2">
        <f t="shared" si="5"/>
        <v>73799.761092157714</v>
      </c>
      <c r="B27" s="27">
        <v>3</v>
      </c>
      <c r="C27" t="s">
        <v>108</v>
      </c>
      <c r="D27">
        <f>$J$18</f>
        <v>0.1</v>
      </c>
      <c r="E27" s="3">
        <f>$H$18</f>
        <v>0.9</v>
      </c>
      <c r="F27" s="2">
        <f t="shared" si="0"/>
        <v>5768.8000000000011</v>
      </c>
      <c r="G27" s="2">
        <f t="shared" si="1"/>
        <v>1500.9525000000001</v>
      </c>
      <c r="I27" s="2">
        <f t="shared" si="2"/>
        <v>4267.8475000000008</v>
      </c>
      <c r="J27" s="2">
        <f t="shared" si="6"/>
        <v>73799.761092157714</v>
      </c>
      <c r="K27" s="2"/>
      <c r="L27" s="42"/>
      <c r="N27" s="27">
        <v>3</v>
      </c>
      <c r="O27" t="s">
        <v>108</v>
      </c>
      <c r="P27">
        <f>$J$18</f>
        <v>0.1</v>
      </c>
      <c r="Q27" s="3">
        <f>$H$18</f>
        <v>0.9</v>
      </c>
      <c r="R27" s="2">
        <f t="shared" si="7"/>
        <v>5768.8000000000011</v>
      </c>
      <c r="S27" s="2">
        <f t="shared" si="8"/>
        <v>1972.143</v>
      </c>
      <c r="U27" s="2">
        <f t="shared" si="3"/>
        <v>3796.6570000000011</v>
      </c>
      <c r="V27" s="2">
        <f t="shared" si="9"/>
        <v>65651.919275200969</v>
      </c>
      <c r="W27" s="42"/>
      <c r="X27" s="2">
        <f t="shared" si="4"/>
        <v>65651.919275200969</v>
      </c>
    </row>
    <row r="28" spans="1:24" ht="14.25" customHeight="1">
      <c r="A28" s="2"/>
      <c r="B28" s="27"/>
      <c r="J28" s="43"/>
      <c r="K28" s="43"/>
      <c r="L28" s="42"/>
      <c r="N28" s="27"/>
      <c r="V28" s="43"/>
      <c r="W28" s="42"/>
      <c r="X28" s="2"/>
    </row>
    <row r="29" spans="1:24" ht="14.25" customHeight="1">
      <c r="A29" s="2"/>
      <c r="B29" s="27"/>
      <c r="F29" t="s">
        <v>15</v>
      </c>
      <c r="G29" t="s">
        <v>36</v>
      </c>
      <c r="H29" t="s">
        <v>82</v>
      </c>
      <c r="I29" t="s">
        <v>20</v>
      </c>
      <c r="J29" s="43"/>
      <c r="K29" s="43"/>
      <c r="L29" s="42"/>
      <c r="N29" s="27"/>
      <c r="R29" t="s">
        <v>15</v>
      </c>
      <c r="S29" t="s">
        <v>36</v>
      </c>
      <c r="T29" t="s">
        <v>82</v>
      </c>
      <c r="U29" t="s">
        <v>20</v>
      </c>
      <c r="V29" s="43"/>
      <c r="W29" s="42"/>
      <c r="X29" s="2"/>
    </row>
    <row r="30" spans="1:24" ht="14.25" customHeight="1">
      <c r="A30" s="2"/>
      <c r="B30" s="27"/>
      <c r="D30" t="s">
        <v>109</v>
      </c>
      <c r="F30">
        <v>0.75</v>
      </c>
      <c r="G30" s="39">
        <f>J17</f>
        <v>0.3</v>
      </c>
      <c r="H30">
        <f>F12*F30</f>
        <v>3832.5</v>
      </c>
      <c r="I30" s="1">
        <f>F13*F30</f>
        <v>1012.5</v>
      </c>
      <c r="J30" s="43"/>
      <c r="K30" s="43"/>
      <c r="L30" s="42"/>
      <c r="N30" s="27"/>
      <c r="P30" t="s">
        <v>109</v>
      </c>
      <c r="R30">
        <v>0.75</v>
      </c>
      <c r="S30" s="39">
        <f>J17</f>
        <v>0.3</v>
      </c>
      <c r="T30">
        <f>P12*R30</f>
        <v>4599</v>
      </c>
      <c r="U30" s="1">
        <f>P13*R30</f>
        <v>1350</v>
      </c>
      <c r="V30" s="43"/>
      <c r="W30" s="42"/>
      <c r="X30" s="2"/>
    </row>
    <row r="31" spans="1:24" ht="14.25" customHeight="1">
      <c r="A31" s="2"/>
      <c r="B31" s="27"/>
      <c r="C31" t="s">
        <v>100</v>
      </c>
      <c r="D31" t="s">
        <v>101</v>
      </c>
      <c r="E31" t="s">
        <v>102</v>
      </c>
      <c r="F31" t="s">
        <v>103</v>
      </c>
      <c r="G31" t="s">
        <v>104</v>
      </c>
      <c r="I31" t="s">
        <v>105</v>
      </c>
      <c r="J31" s="43"/>
      <c r="K31" s="43"/>
      <c r="L31" s="42"/>
      <c r="N31" s="27"/>
      <c r="O31" t="s">
        <v>100</v>
      </c>
      <c r="P31" t="s">
        <v>101</v>
      </c>
      <c r="Q31" t="s">
        <v>102</v>
      </c>
      <c r="R31" t="s">
        <v>103</v>
      </c>
      <c r="S31" t="s">
        <v>104</v>
      </c>
      <c r="U31" t="s">
        <v>105</v>
      </c>
      <c r="V31" s="43"/>
      <c r="W31" s="42"/>
      <c r="X31" s="2"/>
    </row>
    <row r="32" spans="1:24" ht="14.25" customHeight="1">
      <c r="A32" s="2">
        <f t="shared" ref="A32:A34" si="10">-PV($B$18,$B$19,I32)</f>
        <v>89535.986926678146</v>
      </c>
      <c r="B32" s="27">
        <v>1</v>
      </c>
      <c r="C32" t="s">
        <v>106</v>
      </c>
      <c r="D32">
        <f>$J$16</f>
        <v>0.6</v>
      </c>
      <c r="E32" s="3">
        <f>$H$16</f>
        <v>1</v>
      </c>
      <c r="F32" s="2">
        <f t="shared" ref="F32:F34" si="11">F$7*(B$6*E32)+$B$17</f>
        <v>6382</v>
      </c>
      <c r="G32" s="2">
        <f t="shared" ref="G32:G34" si="12">(H$30*(B$6*E32))+(I$30)</f>
        <v>1204.125</v>
      </c>
      <c r="I32" s="2">
        <f t="shared" ref="I32:I34" si="13">F32-G32</f>
        <v>5177.875</v>
      </c>
      <c r="J32" s="2">
        <f>-PV($B$18,$B$19,$I32)</f>
        <v>89535.986926678146</v>
      </c>
      <c r="K32" s="2"/>
      <c r="L32" s="42"/>
      <c r="N32" s="27">
        <v>1</v>
      </c>
      <c r="O32" t="s">
        <v>106</v>
      </c>
      <c r="P32">
        <f>$J$16</f>
        <v>0.6</v>
      </c>
      <c r="Q32" s="3">
        <f>$H$16</f>
        <v>1</v>
      </c>
      <c r="R32" s="2">
        <f>P$7*(V$4*Q32)+(V$15)</f>
        <v>6382</v>
      </c>
      <c r="S32" s="2">
        <f>(T$30*(V$4*Q32))+(U$30)</f>
        <v>1579.95</v>
      </c>
      <c r="U32" s="2">
        <f t="shared" ref="U32:U34" si="14">R32-S32</f>
        <v>4802.05</v>
      </c>
      <c r="V32" s="2">
        <f>-PV($B$18,$B$19,$U32)</f>
        <v>83037.208511455916</v>
      </c>
      <c r="W32" s="42"/>
      <c r="X32" s="2">
        <f t="shared" ref="X32:X34" si="15">-PV($B$18,$B$19,U32)</f>
        <v>83037.208511455916</v>
      </c>
    </row>
    <row r="33" spans="1:24" ht="14.25" customHeight="1">
      <c r="A33" s="2">
        <f t="shared" si="10"/>
        <v>99808.103158521641</v>
      </c>
      <c r="B33" s="27">
        <v>2</v>
      </c>
      <c r="C33" t="s">
        <v>107</v>
      </c>
      <c r="D33">
        <f>$J$17</f>
        <v>0.3</v>
      </c>
      <c r="E33" s="3">
        <f>$H$17</f>
        <v>1.1000000000000001</v>
      </c>
      <c r="F33" s="2">
        <f t="shared" si="11"/>
        <v>6995.2000000000007</v>
      </c>
      <c r="G33" s="2">
        <f t="shared" si="12"/>
        <v>1223.2874999999999</v>
      </c>
      <c r="I33" s="2">
        <f t="shared" si="13"/>
        <v>5771.9125000000004</v>
      </c>
      <c r="J33" s="2">
        <f t="shared" ref="J33:J34" si="16">-PV($B$18,$B$19,$I33)</f>
        <v>99808.103158521641</v>
      </c>
      <c r="K33" s="2"/>
      <c r="L33" s="40">
        <f>(J32*D32)+(J33*D33)+(J34*D34)</f>
        <v>91590.410173046839</v>
      </c>
      <c r="N33" s="27">
        <v>2</v>
      </c>
      <c r="O33" t="s">
        <v>107</v>
      </c>
      <c r="P33">
        <f>$J$17</f>
        <v>0.3</v>
      </c>
      <c r="Q33" s="3">
        <f>$H$17</f>
        <v>1.1000000000000001</v>
      </c>
      <c r="R33" s="2">
        <f t="shared" ref="R33:R34" si="17">P$7*(V$4*Q33)+(V$15)</f>
        <v>6995.2000000000007</v>
      </c>
      <c r="S33" s="2">
        <f t="shared" ref="S33:S34" si="18">(T$30*(V$4*Q33))+(U$30)</f>
        <v>1602.9449999999999</v>
      </c>
      <c r="U33" s="2">
        <f t="shared" si="14"/>
        <v>5392.255000000001</v>
      </c>
      <c r="V33" s="2">
        <f t="shared" ref="V33:V34" si="19">-PV($B$18,$B$19,$U33)</f>
        <v>93243.053025674628</v>
      </c>
      <c r="W33" s="41">
        <f>(V32*P32)+(V33*P33)+(V34*P34)</f>
        <v>85078.377414299655</v>
      </c>
      <c r="X33" s="2">
        <f t="shared" si="15"/>
        <v>93243.053025674628</v>
      </c>
    </row>
    <row r="34" spans="1:24" ht="14.25" customHeight="1">
      <c r="A34" s="2">
        <f t="shared" si="10"/>
        <v>79263.870694834695</v>
      </c>
      <c r="B34" s="27">
        <v>3</v>
      </c>
      <c r="C34" t="s">
        <v>108</v>
      </c>
      <c r="D34">
        <f>$J$18</f>
        <v>0.1</v>
      </c>
      <c r="E34" s="3">
        <f>$H$18</f>
        <v>0.9</v>
      </c>
      <c r="F34" s="2">
        <f t="shared" si="11"/>
        <v>5768.8000000000011</v>
      </c>
      <c r="G34" s="2">
        <f t="shared" si="12"/>
        <v>1184.9625000000001</v>
      </c>
      <c r="I34" s="2">
        <f t="shared" si="13"/>
        <v>4583.8375000000015</v>
      </c>
      <c r="J34" s="2">
        <f t="shared" si="16"/>
        <v>79263.870694834695</v>
      </c>
      <c r="K34" s="2"/>
      <c r="L34" s="42"/>
      <c r="N34" s="27">
        <v>3</v>
      </c>
      <c r="O34" t="s">
        <v>108</v>
      </c>
      <c r="P34">
        <f>$J$18</f>
        <v>0.1</v>
      </c>
      <c r="Q34" s="3">
        <f>$H$18</f>
        <v>0.9</v>
      </c>
      <c r="R34" s="2">
        <f t="shared" si="17"/>
        <v>5768.8000000000011</v>
      </c>
      <c r="S34" s="2">
        <f t="shared" si="18"/>
        <v>1556.9549999999999</v>
      </c>
      <c r="U34" s="2">
        <f t="shared" si="14"/>
        <v>4211.8450000000012</v>
      </c>
      <c r="V34" s="2">
        <f t="shared" si="19"/>
        <v>72831.363997237248</v>
      </c>
      <c r="W34" s="42"/>
      <c r="X34" s="2">
        <f t="shared" si="15"/>
        <v>72831.363997237248</v>
      </c>
    </row>
    <row r="35" spans="1:24" ht="14.25" customHeight="1">
      <c r="A35" s="2"/>
      <c r="B35" s="27"/>
      <c r="J35" s="43"/>
      <c r="K35" s="43"/>
      <c r="L35" s="42"/>
      <c r="N35" s="27"/>
      <c r="V35" s="43"/>
      <c r="W35" s="42"/>
      <c r="X35" s="2"/>
    </row>
    <row r="36" spans="1:24" ht="14.25" customHeight="1">
      <c r="A36" s="2"/>
      <c r="B36" s="27"/>
      <c r="J36" s="43"/>
      <c r="K36" s="43"/>
      <c r="L36" s="42"/>
      <c r="N36" s="27"/>
      <c r="V36" s="43"/>
      <c r="W36" s="42"/>
      <c r="X36" s="2"/>
    </row>
    <row r="37" spans="1:24" ht="14.25" customHeight="1">
      <c r="A37" s="2"/>
      <c r="B37" s="27"/>
      <c r="F37" t="s">
        <v>15</v>
      </c>
      <c r="G37" t="s">
        <v>36</v>
      </c>
      <c r="H37" t="s">
        <v>82</v>
      </c>
      <c r="I37" t="s">
        <v>20</v>
      </c>
      <c r="J37" s="43"/>
      <c r="K37" s="43"/>
      <c r="L37" s="42"/>
      <c r="N37" s="27"/>
      <c r="R37" t="s">
        <v>15</v>
      </c>
      <c r="S37" t="s">
        <v>36</v>
      </c>
      <c r="T37" t="s">
        <v>82</v>
      </c>
      <c r="U37" t="s">
        <v>20</v>
      </c>
      <c r="V37" s="43"/>
      <c r="W37" s="42"/>
      <c r="X37" s="2"/>
    </row>
    <row r="38" spans="1:24" ht="14.25" customHeight="1">
      <c r="A38" s="2"/>
      <c r="B38" s="27"/>
      <c r="D38" t="s">
        <v>110</v>
      </c>
      <c r="F38">
        <v>0.3</v>
      </c>
      <c r="G38" s="39">
        <f>J18</f>
        <v>0.1</v>
      </c>
      <c r="H38">
        <f>F12*F38</f>
        <v>1533</v>
      </c>
      <c r="I38" s="1">
        <f>F13*F38</f>
        <v>405</v>
      </c>
      <c r="J38" s="43"/>
      <c r="K38" s="43"/>
      <c r="L38" s="42"/>
      <c r="N38" s="27"/>
      <c r="P38" t="s">
        <v>110</v>
      </c>
      <c r="R38">
        <v>0.3</v>
      </c>
      <c r="S38" s="39">
        <f>J18</f>
        <v>0.1</v>
      </c>
      <c r="T38">
        <f>P12*R38</f>
        <v>1839.6</v>
      </c>
      <c r="U38" s="1">
        <f>P13*R38</f>
        <v>540</v>
      </c>
      <c r="V38" s="43"/>
      <c r="W38" s="42"/>
      <c r="X38" s="2"/>
    </row>
    <row r="39" spans="1:24" ht="14.25" customHeight="1">
      <c r="A39" s="2"/>
      <c r="B39" s="27"/>
      <c r="C39" t="s">
        <v>100</v>
      </c>
      <c r="D39" t="s">
        <v>101</v>
      </c>
      <c r="E39" t="s">
        <v>102</v>
      </c>
      <c r="F39" t="s">
        <v>103</v>
      </c>
      <c r="G39" t="s">
        <v>104</v>
      </c>
      <c r="I39" t="s">
        <v>105</v>
      </c>
      <c r="J39" s="43"/>
      <c r="K39" s="43"/>
      <c r="L39" s="42"/>
      <c r="N39" s="27"/>
      <c r="O39" t="s">
        <v>100</v>
      </c>
      <c r="P39" t="s">
        <v>101</v>
      </c>
      <c r="Q39" t="s">
        <v>102</v>
      </c>
      <c r="R39" t="s">
        <v>103</v>
      </c>
      <c r="S39" t="s">
        <v>104</v>
      </c>
      <c r="U39" t="s">
        <v>105</v>
      </c>
      <c r="V39" s="43"/>
      <c r="W39" s="42"/>
      <c r="X39" s="2"/>
    </row>
    <row r="40" spans="1:24" ht="14.25" customHeight="1">
      <c r="A40" s="2">
        <f t="shared" ref="A40:A42" si="20">-PV($B$18,$B$19,I40)</f>
        <v>102029.04868557573</v>
      </c>
      <c r="B40" s="27">
        <v>1</v>
      </c>
      <c r="C40" t="s">
        <v>106</v>
      </c>
      <c r="D40">
        <f>$J$16</f>
        <v>0.6</v>
      </c>
      <c r="E40" s="3">
        <f>$H$16</f>
        <v>1</v>
      </c>
      <c r="F40" s="2">
        <f t="shared" ref="F40:F42" si="21">F$7*(B$6*E40)+$B$17</f>
        <v>6382</v>
      </c>
      <c r="G40" s="2">
        <f t="shared" ref="G40:G42" si="22">(H$38*(B$6*E40))+(I$38)</f>
        <v>481.65</v>
      </c>
      <c r="I40" s="2">
        <f t="shared" ref="I40:I42" si="23">F40-G40</f>
        <v>5900.35</v>
      </c>
      <c r="J40" s="2">
        <f>-PV($B$18,$B$19,$I40)</f>
        <v>102029.04868557573</v>
      </c>
      <c r="K40" s="2"/>
      <c r="L40" s="42"/>
      <c r="N40" s="27">
        <v>1</v>
      </c>
      <c r="O40" t="s">
        <v>106</v>
      </c>
      <c r="P40">
        <f>$J$16</f>
        <v>0.6</v>
      </c>
      <c r="Q40" s="3">
        <f>$H$16</f>
        <v>1</v>
      </c>
      <c r="R40" s="2">
        <f>P$7*(V$4*Q40)+(V$15)</f>
        <v>6382</v>
      </c>
      <c r="S40" s="2">
        <f>(T$38*(V$4*Q40))+(U$38)</f>
        <v>631.98</v>
      </c>
      <c r="U40" s="2">
        <f t="shared" ref="U40:U42" si="24">R40-S40</f>
        <v>5750.02</v>
      </c>
      <c r="V40" s="2">
        <f>-PV($B$18,$B$19,$U40)</f>
        <v>99429.537319486844</v>
      </c>
      <c r="W40" s="42"/>
      <c r="X40" s="2">
        <f t="shared" ref="X40:X42" si="25">-PV($B$18,$B$19,U40)</f>
        <v>99429.537319486844</v>
      </c>
    </row>
    <row r="41" spans="1:24" ht="14.25" customHeight="1">
      <c r="A41" s="2">
        <f t="shared" si="20"/>
        <v>112499.98007029362</v>
      </c>
      <c r="B41" s="27">
        <v>2</v>
      </c>
      <c r="C41" t="s">
        <v>107</v>
      </c>
      <c r="D41">
        <f>$J$17</f>
        <v>0.3</v>
      </c>
      <c r="E41" s="3">
        <f>$H$17</f>
        <v>1.1000000000000001</v>
      </c>
      <c r="F41" s="2">
        <f t="shared" si="21"/>
        <v>6995.2000000000007</v>
      </c>
      <c r="G41" s="2">
        <f t="shared" si="22"/>
        <v>489.315</v>
      </c>
      <c r="I41" s="2">
        <f t="shared" si="23"/>
        <v>6505.8850000000011</v>
      </c>
      <c r="J41" s="2">
        <f t="shared" ref="J41:J42" si="26">-PV($B$18,$B$19,$I41)</f>
        <v>112499.98007029362</v>
      </c>
      <c r="K41" s="2"/>
      <c r="L41" s="40">
        <f>(J40*D40)+(J41*D41)+(J42*D42)</f>
        <v>104123.2349625193</v>
      </c>
      <c r="N41" s="27">
        <v>2</v>
      </c>
      <c r="O41" t="s">
        <v>107</v>
      </c>
      <c r="P41">
        <f>$J$17</f>
        <v>0.3</v>
      </c>
      <c r="Q41" s="3">
        <f>$H$17</f>
        <v>1.1000000000000001</v>
      </c>
      <c r="R41" s="2">
        <f t="shared" ref="R41:R42" si="27">P$7*(V$4*Q41)+(V$15)</f>
        <v>6995.2000000000007</v>
      </c>
      <c r="S41" s="2">
        <f t="shared" ref="S41:S42" si="28">(T$38*(V$4*Q41))+(U$38)</f>
        <v>641.178</v>
      </c>
      <c r="U41" s="2">
        <f t="shared" si="24"/>
        <v>6354.0220000000008</v>
      </c>
      <c r="V41" s="2">
        <f t="shared" ref="V41:V42" si="29">-PV($B$18,$B$19,$U41)</f>
        <v>109873.96001715479</v>
      </c>
      <c r="W41" s="41">
        <f>(V40*P40)+(V41*P41)+(V42*P42)</f>
        <v>101518.42185902044</v>
      </c>
      <c r="X41" s="2">
        <f t="shared" si="25"/>
        <v>109873.96001715479</v>
      </c>
    </row>
    <row r="42" spans="1:24" ht="14.25" customHeight="1">
      <c r="A42" s="2">
        <f t="shared" si="20"/>
        <v>91558.117300857877</v>
      </c>
      <c r="B42" s="27">
        <v>3</v>
      </c>
      <c r="C42" t="s">
        <v>108</v>
      </c>
      <c r="D42">
        <f>$J$18</f>
        <v>0.1</v>
      </c>
      <c r="E42" s="3">
        <f>$H$18</f>
        <v>0.9</v>
      </c>
      <c r="F42" s="2">
        <f t="shared" si="21"/>
        <v>5768.8000000000011</v>
      </c>
      <c r="G42" s="2">
        <f t="shared" si="22"/>
        <v>473.98500000000001</v>
      </c>
      <c r="I42" s="2">
        <f t="shared" si="23"/>
        <v>5294.8150000000014</v>
      </c>
      <c r="J42" s="2">
        <f t="shared" si="26"/>
        <v>91558.117300857877</v>
      </c>
      <c r="K42" s="2"/>
      <c r="L42" s="42"/>
      <c r="N42" s="27">
        <v>3</v>
      </c>
      <c r="O42" t="s">
        <v>108</v>
      </c>
      <c r="P42">
        <f>$J$18</f>
        <v>0.1</v>
      </c>
      <c r="Q42" s="3">
        <f>$H$18</f>
        <v>0.9</v>
      </c>
      <c r="R42" s="2">
        <f t="shared" si="27"/>
        <v>5768.8000000000011</v>
      </c>
      <c r="S42" s="2">
        <f t="shared" si="28"/>
        <v>622.78200000000004</v>
      </c>
      <c r="U42" s="2">
        <f t="shared" si="24"/>
        <v>5146.0180000000009</v>
      </c>
      <c r="V42" s="2">
        <f t="shared" si="29"/>
        <v>88985.11462181891</v>
      </c>
      <c r="W42" s="42"/>
      <c r="X42" s="2">
        <f t="shared" si="25"/>
        <v>88985.11462181891</v>
      </c>
    </row>
    <row r="43" spans="1:24" ht="14.25" customHeight="1">
      <c r="B43" s="27"/>
      <c r="L43" s="28"/>
      <c r="N43" s="27"/>
      <c r="W43" s="28"/>
    </row>
    <row r="44" spans="1:24" ht="14.25" customHeight="1" thickBot="1">
      <c r="B44" s="29"/>
      <c r="C44" s="44"/>
      <c r="D44" s="44"/>
      <c r="E44" s="44"/>
      <c r="F44" s="44"/>
      <c r="G44" s="44"/>
      <c r="H44" s="44"/>
      <c r="I44" s="44"/>
      <c r="J44" s="45" t="s">
        <v>58</v>
      </c>
      <c r="K44" s="45"/>
      <c r="L44" s="46">
        <f>(L26*G23)+(L33*G30)+(L41*G38)</f>
        <v>89501.606041468112</v>
      </c>
      <c r="N44" s="29"/>
      <c r="O44" s="44"/>
      <c r="P44" s="44"/>
      <c r="Q44" s="44"/>
      <c r="R44" s="44"/>
      <c r="S44" s="44"/>
      <c r="T44" s="44"/>
      <c r="U44" s="44"/>
      <c r="V44" s="47" t="s">
        <v>58</v>
      </c>
      <c r="W44" s="46">
        <f>(W26*S23)+(W33*S30)+(W41*S38)</f>
        <v>82338.370006846191</v>
      </c>
    </row>
    <row r="45" spans="1:24" ht="14.25" customHeight="1"/>
    <row r="46" spans="1:24" ht="14.25" customHeight="1"/>
    <row r="47" spans="1:24" ht="14.25" customHeight="1"/>
    <row r="48" spans="1:24" ht="14.25" customHeight="1"/>
    <row r="49" spans="3:3" ht="14.25" customHeight="1">
      <c r="C49">
        <v>111990.95144075128</v>
      </c>
    </row>
    <row r="50" spans="3:3" ht="14.25" customHeight="1">
      <c r="C50">
        <v>103572.49459321816</v>
      </c>
    </row>
    <row r="51" spans="3:3" ht="14.25" customHeight="1">
      <c r="C51">
        <v>101697.84493254396</v>
      </c>
    </row>
    <row r="52" spans="3:3" ht="14.25" customHeight="1">
      <c r="C52">
        <v>99830.958216536761</v>
      </c>
    </row>
    <row r="53" spans="3:3" ht="14.25" customHeight="1">
      <c r="C53">
        <v>93396.060576917473</v>
      </c>
    </row>
    <row r="54" spans="3:3" ht="14.25" customHeight="1">
      <c r="C54">
        <v>91404.738424336654</v>
      </c>
    </row>
    <row r="55" spans="3:3" ht="14.25" customHeight="1">
      <c r="C55">
        <v>89706.378641083487</v>
      </c>
    </row>
    <row r="56" spans="3:3" ht="14.25" customHeight="1">
      <c r="C56">
        <v>83219.626560616816</v>
      </c>
    </row>
    <row r="57" spans="3:3" ht="14.25" customHeight="1">
      <c r="C57">
        <v>79581.799065630228</v>
      </c>
    </row>
    <row r="58" spans="3:3" ht="14.25" customHeight="1">
      <c r="C58">
        <v>55202.691338535617</v>
      </c>
    </row>
    <row r="59" spans="3:3" ht="14.25" customHeight="1">
      <c r="C59">
        <v>50056.138084431957</v>
      </c>
    </row>
    <row r="60" spans="3:3" ht="14.25" customHeight="1">
      <c r="C60">
        <v>49804.286342009036</v>
      </c>
    </row>
    <row r="61" spans="3:3" ht="14.25" customHeight="1">
      <c r="C61">
        <v>47404.995232441666</v>
      </c>
    </row>
    <row r="62" spans="3:3" ht="14.25" customHeight="1">
      <c r="C62">
        <v>44909.584830328306</v>
      </c>
    </row>
    <row r="63" spans="3:3" ht="14.25" customHeight="1">
      <c r="C63">
        <v>44716.069333858686</v>
      </c>
    </row>
    <row r="64" spans="3:3" ht="14.25" customHeight="1">
      <c r="C64">
        <v>42342.705444715015</v>
      </c>
    </row>
    <row r="65" spans="3:3" ht="14.25" customHeight="1">
      <c r="C65">
        <v>39627.852325708365</v>
      </c>
    </row>
    <row r="66" spans="3:3" ht="14.25" customHeight="1">
      <c r="C66">
        <v>37280.415656988385</v>
      </c>
    </row>
    <row r="67" spans="3:3" ht="14.25" customHeight="1"/>
    <row r="68" spans="3:3" ht="14.25" customHeight="1"/>
    <row r="69" spans="3:3" ht="14.25" customHeight="1"/>
    <row r="70" spans="3:3" ht="14.25" customHeight="1"/>
    <row r="71" spans="3:3" ht="14.25" customHeight="1"/>
    <row r="72" spans="3:3" ht="14.25" customHeight="1"/>
    <row r="73" spans="3:3" ht="14.25" customHeight="1"/>
    <row r="74" spans="3:3" ht="14.25" customHeight="1"/>
    <row r="75" spans="3:3" ht="14.25" customHeight="1"/>
    <row r="76" spans="3:3" ht="14.25" customHeight="1"/>
    <row r="77" spans="3:3" ht="14.25" customHeight="1"/>
    <row r="78" spans="3:3" ht="14.25" customHeight="1"/>
    <row r="79" spans="3:3" ht="14.25" customHeight="1"/>
    <row r="80" spans="3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6">
    <mergeCell ref="U3:W3"/>
    <mergeCell ref="A4:C4"/>
    <mergeCell ref="E4:F4"/>
    <mergeCell ref="O4:P4"/>
    <mergeCell ref="E20:H20"/>
    <mergeCell ref="Q20:T20"/>
  </mergeCells>
  <conditionalFormatting sqref="K20 W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</vt:lpstr>
      <vt:lpstr>Utility</vt:lpstr>
      <vt:lpstr>Multiple</vt:lpstr>
      <vt:lpstr>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</dc:creator>
  <cp:lastModifiedBy>HIMANSI PATEL</cp:lastModifiedBy>
  <dcterms:created xsi:type="dcterms:W3CDTF">2019-06-13T17:40:13Z</dcterms:created>
  <dcterms:modified xsi:type="dcterms:W3CDTF">2019-06-17T19:06:41Z</dcterms:modified>
</cp:coreProperties>
</file>