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.chattock/Desktop/Sem 2/Advanced Technology Enterprise/"/>
    </mc:Choice>
  </mc:AlternateContent>
  <xr:revisionPtr revIDLastSave="0" documentId="13_ncr:1_{E5942B77-4DB2-6B49-9DA7-E1EC97442FA0}" xr6:coauthVersionLast="47" xr6:coauthVersionMax="47" xr10:uidLastSave="{00000000-0000-0000-0000-000000000000}"/>
  <bookViews>
    <workbookView xWindow="14820" yWindow="760" windowWidth="15420" windowHeight="17820" xr2:uid="{5D4BB347-2CFD-8545-A00E-C77490B7D8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4" i="1" l="1"/>
  <c r="AB15" i="1"/>
  <c r="AB16" i="1"/>
  <c r="AB17" i="1"/>
  <c r="AA14" i="1"/>
  <c r="AA15" i="1"/>
  <c r="AA16" i="1"/>
  <c r="AA17" i="1"/>
  <c r="Z14" i="1"/>
  <c r="Z15" i="1"/>
  <c r="Z16" i="1"/>
  <c r="Z17" i="1"/>
  <c r="Y14" i="1"/>
  <c r="Y15" i="1"/>
  <c r="Y16" i="1"/>
  <c r="Y17" i="1"/>
  <c r="X14" i="1"/>
  <c r="AF6" i="1" s="1"/>
  <c r="X15" i="1"/>
  <c r="X16" i="1"/>
  <c r="X17" i="1"/>
  <c r="AF16" i="1" s="1"/>
  <c r="K86" i="1"/>
  <c r="L86" i="1"/>
  <c r="M86" i="1"/>
  <c r="N86" i="1"/>
  <c r="J86" i="1"/>
  <c r="C16" i="1"/>
  <c r="C86" i="1" s="1"/>
  <c r="G91" i="1"/>
  <c r="D47" i="1"/>
  <c r="D46" i="1"/>
  <c r="D45" i="1"/>
  <c r="C62" i="1"/>
  <c r="D16" i="1"/>
  <c r="D86" i="1" s="1"/>
  <c r="E16" i="1"/>
  <c r="E86" i="1" s="1"/>
  <c r="F16" i="1"/>
  <c r="F86" i="1" s="1"/>
  <c r="G16" i="1"/>
  <c r="G86" i="1" s="1"/>
  <c r="H16" i="1"/>
  <c r="AN5" i="1"/>
  <c r="AO5" i="1"/>
  <c r="AP5" i="1"/>
  <c r="AQ5" i="1"/>
  <c r="AN6" i="1"/>
  <c r="AO6" i="1"/>
  <c r="AP6" i="1"/>
  <c r="AQ6" i="1"/>
  <c r="AQ4" i="1"/>
  <c r="AN4" i="1"/>
  <c r="AO4" i="1"/>
  <c r="AP4" i="1"/>
  <c r="AM6" i="1"/>
  <c r="AM4" i="1"/>
  <c r="AM5" i="1"/>
  <c r="AG16" i="1"/>
  <c r="AH16" i="1"/>
  <c r="AI16" i="1"/>
  <c r="AJ16" i="1"/>
  <c r="AG15" i="1"/>
  <c r="AH15" i="1"/>
  <c r="AI15" i="1"/>
  <c r="AJ15" i="1"/>
  <c r="AF15" i="1"/>
  <c r="AG14" i="1"/>
  <c r="AH14" i="1"/>
  <c r="AI14" i="1"/>
  <c r="AJ14" i="1"/>
  <c r="AF14" i="1"/>
  <c r="AG11" i="1"/>
  <c r="AH11" i="1"/>
  <c r="AI11" i="1"/>
  <c r="AJ11" i="1"/>
  <c r="AF11" i="1"/>
  <c r="AG10" i="1"/>
  <c r="AH10" i="1"/>
  <c r="AI10" i="1"/>
  <c r="AJ10" i="1"/>
  <c r="AF10" i="1"/>
  <c r="AG9" i="1"/>
  <c r="AH9" i="1"/>
  <c r="AI9" i="1"/>
  <c r="AJ9" i="1"/>
  <c r="AF9" i="1"/>
  <c r="AG6" i="1"/>
  <c r="AH6" i="1"/>
  <c r="AI6" i="1"/>
  <c r="AJ6" i="1"/>
  <c r="AG5" i="1"/>
  <c r="AH5" i="1"/>
  <c r="AI5" i="1"/>
  <c r="AJ5" i="1"/>
  <c r="AF5" i="1"/>
  <c r="AG4" i="1"/>
  <c r="AH4" i="1"/>
  <c r="AI4" i="1"/>
  <c r="AJ4" i="1"/>
  <c r="AF4" i="1"/>
  <c r="G8" i="1"/>
  <c r="F8" i="1"/>
  <c r="D8" i="1"/>
  <c r="C8" i="1"/>
  <c r="C13" i="1"/>
  <c r="C66" i="1" s="1"/>
  <c r="D33" i="1"/>
  <c r="D12" i="1" s="1"/>
  <c r="D61" i="1" s="1"/>
  <c r="E33" i="1"/>
  <c r="E12" i="1" s="1"/>
  <c r="E61" i="1" s="1"/>
  <c r="F33" i="1"/>
  <c r="F12" i="1" s="1"/>
  <c r="F61" i="1" s="1"/>
  <c r="G33" i="1"/>
  <c r="G12" i="1" s="1"/>
  <c r="G61" i="1" s="1"/>
  <c r="C33" i="1"/>
  <c r="C12" i="1" s="1"/>
  <c r="C35" i="1"/>
  <c r="C9" i="1" s="1"/>
  <c r="C10" i="1"/>
  <c r="C51" i="1" s="1"/>
  <c r="C11" i="1"/>
  <c r="R52" i="1" s="1"/>
  <c r="K88" i="1"/>
  <c r="K87" i="1"/>
  <c r="D6" i="1"/>
  <c r="D71" i="1" s="1"/>
  <c r="D4" i="1"/>
  <c r="D5" i="1"/>
  <c r="D40" i="1" s="1"/>
  <c r="D91" i="1"/>
  <c r="E91" i="1"/>
  <c r="F91" i="1"/>
  <c r="C91" i="1"/>
  <c r="D81" i="1"/>
  <c r="E81" i="1"/>
  <c r="F81" i="1"/>
  <c r="G81" i="1"/>
  <c r="C81" i="1"/>
  <c r="D76" i="1"/>
  <c r="E76" i="1"/>
  <c r="F76" i="1"/>
  <c r="G76" i="1"/>
  <c r="C76" i="1"/>
  <c r="D11" i="1"/>
  <c r="D56" i="1" s="1"/>
  <c r="E11" i="1"/>
  <c r="T52" i="1" s="1"/>
  <c r="F11" i="1"/>
  <c r="F56" i="1" s="1"/>
  <c r="G11" i="1"/>
  <c r="G56" i="1" s="1"/>
  <c r="N71" i="1"/>
  <c r="M71" i="1"/>
  <c r="L71" i="1"/>
  <c r="K71" i="1"/>
  <c r="J71" i="1"/>
  <c r="N61" i="1"/>
  <c r="M61" i="1"/>
  <c r="L61" i="1"/>
  <c r="K61" i="1"/>
  <c r="J61" i="1"/>
  <c r="N56" i="1"/>
  <c r="M56" i="1"/>
  <c r="L56" i="1"/>
  <c r="K56" i="1"/>
  <c r="J56" i="1"/>
  <c r="N51" i="1"/>
  <c r="M51" i="1"/>
  <c r="L51" i="1"/>
  <c r="K51" i="1"/>
  <c r="J51" i="1"/>
  <c r="N45" i="1"/>
  <c r="M45" i="1"/>
  <c r="L45" i="1"/>
  <c r="K45" i="1"/>
  <c r="J45" i="1"/>
  <c r="N40" i="1"/>
  <c r="M40" i="1"/>
  <c r="L40" i="1"/>
  <c r="K40" i="1"/>
  <c r="J40" i="1"/>
  <c r="D13" i="1"/>
  <c r="D66" i="1" s="1"/>
  <c r="G45" i="1"/>
  <c r="F45" i="1"/>
  <c r="E8" i="1"/>
  <c r="E45" i="1" s="1"/>
  <c r="C45" i="1"/>
  <c r="D35" i="1"/>
  <c r="K66" i="1" s="1"/>
  <c r="C4" i="1"/>
  <c r="K41" i="1"/>
  <c r="L41" i="1"/>
  <c r="M41" i="1"/>
  <c r="N41" i="1"/>
  <c r="J41" i="1"/>
  <c r="K12" i="1"/>
  <c r="D62" i="1" s="1"/>
  <c r="J12" i="1"/>
  <c r="G47" i="1"/>
  <c r="F47" i="1"/>
  <c r="E47" i="1"/>
  <c r="C47" i="1"/>
  <c r="G46" i="1"/>
  <c r="F46" i="1"/>
  <c r="E46" i="1"/>
  <c r="C46" i="1"/>
  <c r="Q12" i="1"/>
  <c r="C63" i="1" s="1"/>
  <c r="U35" i="1"/>
  <c r="U9" i="1" s="1"/>
  <c r="T35" i="1"/>
  <c r="T9" i="1" s="1"/>
  <c r="S35" i="1"/>
  <c r="S9" i="1" s="1"/>
  <c r="R35" i="1"/>
  <c r="R9" i="1" s="1"/>
  <c r="Q35" i="1"/>
  <c r="Q9" i="1" s="1"/>
  <c r="U8" i="1"/>
  <c r="T8" i="1"/>
  <c r="S8" i="1"/>
  <c r="R8" i="1"/>
  <c r="Q8" i="1"/>
  <c r="U12" i="1"/>
  <c r="T12" i="1"/>
  <c r="S12" i="1"/>
  <c r="R12" i="1"/>
  <c r="D63" i="1" s="1"/>
  <c r="G35" i="1"/>
  <c r="N66" i="1" s="1"/>
  <c r="F35" i="1"/>
  <c r="F9" i="1" s="1"/>
  <c r="E35" i="1"/>
  <c r="E9" i="1" s="1"/>
  <c r="J8" i="1"/>
  <c r="K35" i="1"/>
  <c r="K9" i="1" s="1"/>
  <c r="L35" i="1"/>
  <c r="L9" i="1" s="1"/>
  <c r="M35" i="1"/>
  <c r="M9" i="1" s="1"/>
  <c r="N35" i="1"/>
  <c r="N9" i="1" s="1"/>
  <c r="J35" i="1"/>
  <c r="J9" i="1" s="1"/>
  <c r="J7" i="1"/>
  <c r="J11" i="1"/>
  <c r="J10" i="1"/>
  <c r="J6" i="1"/>
  <c r="U13" i="1"/>
  <c r="T13" i="1"/>
  <c r="S13" i="1"/>
  <c r="R13" i="1"/>
  <c r="Q13" i="1"/>
  <c r="G13" i="1"/>
  <c r="G66" i="1" s="1"/>
  <c r="F13" i="1"/>
  <c r="F66" i="1" s="1"/>
  <c r="E13" i="1"/>
  <c r="E66" i="1" s="1"/>
  <c r="J13" i="1"/>
  <c r="K13" i="1"/>
  <c r="L13" i="1"/>
  <c r="M13" i="1"/>
  <c r="N13" i="1"/>
  <c r="L12" i="1"/>
  <c r="M12" i="1"/>
  <c r="N12" i="1"/>
  <c r="U11" i="1"/>
  <c r="T11" i="1"/>
  <c r="S11" i="1"/>
  <c r="R11" i="1"/>
  <c r="Q11" i="1"/>
  <c r="U10" i="1"/>
  <c r="T10" i="1"/>
  <c r="S10" i="1"/>
  <c r="R10" i="1"/>
  <c r="Q10" i="1"/>
  <c r="N11" i="1"/>
  <c r="M11" i="1"/>
  <c r="L11" i="1"/>
  <c r="K11" i="1"/>
  <c r="N10" i="1"/>
  <c r="M10" i="1"/>
  <c r="L10" i="1"/>
  <c r="K10" i="1"/>
  <c r="D10" i="1"/>
  <c r="D51" i="1" s="1"/>
  <c r="E10" i="1"/>
  <c r="E51" i="1" s="1"/>
  <c r="F10" i="1"/>
  <c r="U51" i="1" s="1"/>
  <c r="G10" i="1"/>
  <c r="V51" i="1" s="1"/>
  <c r="N8" i="1"/>
  <c r="M8" i="1"/>
  <c r="L8" i="1"/>
  <c r="K8" i="1"/>
  <c r="Q4" i="1"/>
  <c r="U7" i="1"/>
  <c r="T7" i="1"/>
  <c r="S7" i="1"/>
  <c r="R7" i="1"/>
  <c r="Q7" i="1"/>
  <c r="U6" i="1"/>
  <c r="T6" i="1"/>
  <c r="S6" i="1"/>
  <c r="R6" i="1"/>
  <c r="Q6" i="1"/>
  <c r="U5" i="1"/>
  <c r="T5" i="1"/>
  <c r="S5" i="1"/>
  <c r="R5" i="1"/>
  <c r="Q5" i="1"/>
  <c r="U4" i="1"/>
  <c r="T4" i="1"/>
  <c r="S4" i="1"/>
  <c r="R4" i="1"/>
  <c r="J4" i="1"/>
  <c r="N7" i="1"/>
  <c r="M7" i="1"/>
  <c r="L7" i="1"/>
  <c r="K7" i="1"/>
  <c r="N6" i="1"/>
  <c r="M6" i="1"/>
  <c r="L6" i="1"/>
  <c r="K6" i="1"/>
  <c r="N5" i="1"/>
  <c r="M5" i="1"/>
  <c r="L5" i="1"/>
  <c r="K5" i="1"/>
  <c r="J5" i="1"/>
  <c r="N4" i="1"/>
  <c r="M4" i="1"/>
  <c r="L4" i="1"/>
  <c r="K4" i="1"/>
  <c r="E6" i="1"/>
  <c r="E71" i="1" s="1"/>
  <c r="F6" i="1"/>
  <c r="F71" i="1" s="1"/>
  <c r="G6" i="1"/>
  <c r="G71" i="1" s="1"/>
  <c r="C6" i="1"/>
  <c r="C71" i="1" s="1"/>
  <c r="D7" i="1"/>
  <c r="E7" i="1"/>
  <c r="F7" i="1"/>
  <c r="G7" i="1"/>
  <c r="C7" i="1"/>
  <c r="E5" i="1"/>
  <c r="E40" i="1" s="1"/>
  <c r="F5" i="1"/>
  <c r="F40" i="1" s="1"/>
  <c r="G5" i="1"/>
  <c r="G40" i="1" s="1"/>
  <c r="C5" i="1"/>
  <c r="C40" i="1" s="1"/>
  <c r="E4" i="1"/>
  <c r="F4" i="1"/>
  <c r="G4" i="1"/>
  <c r="R51" i="1" l="1"/>
  <c r="C61" i="1"/>
  <c r="J66" i="1"/>
  <c r="T51" i="1"/>
  <c r="S52" i="1"/>
  <c r="S51" i="1"/>
  <c r="D9" i="1"/>
  <c r="E56" i="1"/>
  <c r="V52" i="1"/>
  <c r="C56" i="1"/>
  <c r="L66" i="1"/>
  <c r="U52" i="1"/>
  <c r="M66" i="1"/>
  <c r="G51" i="1"/>
  <c r="F51" i="1"/>
  <c r="G9" i="1"/>
</calcChain>
</file>

<file path=xl/sharedStrings.xml><?xml version="1.0" encoding="utf-8"?>
<sst xmlns="http://schemas.openxmlformats.org/spreadsheetml/2006/main" count="265" uniqueCount="69">
  <si>
    <t>Ørsted</t>
  </si>
  <si>
    <t xml:space="preserve">Current Liabilities </t>
  </si>
  <si>
    <t xml:space="preserve">Long Term Liabilities </t>
  </si>
  <si>
    <t xml:space="preserve">Turnover </t>
  </si>
  <si>
    <t xml:space="preserve">Gross Profit </t>
  </si>
  <si>
    <t xml:space="preserve">Operating Profit </t>
  </si>
  <si>
    <t xml:space="preserve">Profit (Loss) before Tax </t>
  </si>
  <si>
    <t>Formula</t>
  </si>
  <si>
    <t>Current (Working Capital) Ratio</t>
  </si>
  <si>
    <t xml:space="preserve">Acid Test (Quick) Ratio </t>
  </si>
  <si>
    <t>Gross Profit/Turnover</t>
  </si>
  <si>
    <t>Operating Profit/Turnover</t>
  </si>
  <si>
    <t>Profit (Loss) before Tax/Turnover</t>
  </si>
  <si>
    <t>Return on Shareholders Funds (%)</t>
  </si>
  <si>
    <t>Profit after tax/Turnover</t>
  </si>
  <si>
    <t>Current Assets (Cash, debtors &amp; stock) / Current Liabilities</t>
  </si>
  <si>
    <t>Return on Capital Employed (ROI)  %</t>
  </si>
  <si>
    <t>PBT/capital used</t>
  </si>
  <si>
    <t>Return on Shareholders Capital</t>
  </si>
  <si>
    <t>debtors/sales</t>
  </si>
  <si>
    <t>creditors/purchases</t>
  </si>
  <si>
    <t>Gross profit Margin %</t>
  </si>
  <si>
    <t>Operating profit Margin %</t>
  </si>
  <si>
    <t>Net Profit margin %</t>
  </si>
  <si>
    <t>Profit Margin %</t>
  </si>
  <si>
    <t>Debt Collection Period (days)</t>
  </si>
  <si>
    <t>Credit payment Period  (days)</t>
  </si>
  <si>
    <t xml:space="preserve">Current Assets </t>
  </si>
  <si>
    <t xml:space="preserve">Stock &amp; W.I.P. </t>
  </si>
  <si>
    <t xml:space="preserve">Acid Test (Quick liquididty) Ratio </t>
  </si>
  <si>
    <t>N/A</t>
  </si>
  <si>
    <t>Total liabilities</t>
  </si>
  <si>
    <t>Total Assets</t>
  </si>
  <si>
    <t>Total Assets minus Current Liabilities</t>
  </si>
  <si>
    <t>Shareholders Funds (Net Assets)</t>
  </si>
  <si>
    <t xml:space="preserve">((Non current liabilities + Loans) / Shareholders funds) </t>
  </si>
  <si>
    <t>Debt to equity Ratio</t>
  </si>
  <si>
    <t>Net liabilities / Net Assets</t>
  </si>
  <si>
    <t xml:space="preserve"> Retained Profit(Loss) (after tax and diviends ect...)</t>
  </si>
  <si>
    <t>Long Term Gearing Ratio</t>
  </si>
  <si>
    <t xml:space="preserve">Long Term Gearing Ratio </t>
  </si>
  <si>
    <t xml:space="preserve">Long Term Gearing Ratio - ((Non current liabilities + Loans) / Shareholders funds) </t>
  </si>
  <si>
    <t>Return on Assets (ROA)</t>
  </si>
  <si>
    <t>Turnover/fixed assets</t>
  </si>
  <si>
    <t>Operating profit</t>
  </si>
  <si>
    <t>Turnover</t>
  </si>
  <si>
    <t>Profit per Employee</t>
  </si>
  <si>
    <t>Profit Per Employee</t>
  </si>
  <si>
    <t>Ørsted Current Ratio</t>
  </si>
  <si>
    <t>Ørsted Quick Ratio</t>
  </si>
  <si>
    <t>EDF Energy Current Ratio</t>
  </si>
  <si>
    <t xml:space="preserve">EDF Energy </t>
  </si>
  <si>
    <t xml:space="preserve">Centrica </t>
  </si>
  <si>
    <t>EDF Energy</t>
  </si>
  <si>
    <t>Centrica</t>
  </si>
  <si>
    <t>EDF Energy Quick Ratio</t>
  </si>
  <si>
    <t>Centrica Quick Ratio</t>
  </si>
  <si>
    <t>Centrica Current Ratio</t>
  </si>
  <si>
    <t>Liquidity Ratios Ratio</t>
  </si>
  <si>
    <t>2022</t>
  </si>
  <si>
    <t>2021</t>
  </si>
  <si>
    <t>2020</t>
  </si>
  <si>
    <t>2019</t>
  </si>
  <si>
    <t>2018</t>
  </si>
  <si>
    <t>Osrted Electricity Generation method and capacity UK</t>
  </si>
  <si>
    <t>Profit margin %</t>
  </si>
  <si>
    <t>(Current Assets - Stock) / Current Liabilities</t>
  </si>
  <si>
    <t>PBT/N. of Employees</t>
  </si>
  <si>
    <t xml:space="preserve"> Ørsted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</si>
</sst>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rgb="FF333333"/>
      <name val="ArialMT"/>
    </font>
    <font>
      <b/>
      <sz val="10"/>
      <color rgb="FF333333"/>
      <name val="Arial"/>
      <family val="2"/>
    </font>
    <font>
      <sz val="10"/>
      <color rgb="FF545454"/>
      <name val="ArialMT"/>
    </font>
    <font>
      <b/>
      <sz val="11"/>
      <color theme="1"/>
      <name val="Calibri"/>
      <family val="2"/>
    </font>
    <font>
      <sz val="12"/>
      <color theme="1"/>
      <name val="Arial"/>
      <family val="2"/>
    </font>
    <font>
      <sz val="12"/>
      <color rgb="FF333333"/>
      <name val="Arial"/>
      <family val="2"/>
    </font>
    <font>
      <b/>
      <sz val="12"/>
      <color theme="1"/>
      <name val="Aptos Narrow"/>
      <scheme val="minor"/>
    </font>
    <font>
      <sz val="12"/>
      <color rgb="FF333333"/>
      <name val="ArialMT"/>
    </font>
    <font>
      <sz val="12"/>
      <color theme="1"/>
      <name val="ArialMT"/>
    </font>
    <font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3" fontId="0" fillId="0" borderId="0" xfId="0" applyNumberFormat="1"/>
    <xf numFmtId="3" fontId="5" fillId="0" borderId="0" xfId="0" applyNumberFormat="1" applyFont="1"/>
    <xf numFmtId="0" fontId="6" fillId="0" borderId="0" xfId="0" applyFont="1"/>
    <xf numFmtId="3" fontId="4" fillId="0" borderId="0" xfId="0" applyNumberFormat="1" applyFont="1"/>
    <xf numFmtId="0" fontId="2" fillId="0" borderId="0" xfId="0" applyFont="1"/>
    <xf numFmtId="0" fontId="7" fillId="0" borderId="0" xfId="0" applyFont="1"/>
    <xf numFmtId="2" fontId="0" fillId="0" borderId="0" xfId="0" applyNumberFormat="1"/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0" fontId="10" fillId="0" borderId="0" xfId="0" applyFont="1"/>
    <xf numFmtId="2" fontId="11" fillId="0" borderId="0" xfId="0" applyNumberFormat="1" applyFont="1"/>
    <xf numFmtId="2" fontId="9" fillId="0" borderId="0" xfId="0" applyNumberFormat="1" applyFont="1"/>
    <xf numFmtId="0" fontId="12" fillId="0" borderId="0" xfId="0" applyFont="1"/>
    <xf numFmtId="3" fontId="12" fillId="0" borderId="0" xfId="0" applyNumberFormat="1" applyFont="1"/>
    <xf numFmtId="2" fontId="8" fillId="0" borderId="0" xfId="1" applyNumberFormat="1" applyFont="1"/>
    <xf numFmtId="2" fontId="9" fillId="0" borderId="0" xfId="1" applyNumberFormat="1" applyFont="1"/>
    <xf numFmtId="2" fontId="3" fillId="0" borderId="0" xfId="0" applyNumberFormat="1" applyFont="1"/>
    <xf numFmtId="1" fontId="0" fillId="0" borderId="0" xfId="0" applyNumberFormat="1"/>
    <xf numFmtId="1" fontId="0" fillId="0" borderId="0" xfId="2" applyNumberFormat="1" applyFont="1"/>
    <xf numFmtId="0" fontId="13" fillId="0" borderId="0" xfId="0" applyFont="1"/>
    <xf numFmtId="3" fontId="0" fillId="0" borderId="0" xfId="2" applyNumberFormat="1" applyFont="1"/>
    <xf numFmtId="3" fontId="12" fillId="0" borderId="0" xfId="2" applyNumberFormat="1" applyFont="1"/>
    <xf numFmtId="2" fontId="0" fillId="0" borderId="1" xfId="0" applyNumberFormat="1" applyBorder="1"/>
  </cellXfs>
  <cellStyles count="3">
    <cellStyle name="Comma" xfId="2" builtinId="3"/>
    <cellStyle name="Normal" xfId="0" builtinId="0"/>
    <cellStyle name="Percent" xfId="1" builtinId="5"/>
  </cellStyles>
  <dxfs count="3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400" b="0" i="0" u="none" strike="noStrike" baseline="0">
                <a:effectLst/>
              </a:rPr>
              <a:t>Return on Capital Employed %</a:t>
            </a:r>
            <a:r>
              <a:rPr lang="en-HK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Ørsted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Sheet1!$C$60:$G$60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Sheet1!$C$61:$G$61</c:f>
              <c:numCache>
                <c:formatCode>0.00</c:formatCode>
                <c:ptCount val="5"/>
                <c:pt idx="0">
                  <c:v>7.3593441378458868</c:v>
                </c:pt>
                <c:pt idx="1">
                  <c:v>7.2386979262954174</c:v>
                </c:pt>
                <c:pt idx="2">
                  <c:v>10.681313005913509</c:v>
                </c:pt>
                <c:pt idx="3">
                  <c:v>6.3429920344696242</c:v>
                </c:pt>
                <c:pt idx="4">
                  <c:v>15.661095244620817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A-244A-9256-32887169445F}"/>
            </c:ext>
          </c:extLst>
        </c:ser>
        <c:ser>
          <c:idx val="1"/>
          <c:order val="1"/>
          <c:tx>
            <c:strRef>
              <c:f>Sheet1!$B$62</c:f>
              <c:strCache>
                <c:ptCount val="1"/>
                <c:pt idx="0">
                  <c:v>EDF Energy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Sheet1!$C$60:$G$60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Sheet1!$C$62:$G$62</c:f>
              <c:numCache>
                <c:formatCode>0.00</c:formatCode>
                <c:ptCount val="5"/>
                <c:pt idx="0">
                  <c:v>-0.17773469058006139</c:v>
                </c:pt>
                <c:pt idx="1">
                  <c:v>-4.0080249665626395</c:v>
                </c:pt>
                <c:pt idx="2">
                  <c:v>-2.2032171708796287</c:v>
                </c:pt>
                <c:pt idx="3">
                  <c:v>-0.99698826461730194</c:v>
                </c:pt>
                <c:pt idx="4">
                  <c:v>-1.4126554228733226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A-244A-9256-32887169445F}"/>
            </c:ext>
          </c:extLst>
        </c:ser>
        <c:ser>
          <c:idx val="2"/>
          <c:order val="2"/>
          <c:tx>
            <c:strRef>
              <c:f>Sheet1!$B$63</c:f>
              <c:strCache>
                <c:ptCount val="1"/>
                <c:pt idx="0">
                  <c:v>Centrica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Sheet1!$C$60:$G$60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Sheet1!$C$63:$G$63</c:f>
              <c:numCache>
                <c:formatCode>0.00</c:formatCode>
                <c:ptCount val="5"/>
                <c:pt idx="0">
                  <c:v>-5.2272417087484646</c:v>
                </c:pt>
                <c:pt idx="1">
                  <c:v>8.4193194291986817</c:v>
                </c:pt>
                <c:pt idx="2">
                  <c:v>-6.1032367251956838</c:v>
                </c:pt>
                <c:pt idx="3">
                  <c:v>-11.910669975186105</c:v>
                </c:pt>
                <c:pt idx="4">
                  <c:v>4.7227926078028748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6A-244A-9256-32887169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20879"/>
        <c:axId val="105604223"/>
      </c:lineChart>
      <c:catAx>
        <c:axId val="1055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4223"/>
        <c:crosses val="autoZero"/>
        <c:auto val="1"/>
        <c:lblAlgn val="ctr"/>
        <c:lblOffset val="100"/>
        <c:noMultiLvlLbl val="0"/>
      </c:catAx>
      <c:valAx>
        <c:axId val="105604223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margin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Sheet1!$AL$4</c:f>
              <c:strCache>
                <c:ptCount val="1"/>
                <c:pt idx="0">
                  <c:v>EDF Energy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Sheet1!$AM$3:$AQ$3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Sheet1!$AM$4:$AQ$4</c:f>
              <c:numCache>
                <c:formatCode>0.00</c:formatCode>
                <c:ptCount val="5"/>
                <c:pt idx="0">
                  <c:v>-1.7372262773722627</c:v>
                </c:pt>
                <c:pt idx="1">
                  <c:v>-23.26834862385321</c:v>
                </c:pt>
                <c:pt idx="2">
                  <c:v>-12.521674510775327</c:v>
                </c:pt>
                <c:pt idx="3">
                  <c:v>-2.7165932452276063</c:v>
                </c:pt>
                <c:pt idx="4">
                  <c:v>-4.6658911722890011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2-EB4C-A264-84202C1AE586}"/>
            </c:ext>
          </c:extLst>
        </c:ser>
        <c:ser>
          <c:idx val="1"/>
          <c:order val="1"/>
          <c:tx>
            <c:strRef>
              <c:f>Sheet1!$AL$5</c:f>
              <c:strCache>
                <c:ptCount val="1"/>
                <c:pt idx="0">
                  <c:v>Centrica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Sheet1!$AM$3:$AQ$3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Sheet1!$AM$5:$AQ$5</c:f>
              <c:numCache>
                <c:formatCode>0.00</c:formatCode>
                <c:ptCount val="5"/>
                <c:pt idx="0">
                  <c:v>5.0966682111115791</c:v>
                </c:pt>
                <c:pt idx="1">
                  <c:v>8.2067281606077049</c:v>
                </c:pt>
                <c:pt idx="2">
                  <c:v>0.33472120173075354</c:v>
                </c:pt>
                <c:pt idx="3">
                  <c:v>-6.9859751256946279</c:v>
                </c:pt>
                <c:pt idx="4">
                  <c:v>-1.6506097150171799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2-EB4C-A264-84202C1AE586}"/>
            </c:ext>
          </c:extLst>
        </c:ser>
        <c:ser>
          <c:idx val="2"/>
          <c:order val="2"/>
          <c:tx>
            <c:strRef>
              <c:f>Sheet1!$AL$6</c:f>
              <c:strCache>
                <c:ptCount val="1"/>
                <c:pt idx="0">
                  <c:v>Ørsted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Sheet1!$AM$3:$AQ$3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Sheet1!$AM$6:$AQ$6</c:f>
              <c:numCache>
                <c:formatCode>0.00</c:formatCode>
                <c:ptCount val="5"/>
                <c:pt idx="0">
                  <c:v>11.077130397745265</c:v>
                </c:pt>
                <c:pt idx="1">
                  <c:v>13.657919619579694</c:v>
                </c:pt>
                <c:pt idx="2">
                  <c:v>30.020875383854172</c:v>
                </c:pt>
                <c:pt idx="3">
                  <c:v>10.023693487367497</c:v>
                </c:pt>
                <c:pt idx="4">
                  <c:v>23.799351871122653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2-EB4C-A264-84202C1AE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659952"/>
        <c:axId val="472185520"/>
      </c:lineChart>
      <c:catAx>
        <c:axId val="4596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5520"/>
        <c:crosses val="autoZero"/>
        <c:auto val="1"/>
        <c:lblAlgn val="ctr"/>
        <c:lblOffset val="100"/>
        <c:noMultiLvlLbl val="0"/>
      </c:catAx>
      <c:valAx>
        <c:axId val="4721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b="1">
                <a:effectLst/>
              </a:rPr>
              <a:t>Profit Margins</a:t>
            </a:r>
            <a:endParaRPr lang="en-H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Sheet1!$W$14</c:f>
              <c:strCache>
                <c:ptCount val="1"/>
                <c:pt idx="0">
                  <c:v>Gross profit Margin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Sheet1!$X$13:$AB$13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Sheet1!$X$14:$AB$14</c:f>
              <c:numCache>
                <c:formatCode>0.00</c:formatCode>
                <c:ptCount val="5"/>
                <c:pt idx="0">
                  <c:v>0.2822837028254232</c:v>
                </c:pt>
                <c:pt idx="1">
                  <c:v>0.33372639775148288</c:v>
                </c:pt>
                <c:pt idx="2">
                  <c:v>0.50179694801573904</c:v>
                </c:pt>
                <c:pt idx="3">
                  <c:v>0.40653099455970926</c:v>
                </c:pt>
                <c:pt idx="4">
                  <c:v>0.29656730106068135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E-3D45-A743-4E11EE0F8907}"/>
            </c:ext>
          </c:extLst>
        </c:ser>
        <c:ser>
          <c:idx val="1"/>
          <c:order val="1"/>
          <c:tx>
            <c:strRef>
              <c:f>Sheet1!$W$15</c:f>
              <c:strCache>
                <c:ptCount val="1"/>
                <c:pt idx="0">
                  <c:v>Operating profit Margin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Sheet1!$X$13:$AB$13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Sheet1!$X$15:$AB$15</c:f>
              <c:numCache>
                <c:formatCode>0.00</c:formatCode>
                <c:ptCount val="5"/>
                <c:pt idx="0">
                  <c:v>6.5660570710659533E-2</c:v>
                </c:pt>
                <c:pt idx="1">
                  <c:v>0.10381124680999143</c:v>
                </c:pt>
                <c:pt idx="2">
                  <c:v>0.15853840897845706</c:v>
                </c:pt>
                <c:pt idx="3">
                  <c:v>0.16184764783004282</c:v>
                </c:pt>
                <c:pt idx="4">
                  <c:v>0.10683402289673104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E-3D45-A743-4E11EE0F8907}"/>
            </c:ext>
          </c:extLst>
        </c:ser>
        <c:ser>
          <c:idx val="2"/>
          <c:order val="2"/>
          <c:tx>
            <c:strRef>
              <c:f>Sheet1!$W$16</c:f>
              <c:strCache>
                <c:ptCount val="1"/>
                <c:pt idx="0">
                  <c:v>Net Profit margin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Sheet1!$X$13:$AB$13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Sheet1!$X$16:$AB$16</c:f>
              <c:numCache>
                <c:formatCode>0.00</c:formatCode>
                <c:ptCount val="5"/>
                <c:pt idx="0">
                  <c:v>0.13007281323947595</c:v>
                </c:pt>
                <c:pt idx="1">
                  <c:v>0.16656215296095936</c:v>
                </c:pt>
                <c:pt idx="2">
                  <c:v>0.33421568088465131</c:v>
                </c:pt>
                <c:pt idx="3">
                  <c:v>0.14317186898689618</c:v>
                </c:pt>
                <c:pt idx="4">
                  <c:v>0.28478222841698181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E-3D45-A743-4E11EE0F8907}"/>
            </c:ext>
          </c:extLst>
        </c:ser>
        <c:ser>
          <c:idx val="3"/>
          <c:order val="3"/>
          <c:tx>
            <c:strRef>
              <c:f>Sheet1!$W$17</c:f>
              <c:strCache>
                <c:ptCount val="1"/>
                <c:pt idx="0">
                  <c:v>Profit Margin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Sheet1!$X$13:$AB$13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Sheet1!$X$17:$AB$17</c:f>
              <c:numCache>
                <c:formatCode>0.00</c:formatCode>
                <c:ptCount val="5"/>
                <c:pt idx="0">
                  <c:v>0.11077130397745265</c:v>
                </c:pt>
                <c:pt idx="1">
                  <c:v>0.13657919619579695</c:v>
                </c:pt>
                <c:pt idx="2">
                  <c:v>0.30020875383854173</c:v>
                </c:pt>
                <c:pt idx="3">
                  <c:v>0.10023693487367497</c:v>
                </c:pt>
                <c:pt idx="4">
                  <c:v>0.23799351871122654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E-3D45-A743-4E11EE0F8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809936"/>
        <c:axId val="966838800"/>
      </c:lineChart>
      <c:catAx>
        <c:axId val="9668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38800"/>
        <c:crosses val="autoZero"/>
        <c:auto val="1"/>
        <c:lblAlgn val="ctr"/>
        <c:lblOffset val="100"/>
        <c:noMultiLvlLbl val="0"/>
      </c:catAx>
      <c:valAx>
        <c:axId val="9668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400" b="0" i="0" u="none" strike="noStrike" baseline="0">
                <a:effectLst/>
              </a:rPr>
              <a:t>Return on Assets (ROA)</a:t>
            </a:r>
            <a:r>
              <a:rPr lang="en-HK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Sheet1!$B$86</c:f>
              <c:strCache>
                <c:ptCount val="1"/>
                <c:pt idx="0">
                  <c:v>Ørsted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Sheet1!$C$85:$G$85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Sheet1!$C$86:$G$86</c:f>
              <c:numCache>
                <c:formatCode>0.00</c:formatCode>
                <c:ptCount val="5"/>
                <c:pt idx="0">
                  <c:v>0.67213796643654544</c:v>
                </c:pt>
                <c:pt idx="1">
                  <c:v>0.43426529600987979</c:v>
                </c:pt>
                <c:pt idx="2">
                  <c:v>0.38858437753285435</c:v>
                </c:pt>
                <c:pt idx="3">
                  <c:v>0.54306266199147879</c:v>
                </c:pt>
                <c:pt idx="4">
                  <c:v>0.71076716426508735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9-9A49-A283-67B488269CA8}"/>
            </c:ext>
          </c:extLst>
        </c:ser>
        <c:ser>
          <c:idx val="1"/>
          <c:order val="1"/>
          <c:tx>
            <c:strRef>
              <c:f>Sheet1!$B$87</c:f>
              <c:strCache>
                <c:ptCount val="1"/>
                <c:pt idx="0">
                  <c:v>EDF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Sheet1!$C$85:$G$85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Sheet1!$C$87:$G$87</c:f>
              <c:numCache>
                <c:formatCode>General</c:formatCode>
                <c:ptCount val="5"/>
                <c:pt idx="0">
                  <c:v>0.3</c:v>
                </c:pt>
                <c:pt idx="1">
                  <c:v>0.2</c:v>
                </c:pt>
                <c:pt idx="2">
                  <c:v>0.21</c:v>
                </c:pt>
                <c:pt idx="3">
                  <c:v>0.23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9-9A49-A283-67B488269CA8}"/>
            </c:ext>
          </c:extLst>
        </c:ser>
        <c:ser>
          <c:idx val="2"/>
          <c:order val="2"/>
          <c:tx>
            <c:strRef>
              <c:f>Sheet1!$B$88</c:f>
              <c:strCache>
                <c:ptCount val="1"/>
                <c:pt idx="0">
                  <c:v>Centrica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Sheet1!$C$85:$G$85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Sheet1!$C$88:$G$88</c:f>
              <c:numCache>
                <c:formatCode>General</c:formatCode>
                <c:ptCount val="5"/>
                <c:pt idx="0">
                  <c:v>2.84</c:v>
                </c:pt>
                <c:pt idx="1">
                  <c:v>2.0499999999999998</c:v>
                </c:pt>
                <c:pt idx="2">
                  <c:v>1.83</c:v>
                </c:pt>
                <c:pt idx="3">
                  <c:v>2.2999999999999998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9-9A49-A283-67B488269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34607"/>
        <c:axId val="1154024432"/>
      </c:lineChart>
      <c:catAx>
        <c:axId val="10553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24432"/>
        <c:crosses val="autoZero"/>
        <c:auto val="1"/>
        <c:lblAlgn val="ctr"/>
        <c:lblOffset val="100"/>
        <c:noMultiLvlLbl val="0"/>
      </c:catAx>
      <c:valAx>
        <c:axId val="11540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Term Gearing Ratio - ((Non current liabilities + Loans) / Shareholders funds)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Ørsted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Sheet1!$C$44:$G$44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Sheet1!$C$45:$G$45</c:f>
              <c:numCache>
                <c:formatCode>0.00</c:formatCode>
                <c:ptCount val="5"/>
                <c:pt idx="0">
                  <c:v>2.1966000000000001</c:v>
                </c:pt>
                <c:pt idx="1">
                  <c:v>2.0215999999999998</c:v>
                </c:pt>
                <c:pt idx="2">
                  <c:v>0.87829999999999997</c:v>
                </c:pt>
                <c:pt idx="3">
                  <c:v>0.95400000000000007</c:v>
                </c:pt>
                <c:pt idx="4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F-BD43-B355-697A03715F24}"/>
            </c:ext>
          </c:extLst>
        </c:ser>
        <c:ser>
          <c:idx val="1"/>
          <c:order val="1"/>
          <c:tx>
            <c:strRef>
              <c:f>Sheet1!$B$46</c:f>
              <c:strCache>
                <c:ptCount val="1"/>
                <c:pt idx="0">
                  <c:v>EDF Energy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Sheet1!$C$44:$G$44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Sheet1!$C$46:$G$46</c:f>
              <c:numCache>
                <c:formatCode>0.00</c:formatCode>
                <c:ptCount val="5"/>
                <c:pt idx="0">
                  <c:v>0.70019999999999993</c:v>
                </c:pt>
                <c:pt idx="1">
                  <c:v>0.66349999999999998</c:v>
                </c:pt>
                <c:pt idx="2">
                  <c:v>0.60089999999999999</c:v>
                </c:pt>
                <c:pt idx="3">
                  <c:v>0.6472</c:v>
                </c:pt>
                <c:pt idx="4">
                  <c:v>0.59060000000000001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F-BD43-B355-697A03715F24}"/>
            </c:ext>
          </c:extLst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Centrica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Sheet1!$C$44:$G$44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Sheet1!$C$47:$G$47</c:f>
              <c:numCache>
                <c:formatCode>0.00</c:formatCode>
                <c:ptCount val="5"/>
                <c:pt idx="0">
                  <c:v>5.5125000000000002</c:v>
                </c:pt>
                <c:pt idx="1">
                  <c:v>2.7505000000000002</c:v>
                </c:pt>
                <c:pt idx="2">
                  <c:v>6.4102999999999994</c:v>
                </c:pt>
                <c:pt idx="3">
                  <c:v>4.5949999999999998</c:v>
                </c:pt>
                <c:pt idx="4">
                  <c:v>2.1341999999999999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F-BD43-B355-697A03715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47631"/>
        <c:axId val="2049575744"/>
      </c:lineChart>
      <c:catAx>
        <c:axId val="10494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75744"/>
        <c:crosses val="autoZero"/>
        <c:auto val="1"/>
        <c:lblAlgn val="ctr"/>
        <c:lblOffset val="100"/>
        <c:noMultiLvlLbl val="0"/>
      </c:catAx>
      <c:valAx>
        <c:axId val="2049575744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(Working Capital)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Ørsted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Sheet1!$C$50:$G$50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Sheet1!$C$51:$G$51</c:f>
              <c:numCache>
                <c:formatCode>0.00</c:formatCode>
                <c:ptCount val="5"/>
                <c:pt idx="0">
                  <c:v>1.5056899456685431</c:v>
                </c:pt>
                <c:pt idx="1">
                  <c:v>0.99840169086309405</c:v>
                </c:pt>
                <c:pt idx="2">
                  <c:v>1.8266056964961628</c:v>
                </c:pt>
                <c:pt idx="3">
                  <c:v>2.0023046362188635</c:v>
                </c:pt>
                <c:pt idx="4">
                  <c:v>1.9044535828662645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0-D04E-8151-53E6C8946ABD}"/>
            </c:ext>
          </c:extLst>
        </c:ser>
        <c:ser>
          <c:idx val="1"/>
          <c:order val="1"/>
          <c:tx>
            <c:strRef>
              <c:f>Sheet1!$B$52</c:f>
              <c:strCache>
                <c:ptCount val="1"/>
                <c:pt idx="0">
                  <c:v>EDF Energy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Sheet1!$C$50:$G$50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Sheet1!$C$52:$G$52</c:f>
              <c:numCache>
                <c:formatCode>0.00</c:formatCode>
                <c:ptCount val="5"/>
                <c:pt idx="0">
                  <c:v>0.81654000163438756</c:v>
                </c:pt>
                <c:pt idx="1">
                  <c:v>1.1922284772758478</c:v>
                </c:pt>
                <c:pt idx="2">
                  <c:v>1.6754890678941312</c:v>
                </c:pt>
                <c:pt idx="3">
                  <c:v>1.677574047954866</c:v>
                </c:pt>
                <c:pt idx="4">
                  <c:v>1.5709171027265216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0-D04E-8151-53E6C8946ABD}"/>
            </c:ext>
          </c:extLst>
        </c:ser>
        <c:ser>
          <c:idx val="2"/>
          <c:order val="2"/>
          <c:tx>
            <c:strRef>
              <c:f>Sheet1!$B$53</c:f>
              <c:strCache>
                <c:ptCount val="1"/>
                <c:pt idx="0">
                  <c:v>Centrica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Sheet1!$C$50:$G$50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Sheet1!$C$53:$G$53</c:f>
              <c:numCache>
                <c:formatCode>0.00</c:formatCode>
                <c:ptCount val="5"/>
                <c:pt idx="0">
                  <c:v>0.95288102805029706</c:v>
                </c:pt>
                <c:pt idx="1">
                  <c:v>1.1061971517578995</c:v>
                </c:pt>
                <c:pt idx="2">
                  <c:v>1.358382257012394</c:v>
                </c:pt>
                <c:pt idx="3">
                  <c:v>0.93359594822734948</c:v>
                </c:pt>
                <c:pt idx="4">
                  <c:v>1.0338821283703175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0-D04E-8151-53E6C8946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19983"/>
        <c:axId val="105462031"/>
      </c:lineChart>
      <c:catAx>
        <c:axId val="10541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2031"/>
        <c:crosses val="autoZero"/>
        <c:auto val="1"/>
        <c:lblAlgn val="ctr"/>
        <c:lblOffset val="100"/>
        <c:noMultiLvlLbl val="0"/>
      </c:catAx>
      <c:valAx>
        <c:axId val="1054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 Test (Quick liquididty) Ratio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Ørsted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Sheet1!$C$55:$G$55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Sheet1!$C$56:$G$56</c:f>
              <c:numCache>
                <c:formatCode>0.00</c:formatCode>
                <c:ptCount val="5"/>
                <c:pt idx="0">
                  <c:v>1.3173184553431028</c:v>
                </c:pt>
                <c:pt idx="1">
                  <c:v>0.81444897811086747</c:v>
                </c:pt>
                <c:pt idx="2">
                  <c:v>1.4028521044875712</c:v>
                </c:pt>
                <c:pt idx="3">
                  <c:v>1.5336673792889362</c:v>
                </c:pt>
                <c:pt idx="4">
                  <c:v>1.5053525154903831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0-F340-B1B4-3735218BFB6D}"/>
            </c:ext>
          </c:extLst>
        </c:ser>
        <c:ser>
          <c:idx val="1"/>
          <c:order val="1"/>
          <c:tx>
            <c:strRef>
              <c:f>Sheet1!$B$57</c:f>
              <c:strCache>
                <c:ptCount val="1"/>
                <c:pt idx="0">
                  <c:v>EDF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Sheet1!$C$55:$G$55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Sheet1!$C$57:$G$57</c:f>
              <c:numCache>
                <c:formatCode>0.00</c:formatCode>
                <c:ptCount val="5"/>
                <c:pt idx="0">
                  <c:v>0.67851597613794234</c:v>
                </c:pt>
                <c:pt idx="1">
                  <c:v>0.90470959769325832</c:v>
                </c:pt>
                <c:pt idx="2">
                  <c:v>1.1205983889528193</c:v>
                </c:pt>
                <c:pt idx="3">
                  <c:v>1.0016925246826516</c:v>
                </c:pt>
                <c:pt idx="4">
                  <c:v>0.91214541448636743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0-F340-B1B4-3735218BFB6D}"/>
            </c:ext>
          </c:extLst>
        </c:ser>
        <c:ser>
          <c:idx val="2"/>
          <c:order val="2"/>
          <c:tx>
            <c:strRef>
              <c:f>Sheet1!$B$58</c:f>
              <c:strCache>
                <c:ptCount val="1"/>
                <c:pt idx="0">
                  <c:v>Centrica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Sheet1!$C$55:$G$55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Sheet1!$C$58:$G$58</c:f>
              <c:numCache>
                <c:formatCode>0.00</c:formatCode>
                <c:ptCount val="5"/>
                <c:pt idx="0">
                  <c:v>0.89443139422412599</c:v>
                </c:pt>
                <c:pt idx="1">
                  <c:v>1.0703716065865598</c:v>
                </c:pt>
                <c:pt idx="2">
                  <c:v>1.3161121983039792</c:v>
                </c:pt>
                <c:pt idx="3">
                  <c:v>0.88508722566122677</c:v>
                </c:pt>
                <c:pt idx="4">
                  <c:v>0.97912192794082553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0-F340-B1B4-3735218BF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725648"/>
        <c:axId val="1210727360"/>
      </c:lineChart>
      <c:catAx>
        <c:axId val="12107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27360"/>
        <c:crosses val="autoZero"/>
        <c:auto val="1"/>
        <c:lblAlgn val="ctr"/>
        <c:lblOffset val="100"/>
        <c:noMultiLvlLbl val="0"/>
      </c:catAx>
      <c:valAx>
        <c:axId val="12107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Sheet1!$Q$51</c:f>
              <c:strCache>
                <c:ptCount val="1"/>
                <c:pt idx="0">
                  <c:v>Ørsted Current Ratio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Sheet1!$R$50:$V$50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Sheet1!$R$51:$V$51</c:f>
              <c:numCache>
                <c:formatCode>0.00</c:formatCode>
                <c:ptCount val="5"/>
                <c:pt idx="0">
                  <c:v>1.5056899456685431</c:v>
                </c:pt>
                <c:pt idx="1">
                  <c:v>0.99840169086309405</c:v>
                </c:pt>
                <c:pt idx="2">
                  <c:v>1.8266056964961628</c:v>
                </c:pt>
                <c:pt idx="3">
                  <c:v>2.0023046362188635</c:v>
                </c:pt>
                <c:pt idx="4">
                  <c:v>1.9044535828662645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5-0240-93B3-D656EF18E47A}"/>
            </c:ext>
          </c:extLst>
        </c:ser>
        <c:ser>
          <c:idx val="1"/>
          <c:order val="1"/>
          <c:tx>
            <c:strRef>
              <c:f>Sheet1!$Q$52</c:f>
              <c:strCache>
                <c:ptCount val="1"/>
                <c:pt idx="0">
                  <c:v>Ørsted Quick Ratio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Sheet1!$R$50:$V$50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Sheet1!$R$52:$V$52</c:f>
              <c:numCache>
                <c:formatCode>0.00</c:formatCode>
                <c:ptCount val="5"/>
                <c:pt idx="0">
                  <c:v>1.3173184553431028</c:v>
                </c:pt>
                <c:pt idx="1">
                  <c:v>0.81444897811086747</c:v>
                </c:pt>
                <c:pt idx="2">
                  <c:v>1.4028521044875712</c:v>
                </c:pt>
                <c:pt idx="3">
                  <c:v>1.5336673792889362</c:v>
                </c:pt>
                <c:pt idx="4">
                  <c:v>1.5053525154903831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5-0240-93B3-D656EF18E47A}"/>
            </c:ext>
          </c:extLst>
        </c:ser>
        <c:ser>
          <c:idx val="2"/>
          <c:order val="2"/>
          <c:tx>
            <c:strRef>
              <c:f>Sheet1!$Q$53</c:f>
              <c:strCache>
                <c:ptCount val="1"/>
                <c:pt idx="0">
                  <c:v>EDF Energy Current Ratio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Sheet1!$R$50:$V$50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Sheet1!$R$53:$V$53</c:f>
              <c:numCache>
                <c:formatCode>0.00</c:formatCode>
                <c:ptCount val="5"/>
                <c:pt idx="0">
                  <c:v>0.81654000163438756</c:v>
                </c:pt>
                <c:pt idx="1">
                  <c:v>1.1922284772758478</c:v>
                </c:pt>
                <c:pt idx="2">
                  <c:v>1.6754890678941312</c:v>
                </c:pt>
                <c:pt idx="3">
                  <c:v>1.677574047954866</c:v>
                </c:pt>
                <c:pt idx="4">
                  <c:v>1.5709171027265216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5-0240-93B3-D656EF18E47A}"/>
            </c:ext>
          </c:extLst>
        </c:ser>
        <c:ser>
          <c:idx val="3"/>
          <c:order val="3"/>
          <c:tx>
            <c:strRef>
              <c:f>Sheet1!$Q$54</c:f>
              <c:strCache>
                <c:ptCount val="1"/>
                <c:pt idx="0">
                  <c:v>EDF Energy Quick 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Sheet1!$R$50:$V$50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Sheet1!$R$54:$V$54</c:f>
              <c:numCache>
                <c:formatCode>0.00</c:formatCode>
                <c:ptCount val="5"/>
                <c:pt idx="0">
                  <c:v>0.67851597613794234</c:v>
                </c:pt>
                <c:pt idx="1">
                  <c:v>0.90470959769325832</c:v>
                </c:pt>
                <c:pt idx="2">
                  <c:v>1.1205983889528193</c:v>
                </c:pt>
                <c:pt idx="3">
                  <c:v>1.0016925246826516</c:v>
                </c:pt>
                <c:pt idx="4">
                  <c:v>0.91214541448636743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55-0240-93B3-D656EF18E47A}"/>
            </c:ext>
          </c:extLst>
        </c:ser>
        <c:ser>
          <c:idx val="4"/>
          <c:order val="4"/>
          <c:tx>
            <c:strRef>
              <c:f>Sheet1!$Q$55</c:f>
              <c:strCache>
                <c:ptCount val="1"/>
                <c:pt idx="0">
                  <c:v>Centrica Current Ratio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Sheet1!$R$50:$V$50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Sheet1!$R$55:$V$55</c:f>
              <c:numCache>
                <c:formatCode>0.00</c:formatCode>
                <c:ptCount val="5"/>
                <c:pt idx="0">
                  <c:v>0.95288102805029706</c:v>
                </c:pt>
                <c:pt idx="1">
                  <c:v>1.1061971517578995</c:v>
                </c:pt>
                <c:pt idx="2">
                  <c:v>1.358382257012394</c:v>
                </c:pt>
                <c:pt idx="3">
                  <c:v>0.93359594822734948</c:v>
                </c:pt>
                <c:pt idx="4">
                  <c:v>1.0338821283703175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55-0240-93B3-D656EF18E47A}"/>
            </c:ext>
          </c:extLst>
        </c:ser>
        <c:ser>
          <c:idx val="5"/>
          <c:order val="5"/>
          <c:tx>
            <c:strRef>
              <c:f>Sheet1!$Q$56</c:f>
              <c:strCache>
                <c:ptCount val="1"/>
                <c:pt idx="0">
                  <c:v>Centrica Quick Ratio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Sheet1!$R$50:$V$50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Sheet1!$R$56:$V$56</c:f>
              <c:numCache>
                <c:formatCode>0.00</c:formatCode>
                <c:ptCount val="5"/>
                <c:pt idx="0">
                  <c:v>0.89443139422412599</c:v>
                </c:pt>
                <c:pt idx="1">
                  <c:v>1.0703716065865598</c:v>
                </c:pt>
                <c:pt idx="2">
                  <c:v>1.3161121983039792</c:v>
                </c:pt>
                <c:pt idx="3">
                  <c:v>0.88508722566122677</c:v>
                </c:pt>
                <c:pt idx="4">
                  <c:v>0.97912192794082553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55-0240-93B3-D656EF18E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7935"/>
        <c:axId val="105385055"/>
      </c:lineChart>
      <c:catAx>
        <c:axId val="879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5055"/>
        <c:crosses val="autoZero"/>
        <c:auto val="1"/>
        <c:lblAlgn val="ctr"/>
        <c:lblOffset val="100"/>
        <c:noMultiLvlLbl val="0"/>
      </c:catAx>
      <c:valAx>
        <c:axId val="105385055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profit Margin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Sheet1!$AE$4</c:f>
              <c:strCache>
                <c:ptCount val="1"/>
                <c:pt idx="0">
                  <c:v>EDF Energy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Sheet1!$AF$3:$AJ$3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Sheet1!$AF$4:$AJ$4</c:f>
              <c:numCache>
                <c:formatCode>0.00</c:formatCode>
                <c:ptCount val="5"/>
                <c:pt idx="0">
                  <c:v>21.65693430656934</c:v>
                </c:pt>
                <c:pt idx="1">
                  <c:v>23.107798165137613</c:v>
                </c:pt>
                <c:pt idx="2">
                  <c:v>34.877384196185282</c:v>
                </c:pt>
                <c:pt idx="3">
                  <c:v>32.158590308370044</c:v>
                </c:pt>
                <c:pt idx="4">
                  <c:v>33.721080522166211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C-0844-A220-8DFF13603E12}"/>
            </c:ext>
          </c:extLst>
        </c:ser>
        <c:ser>
          <c:idx val="1"/>
          <c:order val="1"/>
          <c:tx>
            <c:strRef>
              <c:f>Sheet1!$AE$5</c:f>
              <c:strCache>
                <c:ptCount val="1"/>
                <c:pt idx="0">
                  <c:v>Centrica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Sheet1!$AF$3:$AJ$3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Sheet1!$AF$5:$AJ$5</c:f>
              <c:numCache>
                <c:formatCode>0.00</c:formatCode>
                <c:ptCount val="5"/>
                <c:pt idx="0">
                  <c:v>8.6137904890274211</c:v>
                </c:pt>
                <c:pt idx="1">
                  <c:v>11.048562126966901</c:v>
                </c:pt>
                <c:pt idx="2">
                  <c:v>25.463303126785856</c:v>
                </c:pt>
                <c:pt idx="3">
                  <c:v>14.139543089000616</c:v>
                </c:pt>
                <c:pt idx="4">
                  <c:v>13.652900357070674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C-0844-A220-8DFF13603E12}"/>
            </c:ext>
          </c:extLst>
        </c:ser>
        <c:ser>
          <c:idx val="2"/>
          <c:order val="2"/>
          <c:tx>
            <c:strRef>
              <c:f>Sheet1!$AE$6</c:f>
              <c:strCache>
                <c:ptCount val="1"/>
                <c:pt idx="0">
                  <c:v>Ørsted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Sheet1!$AF$3:$AJ$3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Sheet1!$AF$6:$AJ$6</c:f>
              <c:numCache>
                <c:formatCode>0.00</c:formatCode>
                <c:ptCount val="5"/>
                <c:pt idx="0">
                  <c:v>0.2822837028254232</c:v>
                </c:pt>
                <c:pt idx="1">
                  <c:v>0.33372639775148288</c:v>
                </c:pt>
                <c:pt idx="2">
                  <c:v>0.50179694801573904</c:v>
                </c:pt>
                <c:pt idx="3">
                  <c:v>0.40653099455970926</c:v>
                </c:pt>
                <c:pt idx="4">
                  <c:v>0.29656730106068135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C-0844-A220-8DFF13603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498288"/>
        <c:axId val="303888896"/>
      </c:lineChart>
      <c:catAx>
        <c:axId val="3034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88896"/>
        <c:crosses val="autoZero"/>
        <c:auto val="1"/>
        <c:lblAlgn val="ctr"/>
        <c:lblOffset val="100"/>
        <c:noMultiLvlLbl val="0"/>
      </c:catAx>
      <c:valAx>
        <c:axId val="3038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profit Margin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Sheet1!$AE$9</c:f>
              <c:strCache>
                <c:ptCount val="1"/>
                <c:pt idx="0">
                  <c:v>EDF Energy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Sheet1!$AF$8:$AJ$8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Sheet1!$AF$9:$AJ$9</c:f>
              <c:numCache>
                <c:formatCode>0.00</c:formatCode>
                <c:ptCount val="5"/>
                <c:pt idx="0">
                  <c:v>8.2116788321167888</c:v>
                </c:pt>
                <c:pt idx="1">
                  <c:v>-0.25229357798165142</c:v>
                </c:pt>
                <c:pt idx="2">
                  <c:v>8.6698043101312852</c:v>
                </c:pt>
                <c:pt idx="3">
                  <c:v>-3.4997552618697991</c:v>
                </c:pt>
                <c:pt idx="4">
                  <c:v>-4.1488949205118262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9-974E-80D7-E8FA57E42FC6}"/>
            </c:ext>
          </c:extLst>
        </c:ser>
        <c:ser>
          <c:idx val="1"/>
          <c:order val="1"/>
          <c:tx>
            <c:strRef>
              <c:f>Sheet1!$AE$10</c:f>
              <c:strCache>
                <c:ptCount val="1"/>
                <c:pt idx="0">
                  <c:v>Centrica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Sheet1!$AF$8:$AJ$8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Sheet1!$AF$10:$AJ$10</c:f>
              <c:numCache>
                <c:formatCode>0.00</c:formatCode>
                <c:ptCount val="5"/>
                <c:pt idx="0">
                  <c:v>-1.0109093972452718</c:v>
                </c:pt>
                <c:pt idx="1">
                  <c:v>6.470428648941942</c:v>
                </c:pt>
                <c:pt idx="2">
                  <c:v>-2.9553432933300678</c:v>
                </c:pt>
                <c:pt idx="3">
                  <c:v>-3.7443768192643558</c:v>
                </c:pt>
                <c:pt idx="4">
                  <c:v>3.3247995688203194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9-974E-80D7-E8FA57E42FC6}"/>
            </c:ext>
          </c:extLst>
        </c:ser>
        <c:ser>
          <c:idx val="2"/>
          <c:order val="2"/>
          <c:tx>
            <c:strRef>
              <c:f>Sheet1!$AE$11</c:f>
              <c:strCache>
                <c:ptCount val="1"/>
                <c:pt idx="0">
                  <c:v>Ørsted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Sheet1!$AF$8:$AJ$8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Sheet1!$AF$11:$AJ$11</c:f>
              <c:numCache>
                <c:formatCode>0.00</c:formatCode>
                <c:ptCount val="5"/>
                <c:pt idx="0">
                  <c:v>6.5660570710659533E-2</c:v>
                </c:pt>
                <c:pt idx="1">
                  <c:v>0.10381124680999143</c:v>
                </c:pt>
                <c:pt idx="2">
                  <c:v>0.15853840897845706</c:v>
                </c:pt>
                <c:pt idx="3">
                  <c:v>0.16184764783004282</c:v>
                </c:pt>
                <c:pt idx="4">
                  <c:v>0.10683402289673104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9-974E-80D7-E8FA57E42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35152"/>
        <c:axId val="21799584"/>
      </c:lineChart>
      <c:catAx>
        <c:axId val="11653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9584"/>
        <c:crosses val="autoZero"/>
        <c:auto val="1"/>
        <c:lblAlgn val="ctr"/>
        <c:lblOffset val="100"/>
        <c:noMultiLvlLbl val="0"/>
      </c:catAx>
      <c:valAx>
        <c:axId val="21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margin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Sheet1!$AE$14</c:f>
              <c:strCache>
                <c:ptCount val="1"/>
                <c:pt idx="0">
                  <c:v>EDF Energy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Sheet1!$AF$13:$AJ$13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Sheet1!$AF$14:$AJ$14</c:f>
              <c:numCache>
                <c:formatCode>0.00</c:formatCode>
                <c:ptCount val="5"/>
                <c:pt idx="0">
                  <c:v>-0.56204379562043794</c:v>
                </c:pt>
                <c:pt idx="1">
                  <c:v>-20.61926605504587</c:v>
                </c:pt>
                <c:pt idx="2">
                  <c:v>-11.518454297745851</c:v>
                </c:pt>
                <c:pt idx="3">
                  <c:v>-4.6989720998531572</c:v>
                </c:pt>
                <c:pt idx="4">
                  <c:v>-5.9325319891430786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D-2B42-ABB7-248C11AF05E5}"/>
            </c:ext>
          </c:extLst>
        </c:ser>
        <c:ser>
          <c:idx val="1"/>
          <c:order val="1"/>
          <c:tx>
            <c:strRef>
              <c:f>Sheet1!$AE$15</c:f>
              <c:strCache>
                <c:ptCount val="1"/>
                <c:pt idx="0">
                  <c:v>Centrica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Sheet1!$AF$13:$AJ$13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Sheet1!$AF$15:$AJ$15</c:f>
              <c:numCache>
                <c:formatCode>0.00</c:formatCode>
                <c:ptCount val="5"/>
                <c:pt idx="0">
                  <c:v>-1.6132429131039132</c:v>
                </c:pt>
                <c:pt idx="1">
                  <c:v>5.2021161150298427</c:v>
                </c:pt>
                <c:pt idx="2">
                  <c:v>-4.7105886194791413</c:v>
                </c:pt>
                <c:pt idx="3">
                  <c:v>-4.8690129663932256</c:v>
                </c:pt>
                <c:pt idx="4">
                  <c:v>1.9369399717038334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D-2B42-ABB7-248C11AF05E5}"/>
            </c:ext>
          </c:extLst>
        </c:ser>
        <c:ser>
          <c:idx val="2"/>
          <c:order val="2"/>
          <c:tx>
            <c:strRef>
              <c:f>Sheet1!$AE$16</c:f>
              <c:strCache>
                <c:ptCount val="1"/>
                <c:pt idx="0">
                  <c:v>Ørsted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Sheet1!$AF$13:$AJ$13</c:f>
              <c:strCach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strCache>
            </c:strRef>
          </c:cat>
          <c:val>
            <c:numRef>
              <c:f>Sheet1!$AF$16:$AJ$16</c:f>
              <c:numCache>
                <c:formatCode>0.00</c:formatCode>
                <c:ptCount val="5"/>
                <c:pt idx="0">
                  <c:v>0.11077130397745265</c:v>
                </c:pt>
                <c:pt idx="1">
                  <c:v>0.13657919619579695</c:v>
                </c:pt>
                <c:pt idx="2">
                  <c:v>0.30020875383854173</c:v>
                </c:pt>
                <c:pt idx="3">
                  <c:v>0.10023693487367497</c:v>
                </c:pt>
                <c:pt idx="4">
                  <c:v>0.23799351871122654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D-2B42-ABB7-248C11AF0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049536"/>
        <c:axId val="117131872"/>
      </c:lineChart>
      <c:catAx>
        <c:axId val="2670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1872"/>
        <c:crosses val="autoZero"/>
        <c:auto val="1"/>
        <c:lblAlgn val="ctr"/>
        <c:lblOffset val="100"/>
        <c:noMultiLvlLbl val="0"/>
      </c:catAx>
      <c:valAx>
        <c:axId val="1171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</xdr:col>
      <xdr:colOff>1722967</xdr:colOff>
      <xdr:row>67</xdr:row>
      <xdr:rowOff>0</xdr:rowOff>
    </xdr:to>
    <xdr:pic>
      <xdr:nvPicPr>
        <xdr:cNvPr id="2" name="Picture 1" descr="page7image59051584">
          <a:extLst>
            <a:ext uri="{FF2B5EF4-FFF2-40B4-BE49-F238E27FC236}">
              <a16:creationId xmlns:a16="http://schemas.microsoft.com/office/drawing/2014/main" id="{2574231C-4B05-F87D-8D48-DEA93940D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14400"/>
          <a:ext cx="1714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842434</xdr:colOff>
      <xdr:row>22</xdr:row>
      <xdr:rowOff>0</xdr:rowOff>
    </xdr:to>
    <xdr:pic>
      <xdr:nvPicPr>
        <xdr:cNvPr id="3" name="Picture 2" descr="page7image59051776">
          <a:extLst>
            <a:ext uri="{FF2B5EF4-FFF2-40B4-BE49-F238E27FC236}">
              <a16:creationId xmlns:a16="http://schemas.microsoft.com/office/drawing/2014/main" id="{6DEA16BE-F47B-DD75-9A7E-C3D4F3BF6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17600"/>
          <a:ext cx="838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25400</xdr:colOff>
      <xdr:row>22</xdr:row>
      <xdr:rowOff>0</xdr:rowOff>
    </xdr:from>
    <xdr:to>
      <xdr:col>2</xdr:col>
      <xdr:colOff>867833</xdr:colOff>
      <xdr:row>22</xdr:row>
      <xdr:rowOff>0</xdr:rowOff>
    </xdr:to>
    <xdr:pic>
      <xdr:nvPicPr>
        <xdr:cNvPr id="4" name="Picture 3" descr="page7image59051968">
          <a:extLst>
            <a:ext uri="{FF2B5EF4-FFF2-40B4-BE49-F238E27FC236}">
              <a16:creationId xmlns:a16="http://schemas.microsoft.com/office/drawing/2014/main" id="{D7CB0A67-77A9-194F-E5B8-760B7D781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13817600"/>
          <a:ext cx="838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50800</xdr:colOff>
      <xdr:row>22</xdr:row>
      <xdr:rowOff>0</xdr:rowOff>
    </xdr:from>
    <xdr:to>
      <xdr:col>3</xdr:col>
      <xdr:colOff>893233</xdr:colOff>
      <xdr:row>22</xdr:row>
      <xdr:rowOff>0</xdr:rowOff>
    </xdr:to>
    <xdr:pic>
      <xdr:nvPicPr>
        <xdr:cNvPr id="5" name="Picture 4" descr="page7image59052160">
          <a:extLst>
            <a:ext uri="{FF2B5EF4-FFF2-40B4-BE49-F238E27FC236}">
              <a16:creationId xmlns:a16="http://schemas.microsoft.com/office/drawing/2014/main" id="{7C34133A-55DD-B7C5-A364-8180CABE5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7300" y="13817600"/>
          <a:ext cx="838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</xdr:colOff>
      <xdr:row>22</xdr:row>
      <xdr:rowOff>0</xdr:rowOff>
    </xdr:from>
    <xdr:to>
      <xdr:col>4</xdr:col>
      <xdr:colOff>918634</xdr:colOff>
      <xdr:row>22</xdr:row>
      <xdr:rowOff>0</xdr:rowOff>
    </xdr:to>
    <xdr:pic>
      <xdr:nvPicPr>
        <xdr:cNvPr id="6" name="Picture 5" descr="page7image59052352">
          <a:extLst>
            <a:ext uri="{FF2B5EF4-FFF2-40B4-BE49-F238E27FC236}">
              <a16:creationId xmlns:a16="http://schemas.microsoft.com/office/drawing/2014/main" id="{CC37890E-A497-9135-85BA-ADE7722F5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3817600"/>
          <a:ext cx="838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101600</xdr:colOff>
      <xdr:row>22</xdr:row>
      <xdr:rowOff>0</xdr:rowOff>
    </xdr:from>
    <xdr:to>
      <xdr:col>5</xdr:col>
      <xdr:colOff>944033</xdr:colOff>
      <xdr:row>22</xdr:row>
      <xdr:rowOff>0</xdr:rowOff>
    </xdr:to>
    <xdr:pic>
      <xdr:nvPicPr>
        <xdr:cNvPr id="7" name="Picture 6" descr="page7image59052544">
          <a:extLst>
            <a:ext uri="{FF2B5EF4-FFF2-40B4-BE49-F238E27FC236}">
              <a16:creationId xmlns:a16="http://schemas.microsoft.com/office/drawing/2014/main" id="{093BA559-848B-94F3-C0BA-615ABB8A9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3817600"/>
          <a:ext cx="838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127000</xdr:colOff>
      <xdr:row>22</xdr:row>
      <xdr:rowOff>0</xdr:rowOff>
    </xdr:from>
    <xdr:to>
      <xdr:col>6</xdr:col>
      <xdr:colOff>969433</xdr:colOff>
      <xdr:row>22</xdr:row>
      <xdr:rowOff>0</xdr:rowOff>
    </xdr:to>
    <xdr:pic>
      <xdr:nvPicPr>
        <xdr:cNvPr id="8" name="Picture 7" descr="page7image59052736">
          <a:extLst>
            <a:ext uri="{FF2B5EF4-FFF2-40B4-BE49-F238E27FC236}">
              <a16:creationId xmlns:a16="http://schemas.microsoft.com/office/drawing/2014/main" id="{0A8EEDA5-93F8-687B-F441-C7825E890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13817600"/>
          <a:ext cx="8382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25400</xdr:colOff>
      <xdr:row>84</xdr:row>
      <xdr:rowOff>0</xdr:rowOff>
    </xdr:from>
    <xdr:ext cx="835660" cy="0"/>
    <xdr:pic>
      <xdr:nvPicPr>
        <xdr:cNvPr id="18" name="Picture 17" descr="page7image59051968">
          <a:extLst>
            <a:ext uri="{FF2B5EF4-FFF2-40B4-BE49-F238E27FC236}">
              <a16:creationId xmlns:a16="http://schemas.microsoft.com/office/drawing/2014/main" id="{CF202461-F12D-5F4E-B3A0-ADFA71266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320" y="13817600"/>
          <a:ext cx="83566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50800</xdr:colOff>
      <xdr:row>84</xdr:row>
      <xdr:rowOff>0</xdr:rowOff>
    </xdr:from>
    <xdr:ext cx="835660" cy="0"/>
    <xdr:pic>
      <xdr:nvPicPr>
        <xdr:cNvPr id="19" name="Picture 18" descr="page7image59052160">
          <a:extLst>
            <a:ext uri="{FF2B5EF4-FFF2-40B4-BE49-F238E27FC236}">
              <a16:creationId xmlns:a16="http://schemas.microsoft.com/office/drawing/2014/main" id="{2F851CC7-B75D-2748-8A2B-1517197A0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9680" y="13817600"/>
          <a:ext cx="83566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76200</xdr:colOff>
      <xdr:row>84</xdr:row>
      <xdr:rowOff>0</xdr:rowOff>
    </xdr:from>
    <xdr:ext cx="835660" cy="0"/>
    <xdr:pic>
      <xdr:nvPicPr>
        <xdr:cNvPr id="20" name="Picture 19" descr="page7image59052352">
          <a:extLst>
            <a:ext uri="{FF2B5EF4-FFF2-40B4-BE49-F238E27FC236}">
              <a16:creationId xmlns:a16="http://schemas.microsoft.com/office/drawing/2014/main" id="{50909489-46E9-A544-A9DF-47DD0EDCC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13817600"/>
          <a:ext cx="83566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101600</xdr:colOff>
      <xdr:row>84</xdr:row>
      <xdr:rowOff>0</xdr:rowOff>
    </xdr:from>
    <xdr:ext cx="835660" cy="0"/>
    <xdr:pic>
      <xdr:nvPicPr>
        <xdr:cNvPr id="21" name="Picture 20" descr="page7image59052544">
          <a:extLst>
            <a:ext uri="{FF2B5EF4-FFF2-40B4-BE49-F238E27FC236}">
              <a16:creationId xmlns:a16="http://schemas.microsoft.com/office/drawing/2014/main" id="{6C31420D-1C5D-424E-A570-F1CFD66D2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400" y="13817600"/>
          <a:ext cx="83566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127000</xdr:colOff>
      <xdr:row>84</xdr:row>
      <xdr:rowOff>0</xdr:rowOff>
    </xdr:from>
    <xdr:ext cx="835660" cy="0"/>
    <xdr:pic>
      <xdr:nvPicPr>
        <xdr:cNvPr id="22" name="Picture 21" descr="page7image59052736">
          <a:extLst>
            <a:ext uri="{FF2B5EF4-FFF2-40B4-BE49-F238E27FC236}">
              <a16:creationId xmlns:a16="http://schemas.microsoft.com/office/drawing/2014/main" id="{C842FA72-BAE8-C148-A584-189108FE8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4760" y="13817600"/>
          <a:ext cx="83566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842435</xdr:colOff>
      <xdr:row>96</xdr:row>
      <xdr:rowOff>40951</xdr:rowOff>
    </xdr:from>
    <xdr:to>
      <xdr:col>6</xdr:col>
      <xdr:colOff>127203</xdr:colOff>
      <xdr:row>115</xdr:row>
      <xdr:rowOff>201586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D34814-FAD0-4075-06B7-68B963BC9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2832878</xdr:colOff>
      <xdr:row>117</xdr:row>
      <xdr:rowOff>92788</xdr:rowOff>
    </xdr:from>
    <xdr:to>
      <xdr:col>6</xdr:col>
      <xdr:colOff>1321837</xdr:colOff>
      <xdr:row>136</xdr:row>
      <xdr:rowOff>155510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3565C1-8E65-DD0D-87D1-BA6978083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7775</xdr:colOff>
      <xdr:row>137</xdr:row>
      <xdr:rowOff>144623</xdr:rowOff>
    </xdr:from>
    <xdr:to>
      <xdr:col>6</xdr:col>
      <xdr:colOff>1321837</xdr:colOff>
      <xdr:row>161</xdr:row>
      <xdr:rowOff>155510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90C376-41E2-2A23-FB2D-DF68F3BFB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59613</xdr:colOff>
      <xdr:row>163</xdr:row>
      <xdr:rowOff>40951</xdr:rowOff>
    </xdr:from>
    <xdr:to>
      <xdr:col>7</xdr:col>
      <xdr:colOff>25918</xdr:colOff>
      <xdr:row>187</xdr:row>
      <xdr:rowOff>25918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8C92CE1-211F-57CF-6DD8-17B9BA1BB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7776</xdr:colOff>
      <xdr:row>163</xdr:row>
      <xdr:rowOff>15033</xdr:rowOff>
    </xdr:from>
    <xdr:to>
      <xdr:col>13</xdr:col>
      <xdr:colOff>0</xdr:colOff>
      <xdr:row>187</xdr:row>
      <xdr:rowOff>25918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8C5D48-A5E0-EB7E-B065-EE8B4DC4B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7463</xdr:colOff>
      <xdr:row>57</xdr:row>
      <xdr:rowOff>140775</xdr:rowOff>
    </xdr:from>
    <xdr:to>
      <xdr:col>22</xdr:col>
      <xdr:colOff>59985</xdr:colOff>
      <xdr:row>74</xdr:row>
      <xdr:rowOff>149242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66053CD-D2E9-5E84-895F-DE2315DBB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450548</xdr:colOff>
      <xdr:row>24</xdr:row>
      <xdr:rowOff>94948</xdr:rowOff>
    </xdr:from>
    <xdr:to>
      <xdr:col>30</xdr:col>
      <xdr:colOff>0</xdr:colOff>
      <xdr:row>38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ED0DDD-B497-75F8-F453-54D81764B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387048</xdr:colOff>
      <xdr:row>24</xdr:row>
      <xdr:rowOff>79022</xdr:rowOff>
    </xdr:from>
    <xdr:to>
      <xdr:col>36</xdr:col>
      <xdr:colOff>0</xdr:colOff>
      <xdr:row>38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E3B1EA-D032-C320-8EAE-91F7B0372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387048</xdr:colOff>
      <xdr:row>38</xdr:row>
      <xdr:rowOff>79023</xdr:rowOff>
    </xdr:from>
    <xdr:to>
      <xdr:col>30</xdr:col>
      <xdr:colOff>0</xdr:colOff>
      <xdr:row>52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9B6329E-DBD0-7FB8-186F-0ABDB4E97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387048</xdr:colOff>
      <xdr:row>38</xdr:row>
      <xdr:rowOff>104423</xdr:rowOff>
    </xdr:from>
    <xdr:to>
      <xdr:col>35</xdr:col>
      <xdr:colOff>768048</xdr:colOff>
      <xdr:row>52</xdr:row>
      <xdr:rowOff>2823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E92D14A-83D3-F3F1-06AF-774A41582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229828</xdr:colOff>
      <xdr:row>57</xdr:row>
      <xdr:rowOff>109248</xdr:rowOff>
    </xdr:from>
    <xdr:to>
      <xdr:col>26</xdr:col>
      <xdr:colOff>324054</xdr:colOff>
      <xdr:row>71</xdr:row>
      <xdr:rowOff>6009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2882FA5-AD99-13CC-8FBD-04EF0B297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B17B11-1429-5A4E-B8FB-828D24784283}" name="Table1" displayName="Table1" ref="Q50:V56" totalsRowShown="0" headerRowDxfId="34">
  <autoFilter ref="Q50:V56" xr:uid="{54B17B11-1429-5A4E-B8FB-828D24784283}"/>
  <tableColumns count="6">
    <tableColumn id="1" xr3:uid="{71F3C9EC-2469-6445-AE67-95FF2A274391}" name="Liquidity Ratios Ratio" dataDxfId="33"/>
    <tableColumn id="2" xr3:uid="{8634A940-2B8F-1647-868D-385C01630AEF}" name="2022" dataDxfId="32"/>
    <tableColumn id="3" xr3:uid="{E6C04B72-62D3-9645-8CBA-6400EAF69A9C}" name="2021" dataDxfId="31"/>
    <tableColumn id="4" xr3:uid="{3ABCDAB3-16DA-8243-95E0-B6A77D15FAFA}" name="2020" dataDxfId="30"/>
    <tableColumn id="5" xr3:uid="{A7DDB1DC-1F3E-DF47-B20A-DFDEA327A7E8}" name="2019" dataDxfId="29"/>
    <tableColumn id="6" xr3:uid="{D9D8E768-DC41-404D-9A9E-9B0AD40E4A57}" name="2018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F51F99-C77D-8C45-AC07-F50220EDB729}" name="Table2" displayName="Table2" ref="A3:G7" totalsRowShown="0" headerRowDxfId="27">
  <autoFilter ref="A3:G7" xr:uid="{D8F51F99-C77D-8C45-AC07-F50220EDB729}"/>
  <tableColumns count="7">
    <tableColumn id="1" xr3:uid="{C66EFB69-AFBA-0142-8FE7-4504A8CBA82E}" name="Formula"/>
    <tableColumn id="2" xr3:uid="{7CF4E1A2-F139-6C42-80F0-90B2D2492A2B}" name=" Ørsted"/>
    <tableColumn id="3" xr3:uid="{E594B0CE-4934-264B-AE58-151AB6F3CC63}" name="2022" dataDxfId="26"/>
    <tableColumn id="4" xr3:uid="{3B1E1646-62E3-D44C-A10E-3E2741AE9245}" name="2021" dataDxfId="25"/>
    <tableColumn id="5" xr3:uid="{B9829DAF-189E-DB41-8F9C-E98C978B421E}" name="2020" dataDxfId="24"/>
    <tableColumn id="6" xr3:uid="{A73FE4A1-1C26-2745-BAEF-0E87C53F30A4}" name="2019" dataDxfId="23"/>
    <tableColumn id="7" xr3:uid="{01E84DE0-C8B1-034F-B530-FA1EAFC09B0B}" name="2018" dataDxf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75E570-8233-FB4D-90BF-B4A1A6B5D504}" name="Table4" displayName="Table4" ref="W3:AB7" totalsRowShown="0" headerRowDxfId="21">
  <autoFilter ref="W3:AB7" xr:uid="{BF75E570-8233-FB4D-90BF-B4A1A6B5D50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2C2677B-4D7A-6541-865A-F2C4B6833597}" name="EDF Energy "/>
    <tableColumn id="2" xr3:uid="{80F81C71-7F8A-484A-B61A-15FE79E76F41}" name="2022" dataDxfId="20"/>
    <tableColumn id="3" xr3:uid="{1CA1D592-045C-5748-9B24-BAC299F6AB6E}" name="2021" dataDxfId="19"/>
    <tableColumn id="4" xr3:uid="{3C30D580-9F72-624A-BA79-37B2414A1279}" name="2020" dataDxfId="18"/>
    <tableColumn id="5" xr3:uid="{6498A9C7-502E-E546-B9F8-B1F3EB5E0A6E}" name="2019" dataDxfId="17"/>
    <tableColumn id="6" xr3:uid="{866922D8-336A-994B-BE78-D5C46BF97364}" name="2018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DF32DA-7C97-234D-98F0-8236CAC5C600}" name="Table6" displayName="Table6" ref="W13:AB17" totalsRowShown="0">
  <autoFilter ref="W13:AB17" xr:uid="{60DF32DA-7C97-234D-98F0-8236CAC5C6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16B2051-3018-8F42-93FA-5C2A9F630D82}" name="Ørsted"/>
    <tableColumn id="2" xr3:uid="{AB0C496B-C08E-AA4C-BB86-9DE611BBFBEA}" name="2022" dataDxfId="15">
      <calculatedColumnFormula>C4/100</calculatedColumnFormula>
    </tableColumn>
    <tableColumn id="3" xr3:uid="{5700D2A7-06A7-6B4B-8025-6043058FB586}" name="2021" dataDxfId="14">
      <calculatedColumnFormula>D4/100</calculatedColumnFormula>
    </tableColumn>
    <tableColumn id="4" xr3:uid="{4D9DF801-197B-1244-A509-17B30821F431}" name="2020" dataDxfId="13">
      <calculatedColumnFormula>E4/100</calculatedColumnFormula>
    </tableColumn>
    <tableColumn id="5" xr3:uid="{8B7CD354-1B36-4D4F-80DE-057152871FA4}" name="2019" dataDxfId="12">
      <calculatedColumnFormula>F4/100</calculatedColumnFormula>
    </tableColumn>
    <tableColumn id="6" xr3:uid="{50D91856-67B3-E343-8B68-BBACF9F2852A}" name="2018" dataDxfId="11">
      <calculatedColumnFormula>G4/100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AF166F-A39B-EE48-8E7A-5831CDFC6BEC}" name="Table5" displayName="Table5" ref="W8:AB12" totalsRowShown="0" headerRowDxfId="10">
  <autoFilter ref="W8:AB12" xr:uid="{C2AF166F-A39B-EE48-8E7A-5831CDFC6BE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2885C14-D071-C049-8AA7-F8554C83E5D4}" name="Centrica "/>
    <tableColumn id="2" xr3:uid="{12B345EA-1389-4C41-8A94-6F79C94482AF}" name="2022" dataDxfId="9"/>
    <tableColumn id="3" xr3:uid="{4AE94187-6269-B947-AA32-14434C33711B}" name="2021" dataDxfId="8"/>
    <tableColumn id="4" xr3:uid="{F3B59FC2-40D3-5D47-A3B0-D0C10C3A98CA}" name="2020" dataDxfId="7"/>
    <tableColumn id="5" xr3:uid="{77042CC6-A462-1943-873B-E9B1C710D60A}" name="2019" dataDxfId="6"/>
    <tableColumn id="6" xr3:uid="{3948E5F6-E1C2-B24D-8583-00CD4E2783E0}" name="2018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6C198F-6324-074A-9828-6167380D31D7}" name="Table3" displayName="Table3" ref="I85:N88" totalsRowShown="0">
  <autoFilter ref="I85:N88" xr:uid="{BA6C198F-6324-074A-9828-6167380D31D7}"/>
  <tableColumns count="6">
    <tableColumn id="1" xr3:uid="{DC8B469A-39FC-B346-8CE0-68D9AD338FCF}" name="Long Term Gearing Ratio"/>
    <tableColumn id="2" xr3:uid="{71336406-1069-E941-B5BA-AF745ACDE187}" name="2022" dataDxfId="4"/>
    <tableColumn id="3" xr3:uid="{4D5038A1-A476-EC41-B0CC-76AEBD7EE4BD}" name="2021" dataDxfId="3"/>
    <tableColumn id="4" xr3:uid="{6710239C-2CC3-4146-A7EF-BCED116D4064}" name="2020" dataDxfId="2"/>
    <tableColumn id="5" xr3:uid="{8EA8E5EC-3BBF-C543-9909-12235A86AE94}" name="2019" dataDxfId="1"/>
    <tableColumn id="6" xr3:uid="{8600A859-EC9A-AC48-BDC3-B62B04D22CE4}" name="201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2349-48EC-5441-BFFE-579CC3D917CF}">
  <dimension ref="A3:AQ135"/>
  <sheetViews>
    <sheetView tabSelected="1" zoomScale="34" zoomScaleNormal="40" workbookViewId="0">
      <selection activeCell="AG71" sqref="AG71"/>
    </sheetView>
  </sheetViews>
  <sheetFormatPr baseColWidth="10" defaultRowHeight="16"/>
  <cols>
    <col min="1" max="1" width="48.33203125" customWidth="1"/>
    <col min="2" max="2" width="31" customWidth="1"/>
    <col min="3" max="5" width="15.6640625" customWidth="1"/>
    <col min="6" max="6" width="14.5" customWidth="1"/>
    <col min="7" max="7" width="15.6640625" customWidth="1"/>
    <col min="8" max="8" width="28.1640625" customWidth="1"/>
    <col min="9" max="9" width="30.83203125" customWidth="1"/>
    <col min="10" max="13" width="15.6640625" customWidth="1"/>
    <col min="14" max="14" width="15.83203125" customWidth="1"/>
    <col min="16" max="16" width="24.83203125" customWidth="1"/>
    <col min="17" max="17" width="15.83203125" customWidth="1"/>
    <col min="18" max="18" width="15.6640625" customWidth="1"/>
    <col min="19" max="20" width="15.33203125" customWidth="1"/>
    <col min="21" max="21" width="15.6640625" customWidth="1"/>
    <col min="23" max="23" width="25.33203125" customWidth="1"/>
  </cols>
  <sheetData>
    <row r="3" spans="1:43">
      <c r="A3" s="6" t="s">
        <v>7</v>
      </c>
      <c r="B3" s="6" t="s">
        <v>68</v>
      </c>
      <c r="C3" s="7" t="s">
        <v>59</v>
      </c>
      <c r="D3" s="6" t="s">
        <v>60</v>
      </c>
      <c r="E3" s="6" t="s">
        <v>61</v>
      </c>
      <c r="F3" s="6" t="s">
        <v>62</v>
      </c>
      <c r="G3" s="6" t="s">
        <v>63</v>
      </c>
      <c r="I3" s="12" t="s">
        <v>51</v>
      </c>
      <c r="J3" s="7">
        <v>2022</v>
      </c>
      <c r="K3" s="6">
        <v>2021</v>
      </c>
      <c r="L3" s="6">
        <v>2020</v>
      </c>
      <c r="M3" s="6">
        <v>2019</v>
      </c>
      <c r="N3" s="6">
        <v>2018</v>
      </c>
      <c r="P3" s="12" t="s">
        <v>52</v>
      </c>
      <c r="Q3" s="7">
        <v>2022</v>
      </c>
      <c r="R3" s="6">
        <v>2021</v>
      </c>
      <c r="S3" s="6">
        <v>2020</v>
      </c>
      <c r="T3" s="6">
        <v>2019</v>
      </c>
      <c r="U3" s="6">
        <v>2018</v>
      </c>
      <c r="W3" s="12" t="s">
        <v>51</v>
      </c>
      <c r="X3" s="12" t="s">
        <v>59</v>
      </c>
      <c r="Y3" s="12" t="s">
        <v>60</v>
      </c>
      <c r="Z3" s="12" t="s">
        <v>61</v>
      </c>
      <c r="AA3" s="12" t="s">
        <v>62</v>
      </c>
      <c r="AB3" s="12" t="s">
        <v>63</v>
      </c>
      <c r="AE3" t="s">
        <v>21</v>
      </c>
      <c r="AF3" t="s">
        <v>59</v>
      </c>
      <c r="AG3">
        <v>2021</v>
      </c>
      <c r="AH3" t="s">
        <v>61</v>
      </c>
      <c r="AI3" t="s">
        <v>62</v>
      </c>
      <c r="AJ3" t="s">
        <v>63</v>
      </c>
      <c r="AL3" t="s">
        <v>65</v>
      </c>
      <c r="AM3" t="s">
        <v>59</v>
      </c>
      <c r="AN3">
        <v>2021</v>
      </c>
      <c r="AO3" t="s">
        <v>61</v>
      </c>
      <c r="AP3" t="s">
        <v>62</v>
      </c>
      <c r="AQ3" t="s">
        <v>63</v>
      </c>
    </row>
    <row r="4" spans="1:43">
      <c r="A4" t="s">
        <v>10</v>
      </c>
      <c r="B4" t="s">
        <v>21</v>
      </c>
      <c r="C4" s="8">
        <f>(C25/C23)*100</f>
        <v>28.228370282542318</v>
      </c>
      <c r="D4" s="8">
        <f>(D25/D23)*100</f>
        <v>33.372639775148286</v>
      </c>
      <c r="E4" s="8">
        <f>(E25/E23)*100</f>
        <v>50.179694801573902</v>
      </c>
      <c r="F4" s="8">
        <f>(F25/F23)*100</f>
        <v>40.653099455970924</v>
      </c>
      <c r="G4" s="8">
        <f>(G25/G23)*100</f>
        <v>29.656730106068135</v>
      </c>
      <c r="I4" t="s">
        <v>21</v>
      </c>
      <c r="J4" s="8">
        <f>(J25/J23)*100</f>
        <v>21.65693430656934</v>
      </c>
      <c r="K4" s="8">
        <f>(K25/K23)*100</f>
        <v>23.107798165137613</v>
      </c>
      <c r="L4" s="8">
        <f>(L25/L23)*100</f>
        <v>34.877384196185282</v>
      </c>
      <c r="M4" s="8">
        <f>(M25/M23)*100</f>
        <v>32.158590308370044</v>
      </c>
      <c r="N4" s="8">
        <f>(N25/N23)*100</f>
        <v>33.721080522166211</v>
      </c>
      <c r="P4" t="s">
        <v>21</v>
      </c>
      <c r="Q4" s="8">
        <f>(Q25/Q23)*100</f>
        <v>8.6137904890274211</v>
      </c>
      <c r="R4" s="8">
        <f>(R25/R23)*100</f>
        <v>11.048562126966901</v>
      </c>
      <c r="S4" s="8">
        <f>(S25/S23)*100</f>
        <v>25.463303126785856</v>
      </c>
      <c r="T4" s="8">
        <f>(T25/T23)*100</f>
        <v>14.139543089000616</v>
      </c>
      <c r="U4" s="8">
        <f>(U25/U23)*100</f>
        <v>13.652900357070674</v>
      </c>
      <c r="W4" t="s">
        <v>21</v>
      </c>
      <c r="X4" s="8">
        <v>21.65693430656934</v>
      </c>
      <c r="Y4" s="8">
        <v>23.107798165137613</v>
      </c>
      <c r="Z4" s="8">
        <v>34.877384196185282</v>
      </c>
      <c r="AA4" s="8">
        <v>32.158590308370044</v>
      </c>
      <c r="AB4" s="8">
        <v>33.721080522166211</v>
      </c>
      <c r="AE4" t="s">
        <v>51</v>
      </c>
      <c r="AF4" s="8">
        <f>Table4[[#This Row],[2022]]</f>
        <v>21.65693430656934</v>
      </c>
      <c r="AG4" s="8">
        <f>Table4[[#This Row],[2021]]</f>
        <v>23.107798165137613</v>
      </c>
      <c r="AH4" s="8">
        <f>Table4[[#This Row],[2020]]</f>
        <v>34.877384196185282</v>
      </c>
      <c r="AI4" s="8">
        <f>Table4[[#This Row],[2019]]</f>
        <v>32.158590308370044</v>
      </c>
      <c r="AJ4" s="8">
        <f>Table4[[#This Row],[2018]]</f>
        <v>33.721080522166211</v>
      </c>
      <c r="AL4" t="s">
        <v>51</v>
      </c>
      <c r="AM4" s="8">
        <f>J7</f>
        <v>-1.7372262773722627</v>
      </c>
      <c r="AN4" s="8">
        <f t="shared" ref="AN4:AP4" si="0">K7</f>
        <v>-23.26834862385321</v>
      </c>
      <c r="AO4" s="8">
        <f t="shared" si="0"/>
        <v>-12.521674510775327</v>
      </c>
      <c r="AP4" s="8">
        <f t="shared" si="0"/>
        <v>-2.7165932452276063</v>
      </c>
      <c r="AQ4" s="8">
        <f>N7</f>
        <v>-4.6658911722890011</v>
      </c>
    </row>
    <row r="5" spans="1:43">
      <c r="A5" t="s">
        <v>11</v>
      </c>
      <c r="B5" t="s">
        <v>22</v>
      </c>
      <c r="C5" s="8">
        <f>(C24/C23)*100</f>
        <v>6.5660570710659529</v>
      </c>
      <c r="D5" s="8">
        <f>(D24/D23)*100</f>
        <v>10.381124680999143</v>
      </c>
      <c r="E5" s="8">
        <f>(E24/E23)*100</f>
        <v>15.853840897845705</v>
      </c>
      <c r="F5" s="8">
        <f>(F24/F23)*100</f>
        <v>16.184764783004283</v>
      </c>
      <c r="G5" s="8">
        <f>(G24/G23)*100</f>
        <v>10.683402289673104</v>
      </c>
      <c r="I5" t="s">
        <v>22</v>
      </c>
      <c r="J5" s="8">
        <f>(J24/J23)*100</f>
        <v>8.2116788321167888</v>
      </c>
      <c r="K5" s="8">
        <f>(K24/K23)*100</f>
        <v>-0.25229357798165142</v>
      </c>
      <c r="L5" s="8">
        <f>(L24/L23)*100</f>
        <v>8.6698043101312852</v>
      </c>
      <c r="M5" s="8">
        <f>(M24/M23)*100</f>
        <v>-3.4997552618697991</v>
      </c>
      <c r="N5" s="8">
        <f>(N24/N23)*100</f>
        <v>-4.1488949205118262</v>
      </c>
      <c r="P5" t="s">
        <v>22</v>
      </c>
      <c r="Q5" s="8">
        <f>(Q24/Q23)*100</f>
        <v>-1.0109093972452718</v>
      </c>
      <c r="R5" s="8">
        <f>(R24/R23)*100</f>
        <v>6.470428648941942</v>
      </c>
      <c r="S5" s="8">
        <f>(S24/S23)*100</f>
        <v>-2.9553432933300678</v>
      </c>
      <c r="T5" s="8">
        <f>(T24/T23)*100</f>
        <v>-3.7443768192643558</v>
      </c>
      <c r="U5" s="8">
        <f>(U24/U23)*100</f>
        <v>3.3247995688203194</v>
      </c>
      <c r="W5" t="s">
        <v>22</v>
      </c>
      <c r="X5" s="8">
        <v>8.2116788321167888</v>
      </c>
      <c r="Y5" s="8">
        <v>-0.25229357798165142</v>
      </c>
      <c r="Z5" s="8">
        <v>8.6698043101312852</v>
      </c>
      <c r="AA5" s="8">
        <v>-3.4997552618697991</v>
      </c>
      <c r="AB5" s="8">
        <v>-4.1488949205118262</v>
      </c>
      <c r="AE5" t="s">
        <v>52</v>
      </c>
      <c r="AF5" s="8">
        <f>X9</f>
        <v>8.6137904890274211</v>
      </c>
      <c r="AG5" s="8">
        <f t="shared" ref="AG5:AJ5" si="1">Y9</f>
        <v>11.048562126966901</v>
      </c>
      <c r="AH5" s="8">
        <f t="shared" si="1"/>
        <v>25.463303126785856</v>
      </c>
      <c r="AI5" s="8">
        <f t="shared" si="1"/>
        <v>14.139543089000616</v>
      </c>
      <c r="AJ5" s="8">
        <f t="shared" si="1"/>
        <v>13.652900357070674</v>
      </c>
      <c r="AL5" t="s">
        <v>52</v>
      </c>
      <c r="AM5" s="8">
        <f>Q7</f>
        <v>5.0966682111115791</v>
      </c>
      <c r="AN5" s="8">
        <f t="shared" ref="AN5:AQ5" si="2">R7</f>
        <v>8.2067281606077049</v>
      </c>
      <c r="AO5" s="8">
        <f t="shared" si="2"/>
        <v>0.33472120173075354</v>
      </c>
      <c r="AP5" s="8">
        <f t="shared" si="2"/>
        <v>-6.9859751256946279</v>
      </c>
      <c r="AQ5" s="8">
        <f t="shared" si="2"/>
        <v>-1.6506097150171799</v>
      </c>
    </row>
    <row r="6" spans="1:43">
      <c r="A6" t="s">
        <v>12</v>
      </c>
      <c r="B6" t="s">
        <v>23</v>
      </c>
      <c r="C6" s="8">
        <f>(C26/C23)*100</f>
        <v>13.007281323947595</v>
      </c>
      <c r="D6" s="8">
        <f>(D26/D23)*100</f>
        <v>16.656215296095937</v>
      </c>
      <c r="E6" s="8">
        <f>(E26/E23)*100</f>
        <v>33.421568088465129</v>
      </c>
      <c r="F6" s="8">
        <f>(F26/F23)*100</f>
        <v>14.317186898689618</v>
      </c>
      <c r="G6" s="8">
        <f>(G26/G23)*100</f>
        <v>28.47822284169818</v>
      </c>
      <c r="I6" t="s">
        <v>23</v>
      </c>
      <c r="J6" s="8">
        <f>(J26/J23)*100</f>
        <v>-0.56204379562043794</v>
      </c>
      <c r="K6" s="8">
        <f>(K26/K23)*100</f>
        <v>-20.61926605504587</v>
      </c>
      <c r="L6" s="8">
        <f>(L26/L23)*100</f>
        <v>-11.518454297745851</v>
      </c>
      <c r="M6" s="8">
        <f>(M26/M23)*100</f>
        <v>-4.6989720998531572</v>
      </c>
      <c r="N6" s="8">
        <f>(N26/N23)*100</f>
        <v>-5.9325319891430786</v>
      </c>
      <c r="P6" t="s">
        <v>23</v>
      </c>
      <c r="Q6" s="8">
        <f>(Q26/Q23)*100</f>
        <v>-1.6132429131039132</v>
      </c>
      <c r="R6" s="8">
        <f>(R26/R23)*100</f>
        <v>5.2021161150298427</v>
      </c>
      <c r="S6" s="8">
        <f>(S26/S23)*100</f>
        <v>-4.7105886194791413</v>
      </c>
      <c r="T6" s="8">
        <f>(T26/T23)*100</f>
        <v>-4.8690129663932256</v>
      </c>
      <c r="U6" s="8">
        <f>(U26/U23)*100</f>
        <v>1.9369399717038334</v>
      </c>
      <c r="W6" t="s">
        <v>23</v>
      </c>
      <c r="X6" s="8">
        <v>-0.56204379562043794</v>
      </c>
      <c r="Y6" s="8">
        <v>-20.61926605504587</v>
      </c>
      <c r="Z6" s="8">
        <v>-11.518454297745851</v>
      </c>
      <c r="AA6" s="8">
        <v>-4.6989720998531572</v>
      </c>
      <c r="AB6" s="8">
        <v>-5.9325319891430786</v>
      </c>
      <c r="AE6" t="s">
        <v>0</v>
      </c>
      <c r="AF6" s="8">
        <f>X14</f>
        <v>0.2822837028254232</v>
      </c>
      <c r="AG6" s="8">
        <f t="shared" ref="AG6:AJ6" si="3">Y14</f>
        <v>0.33372639775148288</v>
      </c>
      <c r="AH6" s="8">
        <f t="shared" si="3"/>
        <v>0.50179694801573904</v>
      </c>
      <c r="AI6" s="8">
        <f t="shared" si="3"/>
        <v>0.40653099455970926</v>
      </c>
      <c r="AJ6" s="8">
        <f t="shared" si="3"/>
        <v>0.29656730106068135</v>
      </c>
      <c r="AL6" t="s">
        <v>0</v>
      </c>
      <c r="AM6" s="8">
        <f>C7</f>
        <v>11.077130397745265</v>
      </c>
      <c r="AN6" s="8">
        <f t="shared" ref="AN6:AQ6" si="4">D7</f>
        <v>13.657919619579694</v>
      </c>
      <c r="AO6" s="8">
        <f t="shared" si="4"/>
        <v>30.020875383854172</v>
      </c>
      <c r="AP6" s="8">
        <f t="shared" si="4"/>
        <v>10.023693487367497</v>
      </c>
      <c r="AQ6" s="8">
        <f t="shared" si="4"/>
        <v>23.799351871122653</v>
      </c>
    </row>
    <row r="7" spans="1:43">
      <c r="A7" t="s">
        <v>14</v>
      </c>
      <c r="B7" t="s">
        <v>24</v>
      </c>
      <c r="C7" s="8">
        <f>(C27/C23)*100</f>
        <v>11.077130397745265</v>
      </c>
      <c r="D7" s="8">
        <f>(D27/D23)*100</f>
        <v>13.657919619579694</v>
      </c>
      <c r="E7" s="8">
        <f>(E27/E23)*100</f>
        <v>30.020875383854172</v>
      </c>
      <c r="F7" s="8">
        <f>(F27/F23)*100</f>
        <v>10.023693487367497</v>
      </c>
      <c r="G7" s="8">
        <f>(G27/G23)*100</f>
        <v>23.799351871122653</v>
      </c>
      <c r="I7" t="s">
        <v>24</v>
      </c>
      <c r="J7" s="8">
        <f>(J27/J23)*100</f>
        <v>-1.7372262773722627</v>
      </c>
      <c r="K7" s="8">
        <f>(K27/K23)*100</f>
        <v>-23.26834862385321</v>
      </c>
      <c r="L7" s="8">
        <f>(L27/L23)*100</f>
        <v>-12.521674510775327</v>
      </c>
      <c r="M7" s="8">
        <f>(M27/M23)*100</f>
        <v>-2.7165932452276063</v>
      </c>
      <c r="N7" s="8">
        <f>(N27/N23)*100</f>
        <v>-4.6658911722890011</v>
      </c>
      <c r="P7" t="s">
        <v>24</v>
      </c>
      <c r="Q7" s="8">
        <f>(Q27/Q23)*100</f>
        <v>5.0966682111115791</v>
      </c>
      <c r="R7" s="8">
        <f>(R27/R23)*100</f>
        <v>8.2067281606077049</v>
      </c>
      <c r="S7" s="8">
        <f>(S27/S23)*100</f>
        <v>0.33472120173075354</v>
      </c>
      <c r="T7" s="8">
        <f>(T27/T23)*100</f>
        <v>-6.9859751256946279</v>
      </c>
      <c r="U7" s="8">
        <f>(U27/U23)*100</f>
        <v>-1.6506097150171799</v>
      </c>
      <c r="W7" t="s">
        <v>24</v>
      </c>
      <c r="X7" s="8">
        <v>-1.7372262773722627</v>
      </c>
      <c r="Y7" s="8">
        <v>-23.26834862385321</v>
      </c>
      <c r="Z7" s="8">
        <v>-12.521674510775327</v>
      </c>
      <c r="AA7" s="8">
        <v>-2.7165932452276063</v>
      </c>
      <c r="AB7" s="8">
        <v>-4.6658911722890011</v>
      </c>
    </row>
    <row r="8" spans="1:43">
      <c r="A8" t="s">
        <v>35</v>
      </c>
      <c r="B8" t="s">
        <v>39</v>
      </c>
      <c r="C8" s="10">
        <f>219.66/100</f>
        <v>2.1966000000000001</v>
      </c>
      <c r="D8" s="17">
        <f>202.16/100</f>
        <v>2.0215999999999998</v>
      </c>
      <c r="E8" s="17">
        <f>87.83/100</f>
        <v>0.87829999999999997</v>
      </c>
      <c r="F8" s="17">
        <f>95.4/100</f>
        <v>0.95400000000000007</v>
      </c>
      <c r="G8" s="18">
        <f>82.8/100</f>
        <v>0.82799999999999996</v>
      </c>
      <c r="I8" t="s">
        <v>40</v>
      </c>
      <c r="J8" s="13">
        <f>70.02/100</f>
        <v>0.70019999999999993</v>
      </c>
      <c r="K8" s="13">
        <f>66.35/100</f>
        <v>0.66349999999999998</v>
      </c>
      <c r="L8" s="13">
        <f>60.09/100</f>
        <v>0.60089999999999999</v>
      </c>
      <c r="M8" s="13">
        <f>64.72/100</f>
        <v>0.6472</v>
      </c>
      <c r="N8" s="13">
        <f>59.06/100</f>
        <v>0.59060000000000001</v>
      </c>
      <c r="P8" t="s">
        <v>39</v>
      </c>
      <c r="Q8" s="8">
        <f>551.25/100</f>
        <v>5.5125000000000002</v>
      </c>
      <c r="R8" s="8">
        <f>275.05/100</f>
        <v>2.7505000000000002</v>
      </c>
      <c r="S8" s="8">
        <f>641.03/100</f>
        <v>6.4102999999999994</v>
      </c>
      <c r="T8" s="8">
        <f>459.5/100</f>
        <v>4.5949999999999998</v>
      </c>
      <c r="U8" s="8">
        <f>213.42/100</f>
        <v>2.1341999999999999</v>
      </c>
      <c r="W8" s="6" t="s">
        <v>52</v>
      </c>
      <c r="X8" s="12" t="s">
        <v>59</v>
      </c>
      <c r="Y8" s="12" t="s">
        <v>60</v>
      </c>
      <c r="Z8" s="12" t="s">
        <v>61</v>
      </c>
      <c r="AA8" s="12" t="s">
        <v>62</v>
      </c>
      <c r="AB8" s="12" t="s">
        <v>63</v>
      </c>
      <c r="AE8" t="s">
        <v>22</v>
      </c>
      <c r="AF8" t="s">
        <v>59</v>
      </c>
      <c r="AG8">
        <v>2021</v>
      </c>
      <c r="AH8" t="s">
        <v>61</v>
      </c>
      <c r="AI8" t="s">
        <v>62</v>
      </c>
      <c r="AJ8" t="s">
        <v>63</v>
      </c>
    </row>
    <row r="9" spans="1:43">
      <c r="A9" t="s">
        <v>37</v>
      </c>
      <c r="B9" t="s">
        <v>36</v>
      </c>
      <c r="C9" s="8">
        <f>C35/C31</f>
        <v>3.1476913885285476</v>
      </c>
      <c r="D9" s="8">
        <f>D35/D31</f>
        <v>3.0264025194034256</v>
      </c>
      <c r="E9" s="8">
        <f>E35/E31</f>
        <v>1.3391917326757223</v>
      </c>
      <c r="F9" s="8">
        <f>F35/F31</f>
        <v>1.1533685627285075</v>
      </c>
      <c r="G9" s="8">
        <f>G35/G31</f>
        <v>1.0510486170961835</v>
      </c>
      <c r="I9" t="s">
        <v>36</v>
      </c>
      <c r="J9" s="8">
        <f>J35/J31</f>
        <v>0.96589059514542497</v>
      </c>
      <c r="K9" s="8">
        <f>K35/K31</f>
        <v>0.85384150460411701</v>
      </c>
      <c r="L9" s="8">
        <f>L35/L31</f>
        <v>0.75716172862804298</v>
      </c>
      <c r="M9" s="8">
        <f>M35/M31</f>
        <v>0.79801650066259133</v>
      </c>
      <c r="N9" s="8">
        <f>N35/N31</f>
        <v>0.74794348204780803</v>
      </c>
      <c r="P9" t="s">
        <v>36</v>
      </c>
      <c r="Q9" s="8">
        <f>Q35/Q31</f>
        <v>21.685937500000001</v>
      </c>
      <c r="R9" s="8">
        <f>R35/R31</f>
        <v>8.8494545454545452</v>
      </c>
      <c r="S9" s="8">
        <f>S35/S31</f>
        <v>11.387120115774239</v>
      </c>
      <c r="T9" s="8">
        <f>T35/T31</f>
        <v>9.1136490250696376</v>
      </c>
      <c r="U9" s="8">
        <f>U35/U31</f>
        <v>4.2069402228976696</v>
      </c>
      <c r="W9" t="s">
        <v>21</v>
      </c>
      <c r="X9" s="8">
        <v>8.6137904890274211</v>
      </c>
      <c r="Y9" s="8">
        <v>11.048562126966901</v>
      </c>
      <c r="Z9" s="8">
        <v>25.463303126785856</v>
      </c>
      <c r="AA9" s="8">
        <v>14.139543089000616</v>
      </c>
      <c r="AB9" s="8">
        <v>13.652900357070674</v>
      </c>
      <c r="AE9" t="s">
        <v>51</v>
      </c>
      <c r="AF9" s="25">
        <f>X5</f>
        <v>8.2116788321167888</v>
      </c>
      <c r="AG9" s="25">
        <f t="shared" ref="AG9:AJ9" si="5">Y5</f>
        <v>-0.25229357798165142</v>
      </c>
      <c r="AH9" s="25">
        <f t="shared" si="5"/>
        <v>8.6698043101312852</v>
      </c>
      <c r="AI9" s="25">
        <f t="shared" si="5"/>
        <v>-3.4997552618697991</v>
      </c>
      <c r="AJ9" s="25">
        <f t="shared" si="5"/>
        <v>-4.1488949205118262</v>
      </c>
    </row>
    <row r="10" spans="1:43">
      <c r="A10" t="s">
        <v>15</v>
      </c>
      <c r="B10" t="s">
        <v>8</v>
      </c>
      <c r="C10" s="14">
        <f>C28/C30</f>
        <v>1.5056899456685431</v>
      </c>
      <c r="D10" s="14">
        <f>D28/D30</f>
        <v>0.99840169086309405</v>
      </c>
      <c r="E10" s="14">
        <f>E28/E30</f>
        <v>1.8266056964961628</v>
      </c>
      <c r="F10" s="14">
        <f>F28/F30</f>
        <v>2.0023046362188635</v>
      </c>
      <c r="G10" s="14">
        <f>G28/G30</f>
        <v>1.9044535828662645</v>
      </c>
      <c r="I10" t="s">
        <v>8</v>
      </c>
      <c r="J10" s="14">
        <f>J28/J30</f>
        <v>0.81654000163438756</v>
      </c>
      <c r="K10" s="14">
        <f>K28/K30</f>
        <v>1.1922284772758478</v>
      </c>
      <c r="L10" s="14">
        <f>L28/L30</f>
        <v>1.6754890678941312</v>
      </c>
      <c r="M10" s="14">
        <f>M28/M30</f>
        <v>1.677574047954866</v>
      </c>
      <c r="N10" s="14">
        <f>N28/N30</f>
        <v>1.5709171027265216</v>
      </c>
      <c r="P10" t="s">
        <v>8</v>
      </c>
      <c r="Q10" s="14">
        <f>Q28/Q30</f>
        <v>0.95288102805029706</v>
      </c>
      <c r="R10" s="14">
        <f>R28/R30</f>
        <v>1.1061971517578995</v>
      </c>
      <c r="S10" s="14">
        <f>S28/S30</f>
        <v>1.358382257012394</v>
      </c>
      <c r="T10" s="14">
        <f>T28/T30</f>
        <v>0.93359594822734948</v>
      </c>
      <c r="U10" s="14">
        <f>U28/U30</f>
        <v>1.0338821283703175</v>
      </c>
      <c r="W10" t="s">
        <v>22</v>
      </c>
      <c r="X10" s="8">
        <v>-1.0109093972452718</v>
      </c>
      <c r="Y10" s="8">
        <v>6.470428648941942</v>
      </c>
      <c r="Z10" s="8">
        <v>-2.9553432933300678</v>
      </c>
      <c r="AA10" s="8">
        <v>-3.7443768192643558</v>
      </c>
      <c r="AB10" s="8">
        <v>3.3247995688203194</v>
      </c>
      <c r="AE10" t="s">
        <v>52</v>
      </c>
      <c r="AF10" s="25">
        <f>Table5[[#This Row],[2022]]</f>
        <v>-1.0109093972452718</v>
      </c>
      <c r="AG10" s="25">
        <f>Table5[[#This Row],[2021]]</f>
        <v>6.470428648941942</v>
      </c>
      <c r="AH10" s="25">
        <f>Table5[[#This Row],[2020]]</f>
        <v>-2.9553432933300678</v>
      </c>
      <c r="AI10" s="25">
        <f>Table5[[#This Row],[2019]]</f>
        <v>-3.7443768192643558</v>
      </c>
      <c r="AJ10" s="25">
        <f>Table5[[#This Row],[2018]]</f>
        <v>3.3247995688203194</v>
      </c>
    </row>
    <row r="11" spans="1:43">
      <c r="A11" t="s">
        <v>66</v>
      </c>
      <c r="B11" t="s">
        <v>29</v>
      </c>
      <c r="C11" s="10">
        <f>(C28-C29)/C30</f>
        <v>1.3173184553431028</v>
      </c>
      <c r="D11" s="10">
        <f>(D28-D29)/D30</f>
        <v>0.81444897811086747</v>
      </c>
      <c r="E11" s="10">
        <f>(E28-E29)/E30</f>
        <v>1.4028521044875712</v>
      </c>
      <c r="F11" s="10">
        <f>(F28-F29)/F30</f>
        <v>1.5336673792889362</v>
      </c>
      <c r="G11" s="10">
        <f>(G28-G29)/G30</f>
        <v>1.5053525154903831</v>
      </c>
      <c r="I11" t="s">
        <v>9</v>
      </c>
      <c r="J11" s="10">
        <f>(J28-J29)/J30</f>
        <v>0.67851597613794234</v>
      </c>
      <c r="K11" s="10">
        <f>(K28-K29)/K30</f>
        <v>0.90470959769325832</v>
      </c>
      <c r="L11" s="10">
        <f>(L28-L29)/L30</f>
        <v>1.1205983889528193</v>
      </c>
      <c r="M11" s="10">
        <f>(M28-M29)/M30</f>
        <v>1.0016925246826516</v>
      </c>
      <c r="N11" s="10">
        <f>(N28-N29)/N30</f>
        <v>0.91214541448636743</v>
      </c>
      <c r="P11" t="s">
        <v>9</v>
      </c>
      <c r="Q11" s="10">
        <f>(Q28-Q29)/Q30</f>
        <v>0.89443139422412599</v>
      </c>
      <c r="R11" s="10">
        <f>(R28-R29)/R30</f>
        <v>1.0703716065865598</v>
      </c>
      <c r="S11" s="10">
        <f>(S28-S29)/S30</f>
        <v>1.3161121983039792</v>
      </c>
      <c r="T11" s="10">
        <f>(T28-T29)/T30</f>
        <v>0.88508722566122677</v>
      </c>
      <c r="U11" s="10">
        <f>(U28-U29)/U30</f>
        <v>0.97912192794082553</v>
      </c>
      <c r="W11" t="s">
        <v>23</v>
      </c>
      <c r="X11" s="8">
        <v>-1.6132429131039132</v>
      </c>
      <c r="Y11" s="8">
        <v>5.2021161150298427</v>
      </c>
      <c r="Z11" s="8">
        <v>-4.7105886194791413</v>
      </c>
      <c r="AA11" s="8">
        <v>-4.8690129663932256</v>
      </c>
      <c r="AB11" s="8">
        <v>1.9369399717038334</v>
      </c>
      <c r="AE11" t="s">
        <v>0</v>
      </c>
      <c r="AF11" s="25">
        <f>X15</f>
        <v>6.5660570710659533E-2</v>
      </c>
      <c r="AG11" s="25">
        <f t="shared" ref="AG11:AJ11" si="6">Y15</f>
        <v>0.10381124680999143</v>
      </c>
      <c r="AH11" s="25">
        <f t="shared" si="6"/>
        <v>0.15853840897845706</v>
      </c>
      <c r="AI11" s="25">
        <f t="shared" si="6"/>
        <v>0.16184764783004282</v>
      </c>
      <c r="AJ11" s="25">
        <f t="shared" si="6"/>
        <v>0.10683402289673104</v>
      </c>
    </row>
    <row r="12" spans="1:43">
      <c r="A12" t="s">
        <v>17</v>
      </c>
      <c r="B12" t="s">
        <v>16</v>
      </c>
      <c r="C12" s="10">
        <f>(C26/C33)*100</f>
        <v>7.3593441378458868</v>
      </c>
      <c r="D12" s="10">
        <f>(D26/D33)*100</f>
        <v>7.2386979262954174</v>
      </c>
      <c r="E12" s="10">
        <f>(E26/E33)*100</f>
        <v>10.681313005913509</v>
      </c>
      <c r="F12" s="10">
        <f>(F26/F33)*100</f>
        <v>6.3429920344696242</v>
      </c>
      <c r="G12" s="10">
        <f>(G26/G33)*100</f>
        <v>15.661095244620817</v>
      </c>
      <c r="I12" t="s">
        <v>16</v>
      </c>
      <c r="J12" s="10">
        <f>(J26/J33)*100</f>
        <v>-0.17773469058006139</v>
      </c>
      <c r="K12" s="10">
        <f>(K26/K33)*100</f>
        <v>-4.0080249665626395</v>
      </c>
      <c r="L12" s="10">
        <f>(L26/L33)*100</f>
        <v>-2.2032171708796287</v>
      </c>
      <c r="M12" s="10">
        <f>(M26/M33)*100</f>
        <v>-0.99698826461730194</v>
      </c>
      <c r="N12" s="10">
        <f>(N26/N33)*100</f>
        <v>-1.4126554228733226</v>
      </c>
      <c r="P12" t="s">
        <v>16</v>
      </c>
      <c r="Q12" s="10">
        <f>(Q26/Q33)*100</f>
        <v>-5.2272417087484646</v>
      </c>
      <c r="R12" s="10">
        <f>(R26/R33)*100</f>
        <v>8.4193194291986817</v>
      </c>
      <c r="S12" s="10">
        <f>(S26/S33)*100</f>
        <v>-6.1032367251956838</v>
      </c>
      <c r="T12" s="10">
        <f>(T26/T33)*100</f>
        <v>-11.910669975186105</v>
      </c>
      <c r="U12" s="10">
        <f>(U26/U33)*100</f>
        <v>4.7227926078028748</v>
      </c>
      <c r="W12" t="s">
        <v>24</v>
      </c>
      <c r="X12" s="8">
        <v>5.0966682111115791</v>
      </c>
      <c r="Y12" s="8">
        <v>8.2067281606077049</v>
      </c>
      <c r="Z12" s="8">
        <v>0.33472120173075354</v>
      </c>
      <c r="AA12" s="8">
        <v>-6.9859751256946279</v>
      </c>
      <c r="AB12" s="8">
        <v>-1.6506097150171799</v>
      </c>
    </row>
    <row r="13" spans="1:43">
      <c r="A13" t="s">
        <v>18</v>
      </c>
      <c r="B13" t="s">
        <v>13</v>
      </c>
      <c r="C13" s="10">
        <f>(C26/C31)*100</f>
        <v>23.249576486922781</v>
      </c>
      <c r="D13" s="10">
        <f>(D26/D31)*100</f>
        <v>19.771273807925287</v>
      </c>
      <c r="E13" s="10">
        <f>(E26/E31)*100</f>
        <v>20.567913581536985</v>
      </c>
      <c r="F13" s="10">
        <f>(F26/F31)*100</f>
        <v>11.538378402592196</v>
      </c>
      <c r="G13" s="10">
        <f>(G26/G31)*100</f>
        <v>25.693469667056185</v>
      </c>
      <c r="I13" t="s">
        <v>13</v>
      </c>
      <c r="J13" s="10">
        <f>(J26/J31)*100</f>
        <v>-0.27245064043592104</v>
      </c>
      <c r="K13" s="10">
        <f>(K26/K31)*100</f>
        <v>-6.3924343157819887</v>
      </c>
      <c r="L13" s="10">
        <f>(L26/L31)*100</f>
        <v>-3.5100962445744481</v>
      </c>
      <c r="M13" s="10">
        <f>(M26/M31)*100</f>
        <v>-1.6415166930278287</v>
      </c>
      <c r="N13" s="10">
        <f>(N26/N31)*100</f>
        <v>-2.2210393883673669</v>
      </c>
      <c r="P13" t="s">
        <v>13</v>
      </c>
      <c r="Q13" s="10">
        <f>(Q26/Q31)*100</f>
        <v>-29.921874999999996</v>
      </c>
      <c r="R13" s="10">
        <f>(R26/R31)*100</f>
        <v>27.890909090909087</v>
      </c>
      <c r="S13" s="10">
        <f>(S26/S31)*100</f>
        <v>-41.751085383502172</v>
      </c>
      <c r="T13" s="10">
        <f>(T26/T31)*100</f>
        <v>-61.504178272980504</v>
      </c>
      <c r="U13" s="10">
        <f>(U26/U31)*100</f>
        <v>14.564336372847011</v>
      </c>
      <c r="W13" t="s">
        <v>0</v>
      </c>
      <c r="X13" t="s">
        <v>59</v>
      </c>
      <c r="Y13" t="s">
        <v>60</v>
      </c>
      <c r="Z13" t="s">
        <v>61</v>
      </c>
      <c r="AA13" t="s">
        <v>62</v>
      </c>
      <c r="AB13" t="s">
        <v>63</v>
      </c>
      <c r="AE13" t="s">
        <v>23</v>
      </c>
      <c r="AF13" t="s">
        <v>59</v>
      </c>
      <c r="AG13">
        <v>2021</v>
      </c>
      <c r="AH13" t="s">
        <v>61</v>
      </c>
      <c r="AI13" t="s">
        <v>62</v>
      </c>
      <c r="AJ13" t="s">
        <v>63</v>
      </c>
    </row>
    <row r="14" spans="1:43">
      <c r="A14" t="s">
        <v>19</v>
      </c>
      <c r="B14" t="s">
        <v>25</v>
      </c>
      <c r="C14" s="11">
        <v>55</v>
      </c>
      <c r="D14" s="9">
        <v>91</v>
      </c>
      <c r="E14" s="9">
        <v>68</v>
      </c>
      <c r="F14" s="9">
        <v>54</v>
      </c>
      <c r="G14" s="9">
        <v>61</v>
      </c>
      <c r="I14" t="s">
        <v>25</v>
      </c>
      <c r="J14">
        <v>53.12</v>
      </c>
      <c r="K14">
        <v>58.89</v>
      </c>
      <c r="L14">
        <v>53.93</v>
      </c>
      <c r="M14">
        <v>96.97</v>
      </c>
      <c r="N14">
        <v>44.72</v>
      </c>
      <c r="P14" t="s">
        <v>25</v>
      </c>
      <c r="Q14">
        <v>33.93</v>
      </c>
      <c r="R14">
        <v>38.270000000000003</v>
      </c>
      <c r="S14">
        <v>41.09</v>
      </c>
      <c r="T14">
        <v>24.94</v>
      </c>
      <c r="U14">
        <v>25.53</v>
      </c>
      <c r="W14" t="s">
        <v>21</v>
      </c>
      <c r="X14" s="8">
        <f t="shared" ref="X14:X17" si="7">C4/100</f>
        <v>0.2822837028254232</v>
      </c>
      <c r="Y14" s="8">
        <f t="shared" ref="Y14:Y17" si="8">D4/100</f>
        <v>0.33372639775148288</v>
      </c>
      <c r="Z14" s="8">
        <f t="shared" ref="Z14:Z17" si="9">E4/100</f>
        <v>0.50179694801573904</v>
      </c>
      <c r="AA14" s="8">
        <f t="shared" ref="AA14:AA17" si="10">F4/100</f>
        <v>0.40653099455970926</v>
      </c>
      <c r="AB14" s="8">
        <f t="shared" ref="AB14:AB17" si="11">G4/100</f>
        <v>0.29656730106068135</v>
      </c>
      <c r="AE14" t="s">
        <v>51</v>
      </c>
      <c r="AF14" s="8">
        <f>X6</f>
        <v>-0.56204379562043794</v>
      </c>
      <c r="AG14" s="8">
        <f t="shared" ref="AG14:AJ14" si="12">Y6</f>
        <v>-20.61926605504587</v>
      </c>
      <c r="AH14" s="8">
        <f t="shared" si="12"/>
        <v>-11.518454297745851</v>
      </c>
      <c r="AI14" s="8">
        <f t="shared" si="12"/>
        <v>-4.6989720998531572</v>
      </c>
      <c r="AJ14" s="8">
        <f t="shared" si="12"/>
        <v>-5.9325319891430786</v>
      </c>
    </row>
    <row r="15" spans="1:43">
      <c r="A15" t="s">
        <v>20</v>
      </c>
      <c r="B15" t="s">
        <v>26</v>
      </c>
      <c r="C15" s="9">
        <v>62.01</v>
      </c>
      <c r="D15" s="9">
        <v>44.23</v>
      </c>
      <c r="E15" s="9">
        <v>51.16</v>
      </c>
      <c r="F15" s="9">
        <v>71.44</v>
      </c>
      <c r="G15" s="9">
        <v>57.02</v>
      </c>
      <c r="I15" t="s">
        <v>26</v>
      </c>
      <c r="J15" s="9">
        <v>105.08</v>
      </c>
      <c r="K15" t="s">
        <v>30</v>
      </c>
      <c r="L15">
        <v>74.41</v>
      </c>
      <c r="M15">
        <v>68.069999999999993</v>
      </c>
      <c r="N15">
        <v>67.650000000000006</v>
      </c>
      <c r="P15" t="s">
        <v>26</v>
      </c>
      <c r="Q15">
        <v>8.6199999999999992</v>
      </c>
      <c r="R15">
        <v>13.42</v>
      </c>
      <c r="S15">
        <v>13.11</v>
      </c>
      <c r="T15">
        <v>9.19</v>
      </c>
      <c r="U15">
        <v>7.11</v>
      </c>
      <c r="W15" t="s">
        <v>22</v>
      </c>
      <c r="X15" s="8">
        <f t="shared" si="7"/>
        <v>6.5660570710659533E-2</v>
      </c>
      <c r="Y15" s="8">
        <f t="shared" si="8"/>
        <v>0.10381124680999143</v>
      </c>
      <c r="Z15" s="8">
        <f t="shared" si="9"/>
        <v>0.15853840897845706</v>
      </c>
      <c r="AA15" s="8">
        <f t="shared" si="10"/>
        <v>0.16184764783004282</v>
      </c>
      <c r="AB15" s="8">
        <f t="shared" si="11"/>
        <v>0.10683402289673104</v>
      </c>
      <c r="AE15" t="s">
        <v>52</v>
      </c>
      <c r="AF15" s="8">
        <f>X11</f>
        <v>-1.6132429131039132</v>
      </c>
      <c r="AG15" s="8">
        <f t="shared" ref="AG15:AJ15" si="13">Y11</f>
        <v>5.2021161150298427</v>
      </c>
      <c r="AH15" s="8">
        <f t="shared" si="13"/>
        <v>-4.7105886194791413</v>
      </c>
      <c r="AI15" s="8">
        <f t="shared" si="13"/>
        <v>-4.8690129663932256</v>
      </c>
      <c r="AJ15" s="8">
        <f t="shared" si="13"/>
        <v>1.9369399717038334</v>
      </c>
    </row>
    <row r="16" spans="1:43">
      <c r="A16" t="s">
        <v>43</v>
      </c>
      <c r="B16" t="s">
        <v>42</v>
      </c>
      <c r="C16" s="8">
        <f>C23/(C32-C28)</f>
        <v>0.67213796643654544</v>
      </c>
      <c r="D16" s="8">
        <f>D23/(D32-D28)</f>
        <v>0.43426529600987979</v>
      </c>
      <c r="E16" s="8">
        <f>E23/(E32-E28)</f>
        <v>0.38858437753285435</v>
      </c>
      <c r="F16" s="8">
        <f>F23/(F32-F28)</f>
        <v>0.54306266199147879</v>
      </c>
      <c r="G16" s="8">
        <f>G23/(G32-G28)</f>
        <v>0.71076716426508735</v>
      </c>
      <c r="H16">
        <f>C23/(C32-C28)</f>
        <v>0.67213796643654544</v>
      </c>
      <c r="I16" t="s">
        <v>42</v>
      </c>
      <c r="J16">
        <v>0.3</v>
      </c>
      <c r="K16">
        <v>0.2</v>
      </c>
      <c r="L16">
        <v>0.21</v>
      </c>
      <c r="M16">
        <v>0.23</v>
      </c>
      <c r="N16">
        <v>0.25</v>
      </c>
      <c r="P16" t="s">
        <v>42</v>
      </c>
      <c r="Q16">
        <v>2.84</v>
      </c>
      <c r="R16">
        <v>2.0499999999999998</v>
      </c>
      <c r="S16">
        <v>1.83</v>
      </c>
      <c r="T16">
        <v>2.2999999999999998</v>
      </c>
      <c r="U16">
        <v>2.5</v>
      </c>
      <c r="W16" t="s">
        <v>23</v>
      </c>
      <c r="X16" s="8">
        <f t="shared" si="7"/>
        <v>0.13007281323947595</v>
      </c>
      <c r="Y16" s="8">
        <f t="shared" si="8"/>
        <v>0.16656215296095936</v>
      </c>
      <c r="Z16" s="8">
        <f t="shared" si="9"/>
        <v>0.33421568088465131</v>
      </c>
      <c r="AA16" s="8">
        <f t="shared" si="10"/>
        <v>0.14317186898689618</v>
      </c>
      <c r="AB16" s="8">
        <f t="shared" si="11"/>
        <v>0.28478222841698181</v>
      </c>
      <c r="AE16" t="s">
        <v>0</v>
      </c>
      <c r="AF16" s="8">
        <f>X17</f>
        <v>0.11077130397745265</v>
      </c>
      <c r="AG16" s="8">
        <f t="shared" ref="AG16:AJ16" si="14">Y17</f>
        <v>0.13657919619579695</v>
      </c>
      <c r="AH16" s="8">
        <f t="shared" si="14"/>
        <v>0.30020875383854173</v>
      </c>
      <c r="AI16" s="8">
        <f t="shared" si="14"/>
        <v>0.10023693487367497</v>
      </c>
      <c r="AJ16" s="8">
        <f t="shared" si="14"/>
        <v>0.23799351871122654</v>
      </c>
    </row>
    <row r="17" spans="1:28">
      <c r="A17" t="s">
        <v>67</v>
      </c>
      <c r="B17" t="s">
        <v>47</v>
      </c>
      <c r="C17" s="23">
        <v>261000</v>
      </c>
      <c r="D17" s="23">
        <v>220000</v>
      </c>
      <c r="E17" s="23">
        <v>344000</v>
      </c>
      <c r="F17" s="23">
        <v>181000</v>
      </c>
      <c r="G17" s="23">
        <v>435000</v>
      </c>
      <c r="H17" s="1"/>
      <c r="I17" t="s">
        <v>47</v>
      </c>
      <c r="J17">
        <v>-7058</v>
      </c>
      <c r="K17" s="2">
        <v>-156131</v>
      </c>
      <c r="L17" s="2">
        <v>-79075</v>
      </c>
      <c r="M17" s="2">
        <v>-31865</v>
      </c>
      <c r="N17" s="2">
        <v>-36571</v>
      </c>
      <c r="P17" t="s">
        <v>47</v>
      </c>
      <c r="Q17" s="2">
        <v>-19194</v>
      </c>
      <c r="R17" s="2">
        <v>-22405</v>
      </c>
      <c r="S17" s="2">
        <v>-22405</v>
      </c>
      <c r="T17" s="2">
        <v>-37877</v>
      </c>
      <c r="U17" s="2">
        <v>18093</v>
      </c>
      <c r="W17" t="s">
        <v>24</v>
      </c>
      <c r="X17" s="8">
        <f t="shared" si="7"/>
        <v>0.11077130397745265</v>
      </c>
      <c r="Y17" s="8">
        <f t="shared" si="8"/>
        <v>0.13657919619579695</v>
      </c>
      <c r="Z17" s="8">
        <f t="shared" si="9"/>
        <v>0.30020875383854173</v>
      </c>
      <c r="AA17" s="8">
        <f t="shared" si="10"/>
        <v>0.10023693487367497</v>
      </c>
      <c r="AB17" s="8">
        <f t="shared" si="11"/>
        <v>0.23799351871122654</v>
      </c>
    </row>
    <row r="21" spans="1:28">
      <c r="H21" s="1"/>
    </row>
    <row r="22" spans="1:28">
      <c r="B22" s="12" t="s">
        <v>0</v>
      </c>
      <c r="C22" s="12">
        <v>2022</v>
      </c>
      <c r="D22" s="12">
        <v>2021</v>
      </c>
      <c r="E22" s="12">
        <v>2020</v>
      </c>
      <c r="F22" s="12">
        <v>2019</v>
      </c>
      <c r="G22" s="12">
        <v>2018</v>
      </c>
      <c r="H22" s="15"/>
      <c r="I22" s="12" t="s">
        <v>51</v>
      </c>
      <c r="J22" s="12">
        <v>2022</v>
      </c>
      <c r="K22" s="12">
        <v>2021</v>
      </c>
      <c r="L22" s="12">
        <v>2020</v>
      </c>
      <c r="M22" s="12">
        <v>2019</v>
      </c>
      <c r="N22" s="12">
        <v>2018</v>
      </c>
      <c r="P22" s="12" t="s">
        <v>52</v>
      </c>
      <c r="Q22" s="12">
        <v>2022</v>
      </c>
      <c r="R22" s="12">
        <v>2021</v>
      </c>
      <c r="S22" s="12">
        <v>2020</v>
      </c>
      <c r="T22" s="12">
        <v>2019</v>
      </c>
      <c r="U22" s="12">
        <v>2018</v>
      </c>
    </row>
    <row r="23" spans="1:28">
      <c r="B23" t="s">
        <v>3</v>
      </c>
      <c r="C23" s="23">
        <v>16089519</v>
      </c>
      <c r="D23" s="23">
        <v>9043471</v>
      </c>
      <c r="E23" s="23">
        <v>6366350</v>
      </c>
      <c r="F23" s="23">
        <v>8239817</v>
      </c>
      <c r="G23" s="23">
        <v>9278093</v>
      </c>
      <c r="H23" s="15"/>
      <c r="I23" t="s">
        <v>3</v>
      </c>
      <c r="J23" s="2">
        <v>13700000</v>
      </c>
      <c r="K23" s="2">
        <v>8720000</v>
      </c>
      <c r="L23" s="2">
        <v>8074000</v>
      </c>
      <c r="M23" s="2">
        <v>8172000</v>
      </c>
      <c r="N23" s="2">
        <v>7737000</v>
      </c>
      <c r="P23" t="s">
        <v>3</v>
      </c>
      <c r="Q23" s="2">
        <v>23741000</v>
      </c>
      <c r="R23" s="2">
        <v>14744000</v>
      </c>
      <c r="S23" s="2">
        <v>12249000</v>
      </c>
      <c r="T23" s="2">
        <v>22674000</v>
      </c>
      <c r="U23" s="2">
        <v>29686000</v>
      </c>
    </row>
    <row r="24" spans="1:28">
      <c r="B24" s="15" t="s">
        <v>5</v>
      </c>
      <c r="C24" s="23">
        <v>1056447</v>
      </c>
      <c r="D24" s="23">
        <v>938814</v>
      </c>
      <c r="E24" s="23">
        <v>1009311</v>
      </c>
      <c r="F24" s="23">
        <v>1333595</v>
      </c>
      <c r="G24" s="23">
        <v>991216</v>
      </c>
      <c r="H24" s="15"/>
      <c r="I24" s="15" t="s">
        <v>5</v>
      </c>
      <c r="J24" s="2">
        <v>1125000</v>
      </c>
      <c r="K24" s="2">
        <v>-22000</v>
      </c>
      <c r="L24" s="2">
        <v>700000</v>
      </c>
      <c r="M24" s="2">
        <v>-286000</v>
      </c>
      <c r="N24" s="2">
        <v>-321000</v>
      </c>
      <c r="P24" s="15" t="s">
        <v>5</v>
      </c>
      <c r="Q24" s="2">
        <v>-240000</v>
      </c>
      <c r="R24" s="2">
        <v>954000</v>
      </c>
      <c r="S24" s="2">
        <v>-362000</v>
      </c>
      <c r="T24" s="2">
        <v>-849000</v>
      </c>
      <c r="U24" s="2">
        <v>987000</v>
      </c>
    </row>
    <row r="25" spans="1:28">
      <c r="B25" t="s">
        <v>4</v>
      </c>
      <c r="C25" s="23">
        <v>4541809</v>
      </c>
      <c r="D25" s="23">
        <v>3018045</v>
      </c>
      <c r="E25" s="23">
        <v>3194615</v>
      </c>
      <c r="F25" s="23">
        <v>3349741</v>
      </c>
      <c r="G25" s="23">
        <v>2751579</v>
      </c>
      <c r="H25" s="15"/>
      <c r="I25" t="s">
        <v>4</v>
      </c>
      <c r="J25" s="2">
        <v>2967000</v>
      </c>
      <c r="K25" s="2">
        <v>2015000</v>
      </c>
      <c r="L25" s="2">
        <v>2816000</v>
      </c>
      <c r="M25" s="2">
        <v>2628000</v>
      </c>
      <c r="N25" s="2">
        <v>2609000</v>
      </c>
      <c r="P25" t="s">
        <v>4</v>
      </c>
      <c r="Q25" s="2">
        <v>2045000</v>
      </c>
      <c r="R25" s="2">
        <v>1629000</v>
      </c>
      <c r="S25" s="2">
        <v>3119000</v>
      </c>
      <c r="T25" s="2">
        <v>3206000</v>
      </c>
      <c r="U25" s="2">
        <v>4053000</v>
      </c>
    </row>
    <row r="26" spans="1:28">
      <c r="B26" s="15" t="s">
        <v>6</v>
      </c>
      <c r="C26" s="23">
        <v>2092809</v>
      </c>
      <c r="D26" s="23">
        <v>1506300</v>
      </c>
      <c r="E26" s="23">
        <v>2127734</v>
      </c>
      <c r="F26" s="23">
        <v>1179710</v>
      </c>
      <c r="G26" s="23">
        <v>2642236</v>
      </c>
      <c r="H26" s="15"/>
      <c r="I26" s="15" t="s">
        <v>6</v>
      </c>
      <c r="J26" s="2">
        <v>-77000</v>
      </c>
      <c r="K26" s="2">
        <v>-1798000</v>
      </c>
      <c r="L26" s="2">
        <v>-930000</v>
      </c>
      <c r="M26" s="2">
        <v>-384000</v>
      </c>
      <c r="N26" s="2">
        <v>-459000</v>
      </c>
      <c r="P26" s="15" t="s">
        <v>6</v>
      </c>
      <c r="Q26" s="2">
        <v>-383000</v>
      </c>
      <c r="R26" s="2">
        <v>767000</v>
      </c>
      <c r="S26" s="2">
        <v>-577000</v>
      </c>
      <c r="T26" s="2">
        <v>-1104000</v>
      </c>
      <c r="U26" s="2">
        <v>575000</v>
      </c>
    </row>
    <row r="27" spans="1:28">
      <c r="A27" s="3"/>
      <c r="B27" t="s">
        <v>38</v>
      </c>
      <c r="C27" s="24">
        <v>1782257</v>
      </c>
      <c r="D27" s="24">
        <v>1235150</v>
      </c>
      <c r="E27" s="24">
        <v>1911234</v>
      </c>
      <c r="F27" s="24">
        <v>825934</v>
      </c>
      <c r="G27" s="24">
        <v>2208126</v>
      </c>
      <c r="H27" s="15"/>
      <c r="I27" t="s">
        <v>38</v>
      </c>
      <c r="J27" s="2">
        <v>-238000</v>
      </c>
      <c r="K27" s="2">
        <v>-2029000</v>
      </c>
      <c r="L27" s="2">
        <v>-1011000</v>
      </c>
      <c r="M27" s="2">
        <v>-222000</v>
      </c>
      <c r="N27" s="2">
        <v>-361000</v>
      </c>
      <c r="P27" t="s">
        <v>38</v>
      </c>
      <c r="Q27" s="2">
        <v>1210000</v>
      </c>
      <c r="R27" s="2">
        <v>1210000</v>
      </c>
      <c r="S27" s="2">
        <v>41000</v>
      </c>
      <c r="T27" s="2">
        <v>-1584000</v>
      </c>
      <c r="U27" s="2">
        <v>-490000</v>
      </c>
    </row>
    <row r="28" spans="1:28">
      <c r="A28" s="5"/>
      <c r="B28" t="s">
        <v>27</v>
      </c>
      <c r="C28" s="23">
        <v>13397593</v>
      </c>
      <c r="D28" s="23">
        <v>9850907</v>
      </c>
      <c r="E28" s="23">
        <v>7815306</v>
      </c>
      <c r="F28" s="23">
        <v>6843663</v>
      </c>
      <c r="G28" s="23">
        <v>8038710</v>
      </c>
      <c r="H28" s="15"/>
      <c r="I28" t="s">
        <v>27</v>
      </c>
      <c r="J28" s="2">
        <v>9992000</v>
      </c>
      <c r="K28" s="2">
        <v>8683000</v>
      </c>
      <c r="L28" s="2">
        <v>7280000</v>
      </c>
      <c r="M28" s="2">
        <v>5947000</v>
      </c>
      <c r="N28" s="2">
        <v>5704000</v>
      </c>
      <c r="P28" t="s">
        <v>27</v>
      </c>
      <c r="Q28" s="2">
        <v>20688000</v>
      </c>
      <c r="R28" s="2">
        <v>19885000</v>
      </c>
      <c r="S28" s="2">
        <v>10412000</v>
      </c>
      <c r="T28" s="2">
        <v>8295000</v>
      </c>
      <c r="U28" s="2">
        <v>8666000</v>
      </c>
    </row>
    <row r="29" spans="1:28">
      <c r="B29" t="s">
        <v>28</v>
      </c>
      <c r="C29" s="23">
        <v>1676125</v>
      </c>
      <c r="D29" s="23">
        <v>1815002</v>
      </c>
      <c r="E29" s="23">
        <v>1813070</v>
      </c>
      <c r="F29" s="23">
        <v>1601752</v>
      </c>
      <c r="G29" s="23">
        <v>1684608</v>
      </c>
      <c r="H29" s="15"/>
      <c r="I29" t="s">
        <v>28</v>
      </c>
      <c r="J29" s="2">
        <v>1689000</v>
      </c>
      <c r="K29" s="2">
        <v>2094000</v>
      </c>
      <c r="L29" s="2">
        <v>2411000</v>
      </c>
      <c r="M29" s="2">
        <v>2396000</v>
      </c>
      <c r="N29" s="2">
        <v>2392000</v>
      </c>
      <c r="P29" t="s">
        <v>28</v>
      </c>
      <c r="Q29" s="2">
        <v>1269000</v>
      </c>
      <c r="R29" s="2">
        <v>644000</v>
      </c>
      <c r="S29" s="2">
        <v>324000</v>
      </c>
      <c r="T29" s="2">
        <v>431000</v>
      </c>
      <c r="U29" s="2">
        <v>459000</v>
      </c>
    </row>
    <row r="30" spans="1:28">
      <c r="A30" s="5"/>
      <c r="B30" t="s">
        <v>1</v>
      </c>
      <c r="C30" s="23">
        <v>8897976</v>
      </c>
      <c r="D30" s="23">
        <v>9866677</v>
      </c>
      <c r="E30" s="23">
        <v>4278595</v>
      </c>
      <c r="F30" s="23">
        <v>3417893</v>
      </c>
      <c r="G30" s="23">
        <v>4221006</v>
      </c>
      <c r="H30" s="15"/>
      <c r="I30" t="s">
        <v>1</v>
      </c>
      <c r="J30" s="2">
        <v>12237000</v>
      </c>
      <c r="K30" s="2">
        <v>7283000</v>
      </c>
      <c r="L30" s="2">
        <v>4345000</v>
      </c>
      <c r="M30" s="2">
        <v>3545000</v>
      </c>
      <c r="N30" s="2">
        <v>3631000</v>
      </c>
      <c r="P30" t="s">
        <v>1</v>
      </c>
      <c r="Q30" s="3">
        <v>21711000</v>
      </c>
      <c r="R30" s="2">
        <v>17976000</v>
      </c>
      <c r="S30" s="2">
        <v>7665000</v>
      </c>
      <c r="T30" s="2">
        <v>8885000</v>
      </c>
      <c r="U30" s="2">
        <v>8382000</v>
      </c>
    </row>
    <row r="31" spans="1:28">
      <c r="B31" t="s">
        <v>34</v>
      </c>
      <c r="C31" s="23">
        <v>9001493</v>
      </c>
      <c r="D31" s="23">
        <v>7618629</v>
      </c>
      <c r="E31" s="23">
        <v>10344919</v>
      </c>
      <c r="F31" s="23">
        <v>10224227</v>
      </c>
      <c r="G31" s="23">
        <v>10283687</v>
      </c>
      <c r="H31" s="16"/>
      <c r="I31" t="s">
        <v>34</v>
      </c>
      <c r="J31" s="2">
        <v>28262000</v>
      </c>
      <c r="K31" s="2">
        <v>28127000</v>
      </c>
      <c r="L31" s="2">
        <v>26495000</v>
      </c>
      <c r="M31" s="2">
        <v>23393000</v>
      </c>
      <c r="N31" s="2">
        <v>20666000</v>
      </c>
      <c r="P31" t="s">
        <v>34</v>
      </c>
      <c r="Q31" s="2">
        <v>1280000</v>
      </c>
      <c r="R31" s="2">
        <v>2750000</v>
      </c>
      <c r="S31" s="2">
        <v>1382000</v>
      </c>
      <c r="T31" s="2">
        <v>1795000</v>
      </c>
      <c r="U31" s="2">
        <v>3948000</v>
      </c>
    </row>
    <row r="32" spans="1:28">
      <c r="B32" t="s">
        <v>32</v>
      </c>
      <c r="C32" s="23">
        <v>37335415</v>
      </c>
      <c r="D32" s="23">
        <v>30675668</v>
      </c>
      <c r="E32" s="23">
        <v>24198749</v>
      </c>
      <c r="F32" s="23">
        <v>22016529</v>
      </c>
      <c r="G32" s="23">
        <v>21092342</v>
      </c>
      <c r="H32" s="15"/>
      <c r="I32" t="s">
        <v>32</v>
      </c>
      <c r="J32" s="2">
        <v>55560000</v>
      </c>
      <c r="K32" s="2">
        <v>52143000</v>
      </c>
      <c r="L32" s="2">
        <v>46556000</v>
      </c>
      <c r="M32" s="2">
        <v>42061000</v>
      </c>
      <c r="N32" s="2">
        <v>36123000</v>
      </c>
      <c r="P32" t="s">
        <v>32</v>
      </c>
      <c r="Q32" s="2">
        <v>29038000</v>
      </c>
      <c r="R32" s="2">
        <v>27086000</v>
      </c>
      <c r="S32" s="2">
        <v>17119000</v>
      </c>
      <c r="T32" s="2">
        <v>18154000</v>
      </c>
      <c r="U32" s="2">
        <v>20557000</v>
      </c>
    </row>
    <row r="33" spans="2:21">
      <c r="B33" t="s">
        <v>33</v>
      </c>
      <c r="C33" s="23">
        <f>C32-C30</f>
        <v>28437439</v>
      </c>
      <c r="D33" s="23">
        <f>D32-D30</f>
        <v>20808991</v>
      </c>
      <c r="E33" s="23">
        <f>E32-E30</f>
        <v>19920154</v>
      </c>
      <c r="F33" s="23">
        <f>F32-F30</f>
        <v>18598636</v>
      </c>
      <c r="G33" s="23">
        <f>G32-G30</f>
        <v>16871336</v>
      </c>
      <c r="H33" s="15"/>
      <c r="I33" t="s">
        <v>33</v>
      </c>
      <c r="J33" s="2">
        <v>43323000</v>
      </c>
      <c r="K33" s="2">
        <v>44860000</v>
      </c>
      <c r="L33" s="2">
        <v>42211000</v>
      </c>
      <c r="M33" s="2">
        <v>38516000</v>
      </c>
      <c r="N33" s="2">
        <v>32492000</v>
      </c>
      <c r="P33" t="s">
        <v>33</v>
      </c>
      <c r="Q33" s="2">
        <v>7327000</v>
      </c>
      <c r="R33" s="2">
        <v>9110000</v>
      </c>
      <c r="S33" s="2">
        <v>9454000</v>
      </c>
      <c r="T33" s="2">
        <v>9269000</v>
      </c>
      <c r="U33" s="2">
        <v>12175000</v>
      </c>
    </row>
    <row r="34" spans="2:21">
      <c r="B34" t="s">
        <v>2</v>
      </c>
      <c r="C34" s="23">
        <v>19435946</v>
      </c>
      <c r="D34" s="23">
        <v>13190361</v>
      </c>
      <c r="E34" s="23">
        <v>9575235</v>
      </c>
      <c r="F34" s="23">
        <v>8374409</v>
      </c>
      <c r="G34" s="23">
        <v>6587649</v>
      </c>
      <c r="I34" t="s">
        <v>2</v>
      </c>
      <c r="J34" s="2">
        <v>15061000</v>
      </c>
      <c r="K34" s="2">
        <v>16733000</v>
      </c>
      <c r="L34" s="2">
        <v>15716000</v>
      </c>
      <c r="M34" s="2">
        <v>15123000</v>
      </c>
      <c r="N34" s="2">
        <v>11826000</v>
      </c>
      <c r="P34" t="s">
        <v>2</v>
      </c>
      <c r="Q34" s="2">
        <v>6047000</v>
      </c>
      <c r="R34" s="2">
        <v>6360000</v>
      </c>
      <c r="S34" s="2">
        <v>8072000</v>
      </c>
      <c r="T34" s="2">
        <v>7474000</v>
      </c>
      <c r="U34" s="2">
        <v>8227000</v>
      </c>
    </row>
    <row r="35" spans="2:21">
      <c r="B35" t="s">
        <v>31</v>
      </c>
      <c r="C35" s="23">
        <f>C34+C30</f>
        <v>28333922</v>
      </c>
      <c r="D35" s="23">
        <f>D34+D30</f>
        <v>23057038</v>
      </c>
      <c r="E35" s="23">
        <f>E34+E30</f>
        <v>13853830</v>
      </c>
      <c r="F35" s="23">
        <f>F34+F30</f>
        <v>11792302</v>
      </c>
      <c r="G35" s="23">
        <f>G34+G30</f>
        <v>10808655</v>
      </c>
      <c r="I35" t="s">
        <v>31</v>
      </c>
      <c r="J35" s="2">
        <f>J34+J30</f>
        <v>27298000</v>
      </c>
      <c r="K35" s="2">
        <f>K34+K30</f>
        <v>24016000</v>
      </c>
      <c r="L35" s="2">
        <f>L34+L30</f>
        <v>20061000</v>
      </c>
      <c r="M35" s="2">
        <f>M34+M30</f>
        <v>18668000</v>
      </c>
      <c r="N35" s="2">
        <f>N34+N30</f>
        <v>15457000</v>
      </c>
      <c r="P35" t="s">
        <v>31</v>
      </c>
      <c r="Q35" s="2">
        <f>Q34+Q30</f>
        <v>27758000</v>
      </c>
      <c r="R35" s="2">
        <f>R34+R30</f>
        <v>24336000</v>
      </c>
      <c r="S35" s="2">
        <f>S34+S30</f>
        <v>15737000</v>
      </c>
      <c r="T35" s="2">
        <f>T34+T30</f>
        <v>16359000</v>
      </c>
      <c r="U35" s="2">
        <f>U34+U30</f>
        <v>16609000</v>
      </c>
    </row>
    <row r="39" spans="2:21">
      <c r="B39" t="s">
        <v>22</v>
      </c>
      <c r="C39" s="7">
        <v>2022</v>
      </c>
      <c r="D39" s="6">
        <v>2021</v>
      </c>
      <c r="E39" s="6">
        <v>2020</v>
      </c>
      <c r="F39" s="6">
        <v>2019</v>
      </c>
      <c r="G39" s="6">
        <v>2018</v>
      </c>
      <c r="I39" t="s">
        <v>45</v>
      </c>
      <c r="J39" s="12">
        <v>2022</v>
      </c>
      <c r="K39" s="12">
        <v>2021</v>
      </c>
      <c r="L39" s="12">
        <v>2020</v>
      </c>
      <c r="M39" s="12">
        <v>2019</v>
      </c>
      <c r="N39" s="12">
        <v>2018</v>
      </c>
    </row>
    <row r="40" spans="2:21">
      <c r="B40" s="6" t="s">
        <v>0</v>
      </c>
      <c r="C40" s="8">
        <f>C5</f>
        <v>6.5660570710659529</v>
      </c>
      <c r="D40" s="8">
        <f>D5</f>
        <v>10.381124680999143</v>
      </c>
      <c r="E40" s="8">
        <f t="shared" ref="E40:G40" si="15">E5</f>
        <v>15.853840897845705</v>
      </c>
      <c r="F40" s="8">
        <f t="shared" si="15"/>
        <v>16.184764783004283</v>
      </c>
      <c r="G40" s="8">
        <f t="shared" si="15"/>
        <v>10.683402289673104</v>
      </c>
      <c r="I40" s="6" t="s">
        <v>0</v>
      </c>
      <c r="J40" s="20">
        <f>C23</f>
        <v>16089519</v>
      </c>
      <c r="K40" s="20">
        <f>D23</f>
        <v>9043471</v>
      </c>
      <c r="L40" s="20">
        <f>E23</f>
        <v>6366350</v>
      </c>
      <c r="M40" s="20">
        <f>F23</f>
        <v>8239817</v>
      </c>
      <c r="N40" s="20">
        <f>G23</f>
        <v>9278093</v>
      </c>
    </row>
    <row r="41" spans="2:21">
      <c r="B41" s="12" t="s">
        <v>53</v>
      </c>
      <c r="C41" s="8">
        <v>8.2116788321167888</v>
      </c>
      <c r="D41" s="8">
        <v>-0.25229357798165142</v>
      </c>
      <c r="E41" s="8">
        <v>8.6698043101312852</v>
      </c>
      <c r="F41" s="8">
        <v>-3.4997552618697991</v>
      </c>
      <c r="G41" s="8">
        <v>-4.1488949205118262</v>
      </c>
      <c r="I41" s="12" t="s">
        <v>51</v>
      </c>
      <c r="J41" s="20">
        <f>J23</f>
        <v>13700000</v>
      </c>
      <c r="K41" s="20">
        <f>K23</f>
        <v>8720000</v>
      </c>
      <c r="L41" s="20">
        <f>L23</f>
        <v>8074000</v>
      </c>
      <c r="M41" s="20">
        <f>M23</f>
        <v>8172000</v>
      </c>
      <c r="N41" s="20">
        <f>N23</f>
        <v>7737000</v>
      </c>
    </row>
    <row r="42" spans="2:21">
      <c r="B42" s="12" t="s">
        <v>54</v>
      </c>
      <c r="C42" s="8">
        <v>-1.0109093972452718</v>
      </c>
      <c r="D42" s="8">
        <v>6.470428648941942</v>
      </c>
      <c r="E42" s="8">
        <v>-2.9553432933300678</v>
      </c>
      <c r="F42" s="8">
        <v>-3.7443768192643558</v>
      </c>
      <c r="G42" s="8">
        <v>3.3247995688203194</v>
      </c>
      <c r="I42" s="12" t="s">
        <v>54</v>
      </c>
      <c r="J42" s="20">
        <v>23741000</v>
      </c>
      <c r="K42" s="20">
        <v>14744000</v>
      </c>
      <c r="L42" s="20">
        <v>12249000</v>
      </c>
      <c r="M42" s="20">
        <v>22674000</v>
      </c>
      <c r="N42" s="20">
        <v>29686000</v>
      </c>
    </row>
    <row r="44" spans="2:21">
      <c r="B44" t="s">
        <v>41</v>
      </c>
      <c r="C44" s="7">
        <v>2022</v>
      </c>
      <c r="D44" s="6">
        <v>2021</v>
      </c>
      <c r="E44" s="6">
        <v>2020</v>
      </c>
      <c r="F44" s="6">
        <v>2019</v>
      </c>
      <c r="G44" s="6">
        <v>2018</v>
      </c>
      <c r="I44" t="s">
        <v>4</v>
      </c>
      <c r="J44" s="12">
        <v>2022</v>
      </c>
      <c r="K44" s="12">
        <v>2021</v>
      </c>
      <c r="L44" s="12">
        <v>2020</v>
      </c>
      <c r="M44" s="12">
        <v>2019</v>
      </c>
      <c r="N44" s="12">
        <v>2018</v>
      </c>
    </row>
    <row r="45" spans="2:21">
      <c r="B45" s="6" t="s">
        <v>0</v>
      </c>
      <c r="C45" s="10">
        <f>C8</f>
        <v>2.1966000000000001</v>
      </c>
      <c r="D45" s="8">
        <f>D8</f>
        <v>2.0215999999999998</v>
      </c>
      <c r="E45" s="10">
        <f>E8</f>
        <v>0.87829999999999997</v>
      </c>
      <c r="F45" s="10">
        <f>F8</f>
        <v>0.95400000000000007</v>
      </c>
      <c r="G45" s="10">
        <f>G8</f>
        <v>0.82799999999999996</v>
      </c>
      <c r="I45" s="6" t="s">
        <v>0</v>
      </c>
      <c r="J45" s="20">
        <f>C25</f>
        <v>4541809</v>
      </c>
      <c r="K45" s="20">
        <f>D25</f>
        <v>3018045</v>
      </c>
      <c r="L45" s="20">
        <f>E25</f>
        <v>3194615</v>
      </c>
      <c r="M45" s="20">
        <f>F25</f>
        <v>3349741</v>
      </c>
      <c r="N45" s="20">
        <f>G25</f>
        <v>2751579</v>
      </c>
    </row>
    <row r="46" spans="2:21">
      <c r="B46" s="12" t="s">
        <v>51</v>
      </c>
      <c r="C46" s="13">
        <f>70.02/100</f>
        <v>0.70019999999999993</v>
      </c>
      <c r="D46" s="8">
        <f>K8</f>
        <v>0.66349999999999998</v>
      </c>
      <c r="E46" s="13">
        <f>60.09/100</f>
        <v>0.60089999999999999</v>
      </c>
      <c r="F46" s="13">
        <f>64.72/100</f>
        <v>0.6472</v>
      </c>
      <c r="G46" s="13">
        <f>59.06/100</f>
        <v>0.59060000000000001</v>
      </c>
      <c r="I46" s="12" t="s">
        <v>51</v>
      </c>
      <c r="J46">
        <v>2967000</v>
      </c>
      <c r="K46">
        <v>2015000</v>
      </c>
      <c r="L46">
        <v>2816000</v>
      </c>
      <c r="M46">
        <v>2628000</v>
      </c>
      <c r="N46">
        <v>2609000</v>
      </c>
    </row>
    <row r="47" spans="2:21">
      <c r="B47" s="12" t="s">
        <v>52</v>
      </c>
      <c r="C47" s="8">
        <f>551.25/100</f>
        <v>5.5125000000000002</v>
      </c>
      <c r="D47" s="8">
        <f>R8</f>
        <v>2.7505000000000002</v>
      </c>
      <c r="E47" s="8">
        <f>641.03/100</f>
        <v>6.4102999999999994</v>
      </c>
      <c r="F47" s="8">
        <f>459.5/100</f>
        <v>4.5949999999999998</v>
      </c>
      <c r="G47" s="8">
        <f>213.42/100</f>
        <v>2.1341999999999999</v>
      </c>
      <c r="I47" s="12" t="s">
        <v>54</v>
      </c>
      <c r="J47">
        <v>2045000</v>
      </c>
      <c r="K47">
        <v>1629000</v>
      </c>
      <c r="L47">
        <v>3119000</v>
      </c>
      <c r="M47">
        <v>3206000</v>
      </c>
      <c r="N47">
        <v>4053000</v>
      </c>
    </row>
    <row r="50" spans="2:29">
      <c r="B50" t="s">
        <v>8</v>
      </c>
      <c r="C50" s="7">
        <v>2022</v>
      </c>
      <c r="D50" s="6">
        <v>2021</v>
      </c>
      <c r="E50" s="6">
        <v>2020</v>
      </c>
      <c r="F50" s="6">
        <v>2019</v>
      </c>
      <c r="G50" s="6">
        <v>2018</v>
      </c>
      <c r="I50" t="s">
        <v>44</v>
      </c>
      <c r="J50" s="12">
        <v>2022</v>
      </c>
      <c r="K50" s="12">
        <v>2021</v>
      </c>
      <c r="L50" s="12">
        <v>2020</v>
      </c>
      <c r="M50" s="12">
        <v>2019</v>
      </c>
      <c r="N50" s="12">
        <v>2018</v>
      </c>
      <c r="Q50" t="s">
        <v>58</v>
      </c>
      <c r="R50" s="7" t="s">
        <v>59</v>
      </c>
      <c r="S50" s="6" t="s">
        <v>60</v>
      </c>
      <c r="T50" s="6" t="s">
        <v>61</v>
      </c>
      <c r="U50" s="6" t="s">
        <v>62</v>
      </c>
      <c r="V50" s="6" t="s">
        <v>63</v>
      </c>
    </row>
    <row r="51" spans="2:29">
      <c r="B51" s="6" t="s">
        <v>0</v>
      </c>
      <c r="C51" s="10">
        <f>C10</f>
        <v>1.5056899456685431</v>
      </c>
      <c r="D51" s="10">
        <f>D10</f>
        <v>0.99840169086309405</v>
      </c>
      <c r="E51" s="10">
        <f>E10</f>
        <v>1.8266056964961628</v>
      </c>
      <c r="F51" s="10">
        <f>F10</f>
        <v>2.0023046362188635</v>
      </c>
      <c r="G51" s="10">
        <f>G10</f>
        <v>1.9044535828662645</v>
      </c>
      <c r="I51" s="6" t="s">
        <v>0</v>
      </c>
      <c r="J51" s="21">
        <f>C24</f>
        <v>1056447</v>
      </c>
      <c r="K51" s="21">
        <f>D2</f>
        <v>0</v>
      </c>
      <c r="L51" s="21">
        <f>E24</f>
        <v>1009311</v>
      </c>
      <c r="M51" s="21">
        <f>F24</f>
        <v>1333595</v>
      </c>
      <c r="N51" s="21">
        <f>G24</f>
        <v>991216</v>
      </c>
      <c r="Q51" s="6" t="s">
        <v>48</v>
      </c>
      <c r="R51" s="10">
        <f t="shared" ref="R51:V52" si="16">C10</f>
        <v>1.5056899456685431</v>
      </c>
      <c r="S51" s="10">
        <f t="shared" si="16"/>
        <v>0.99840169086309405</v>
      </c>
      <c r="T51" s="10">
        <f t="shared" si="16"/>
        <v>1.8266056964961628</v>
      </c>
      <c r="U51" s="10">
        <f t="shared" si="16"/>
        <v>2.0023046362188635</v>
      </c>
      <c r="V51" s="10">
        <f t="shared" si="16"/>
        <v>1.9044535828662645</v>
      </c>
    </row>
    <row r="52" spans="2:29">
      <c r="B52" s="12" t="s">
        <v>51</v>
      </c>
      <c r="C52" s="13">
        <v>0.81654000163438756</v>
      </c>
      <c r="D52" s="13">
        <v>1.1922284772758478</v>
      </c>
      <c r="E52" s="13">
        <v>1.6754890678941312</v>
      </c>
      <c r="F52" s="13">
        <v>1.677574047954866</v>
      </c>
      <c r="G52" s="13">
        <v>1.5709171027265216</v>
      </c>
      <c r="I52" s="12" t="s">
        <v>51</v>
      </c>
      <c r="J52" s="20">
        <v>1125000</v>
      </c>
      <c r="K52" s="20">
        <v>-22000</v>
      </c>
      <c r="L52" s="20">
        <v>700000</v>
      </c>
      <c r="M52" s="20">
        <v>-286000</v>
      </c>
      <c r="N52" s="20">
        <v>-321000</v>
      </c>
      <c r="Q52" s="6" t="s">
        <v>49</v>
      </c>
      <c r="R52" s="8">
        <f t="shared" si="16"/>
        <v>1.3173184553431028</v>
      </c>
      <c r="S52" s="8">
        <f t="shared" si="16"/>
        <v>0.81444897811086747</v>
      </c>
      <c r="T52" s="8">
        <f t="shared" si="16"/>
        <v>1.4028521044875712</v>
      </c>
      <c r="U52" s="8">
        <f t="shared" si="16"/>
        <v>1.5336673792889362</v>
      </c>
      <c r="V52" s="8">
        <f t="shared" si="16"/>
        <v>1.5053525154903831</v>
      </c>
    </row>
    <row r="53" spans="2:29">
      <c r="B53" s="12" t="s">
        <v>52</v>
      </c>
      <c r="C53" s="8">
        <v>0.95288102805029706</v>
      </c>
      <c r="D53" s="8">
        <v>1.1061971517578995</v>
      </c>
      <c r="E53" s="8">
        <v>1.358382257012394</v>
      </c>
      <c r="F53" s="8">
        <v>0.93359594822734948</v>
      </c>
      <c r="G53" s="8">
        <v>1.0338821283703175</v>
      </c>
      <c r="I53" s="12" t="s">
        <v>52</v>
      </c>
      <c r="J53" s="20">
        <v>-240000</v>
      </c>
      <c r="K53" s="20">
        <v>954000</v>
      </c>
      <c r="L53" s="20">
        <v>-362000</v>
      </c>
      <c r="M53" s="20">
        <v>-849000</v>
      </c>
      <c r="N53" s="20">
        <v>987000</v>
      </c>
      <c r="Q53" s="12" t="s">
        <v>50</v>
      </c>
      <c r="R53" s="13">
        <v>0.81654000163438756</v>
      </c>
      <c r="S53" s="13">
        <v>1.1922284772758478</v>
      </c>
      <c r="T53" s="13">
        <v>1.6754890678941312</v>
      </c>
      <c r="U53" s="13">
        <v>1.677574047954866</v>
      </c>
      <c r="V53" s="13">
        <v>1.5709171027265216</v>
      </c>
    </row>
    <row r="54" spans="2:29">
      <c r="Q54" s="12" t="s">
        <v>55</v>
      </c>
      <c r="R54" s="8">
        <v>0.67851597613794234</v>
      </c>
      <c r="S54" s="8">
        <v>0.90470959769325832</v>
      </c>
      <c r="T54" s="8">
        <v>1.1205983889528193</v>
      </c>
      <c r="U54" s="8">
        <v>1.0016925246826516</v>
      </c>
      <c r="V54" s="8">
        <v>0.91214541448636743</v>
      </c>
    </row>
    <row r="55" spans="2:29">
      <c r="B55" t="s">
        <v>29</v>
      </c>
      <c r="C55" s="7">
        <v>2022</v>
      </c>
      <c r="D55" s="6">
        <v>2021</v>
      </c>
      <c r="E55" s="6">
        <v>2020</v>
      </c>
      <c r="F55" s="6">
        <v>2019</v>
      </c>
      <c r="G55" s="6">
        <v>2018</v>
      </c>
      <c r="I55" s="15" t="s">
        <v>6</v>
      </c>
      <c r="J55" s="12">
        <v>2022</v>
      </c>
      <c r="K55" s="12">
        <v>2021</v>
      </c>
      <c r="L55" s="12">
        <v>2020</v>
      </c>
      <c r="M55" s="12">
        <v>2019</v>
      </c>
      <c r="N55" s="12">
        <v>2018</v>
      </c>
      <c r="Q55" s="12" t="s">
        <v>57</v>
      </c>
      <c r="R55" s="8">
        <v>0.95288102805029706</v>
      </c>
      <c r="S55" s="8">
        <v>1.1061971517578995</v>
      </c>
      <c r="T55" s="8">
        <v>1.358382257012394</v>
      </c>
      <c r="U55" s="8">
        <v>0.93359594822734948</v>
      </c>
      <c r="V55" s="8">
        <v>1.0338821283703175</v>
      </c>
    </row>
    <row r="56" spans="2:29">
      <c r="B56" s="6" t="s">
        <v>0</v>
      </c>
      <c r="C56" s="8">
        <f>C11</f>
        <v>1.3173184553431028</v>
      </c>
      <c r="D56" s="8">
        <f>D11</f>
        <v>0.81444897811086747</v>
      </c>
      <c r="E56" s="8">
        <f>E11</f>
        <v>1.4028521044875712</v>
      </c>
      <c r="F56" s="8">
        <f>F11</f>
        <v>1.5336673792889362</v>
      </c>
      <c r="G56" s="8">
        <f>G11</f>
        <v>1.5053525154903831</v>
      </c>
      <c r="I56" s="6" t="s">
        <v>0</v>
      </c>
      <c r="J56" s="20">
        <f>C26</f>
        <v>2092809</v>
      </c>
      <c r="K56" s="20">
        <f>D26</f>
        <v>1506300</v>
      </c>
      <c r="L56" s="20">
        <f>E26</f>
        <v>2127734</v>
      </c>
      <c r="M56" s="20">
        <f>F26</f>
        <v>1179710</v>
      </c>
      <c r="N56" s="20">
        <f>G26</f>
        <v>2642236</v>
      </c>
      <c r="Q56" s="12" t="s">
        <v>56</v>
      </c>
      <c r="R56" s="8">
        <v>0.89443139422412599</v>
      </c>
      <c r="S56" s="8">
        <v>1.0703716065865598</v>
      </c>
      <c r="T56" s="8">
        <v>1.3161121983039792</v>
      </c>
      <c r="U56" s="8">
        <v>0.88508722566122677</v>
      </c>
      <c r="V56" s="8">
        <v>0.97912192794082553</v>
      </c>
    </row>
    <row r="57" spans="2:29">
      <c r="B57" s="12" t="s">
        <v>53</v>
      </c>
      <c r="C57" s="8">
        <v>0.67851597613794234</v>
      </c>
      <c r="D57" s="8">
        <v>0.90470959769325832</v>
      </c>
      <c r="E57" s="8">
        <v>1.1205983889528193</v>
      </c>
      <c r="F57" s="8">
        <v>1.0016925246826516</v>
      </c>
      <c r="G57" s="8">
        <v>0.91214541448636743</v>
      </c>
      <c r="I57" s="12" t="s">
        <v>53</v>
      </c>
      <c r="J57">
        <v>-77000</v>
      </c>
      <c r="K57">
        <v>-1798000</v>
      </c>
      <c r="L57">
        <v>-930000</v>
      </c>
      <c r="M57">
        <v>-384000</v>
      </c>
      <c r="N57">
        <v>-459000</v>
      </c>
    </row>
    <row r="58" spans="2:29">
      <c r="B58" s="12" t="s">
        <v>52</v>
      </c>
      <c r="C58" s="8">
        <v>0.89443139422412599</v>
      </c>
      <c r="D58" s="8">
        <v>1.0703716065865598</v>
      </c>
      <c r="E58" s="8">
        <v>1.3161121983039792</v>
      </c>
      <c r="F58" s="8">
        <v>0.88508722566122677</v>
      </c>
      <c r="G58" s="8">
        <v>0.97912192794082553</v>
      </c>
      <c r="I58" s="12" t="s">
        <v>52</v>
      </c>
      <c r="J58">
        <v>-383000</v>
      </c>
      <c r="K58">
        <v>767000</v>
      </c>
      <c r="L58">
        <v>-577000</v>
      </c>
      <c r="M58">
        <v>-1104000</v>
      </c>
      <c r="N58">
        <v>575000</v>
      </c>
      <c r="X58" s="12"/>
      <c r="Y58" s="8"/>
      <c r="Z58" s="8"/>
      <c r="AA58" s="8"/>
      <c r="AB58" s="8"/>
      <c r="AC58" s="8"/>
    </row>
    <row r="59" spans="2:29">
      <c r="R59" s="7"/>
      <c r="S59" s="6"/>
      <c r="T59" s="6"/>
      <c r="U59" s="6"/>
      <c r="V59" s="6"/>
    </row>
    <row r="60" spans="2:29">
      <c r="B60" t="s">
        <v>16</v>
      </c>
      <c r="C60" s="7">
        <v>2022</v>
      </c>
      <c r="D60" s="6">
        <v>2021</v>
      </c>
      <c r="E60" s="6">
        <v>2020</v>
      </c>
      <c r="F60" s="6">
        <v>2019</v>
      </c>
      <c r="G60" s="6">
        <v>2018</v>
      </c>
      <c r="I60" t="s">
        <v>32</v>
      </c>
      <c r="J60" s="12">
        <v>2022</v>
      </c>
      <c r="K60" s="12">
        <v>2021</v>
      </c>
      <c r="L60" s="12">
        <v>2020</v>
      </c>
      <c r="M60" s="12">
        <v>2019</v>
      </c>
      <c r="N60" s="12">
        <v>2018</v>
      </c>
    </row>
    <row r="61" spans="2:29">
      <c r="B61" s="6" t="s">
        <v>0</v>
      </c>
      <c r="C61" s="8">
        <f>C12</f>
        <v>7.3593441378458868</v>
      </c>
      <c r="D61" s="8">
        <f>D12</f>
        <v>7.2386979262954174</v>
      </c>
      <c r="E61" s="8">
        <f>E12</f>
        <v>10.681313005913509</v>
      </c>
      <c r="F61" s="8">
        <f>F12</f>
        <v>6.3429920344696242</v>
      </c>
      <c r="G61" s="8">
        <f>G12</f>
        <v>15.661095244620817</v>
      </c>
      <c r="I61" s="6" t="s">
        <v>0</v>
      </c>
      <c r="J61" s="20">
        <f>C32</f>
        <v>37335415</v>
      </c>
      <c r="K61" s="20">
        <f>D32</f>
        <v>30675668</v>
      </c>
      <c r="L61" s="20">
        <f>E32</f>
        <v>24198749</v>
      </c>
      <c r="M61" s="20">
        <f>F32</f>
        <v>22016529</v>
      </c>
      <c r="N61" s="20">
        <f>G32</f>
        <v>21092342</v>
      </c>
    </row>
    <row r="62" spans="2:29">
      <c r="B62" s="12" t="s">
        <v>51</v>
      </c>
      <c r="C62" s="8">
        <f>J12</f>
        <v>-0.17773469058006139</v>
      </c>
      <c r="D62" s="8">
        <f>K12</f>
        <v>-4.0080249665626395</v>
      </c>
      <c r="E62" s="8">
        <v>-2.2032171708796287</v>
      </c>
      <c r="F62" s="8">
        <v>-0.99698826461730194</v>
      </c>
      <c r="G62" s="8">
        <v>-1.4126554228733226</v>
      </c>
      <c r="I62" s="12" t="s">
        <v>51</v>
      </c>
      <c r="J62">
        <v>55560000</v>
      </c>
      <c r="K62">
        <v>52143000</v>
      </c>
      <c r="L62">
        <v>46556000</v>
      </c>
      <c r="M62">
        <v>42061000</v>
      </c>
      <c r="N62">
        <v>36123000</v>
      </c>
      <c r="Q62" s="2"/>
    </row>
    <row r="63" spans="2:29">
      <c r="B63" s="12" t="s">
        <v>54</v>
      </c>
      <c r="C63" s="8">
        <f>Q12</f>
        <v>-5.2272417087484646</v>
      </c>
      <c r="D63" s="8">
        <f>R12</f>
        <v>8.4193194291986817</v>
      </c>
      <c r="E63" s="8">
        <v>-6.1032367251956838</v>
      </c>
      <c r="F63" s="8">
        <v>-11.910669975186105</v>
      </c>
      <c r="G63" s="8">
        <v>4.7227926078028748</v>
      </c>
      <c r="I63" s="12" t="s">
        <v>54</v>
      </c>
      <c r="J63">
        <v>29038000</v>
      </c>
      <c r="K63">
        <v>27086000</v>
      </c>
      <c r="L63">
        <v>17119000</v>
      </c>
      <c r="M63">
        <v>18154000</v>
      </c>
      <c r="N63">
        <v>20557000</v>
      </c>
    </row>
    <row r="64" spans="2:29">
      <c r="Q64" s="2"/>
    </row>
    <row r="65" spans="2:17">
      <c r="B65" t="s">
        <v>13</v>
      </c>
      <c r="C65" s="7">
        <v>2022</v>
      </c>
      <c r="D65" s="6">
        <v>2021</v>
      </c>
      <c r="E65" s="6">
        <v>2020</v>
      </c>
      <c r="F65" s="6">
        <v>2019</v>
      </c>
      <c r="G65" s="6">
        <v>2018</v>
      </c>
      <c r="I65" t="s">
        <v>31</v>
      </c>
      <c r="J65" s="12">
        <v>2022</v>
      </c>
      <c r="K65" s="12">
        <v>2021</v>
      </c>
      <c r="L65" s="12">
        <v>2020</v>
      </c>
      <c r="M65" s="12">
        <v>2019</v>
      </c>
      <c r="N65" s="12">
        <v>2018</v>
      </c>
    </row>
    <row r="66" spans="2:17">
      <c r="B66" s="6" t="s">
        <v>0</v>
      </c>
      <c r="C66" s="8">
        <f>C13</f>
        <v>23.249576486922781</v>
      </c>
      <c r="D66" s="8">
        <f>D13</f>
        <v>19.771273807925287</v>
      </c>
      <c r="E66" s="8">
        <f>E13</f>
        <v>20.567913581536985</v>
      </c>
      <c r="F66" s="8">
        <f>F13</f>
        <v>11.538378402592196</v>
      </c>
      <c r="G66" s="8">
        <f>G13</f>
        <v>25.693469667056185</v>
      </c>
      <c r="I66" s="6" t="s">
        <v>0</v>
      </c>
      <c r="J66" s="20">
        <f>C35</f>
        <v>28333922</v>
      </c>
      <c r="K66" s="20">
        <f>D35</f>
        <v>23057038</v>
      </c>
      <c r="L66" s="20">
        <f>E35</f>
        <v>13853830</v>
      </c>
      <c r="M66" s="20">
        <f>F35</f>
        <v>11792302</v>
      </c>
      <c r="N66" s="20">
        <f>G35</f>
        <v>10808655</v>
      </c>
      <c r="Q66" s="2"/>
    </row>
    <row r="67" spans="2:17">
      <c r="B67" s="12" t="s">
        <v>51</v>
      </c>
      <c r="C67" s="8">
        <v>-0.27245064043592104</v>
      </c>
      <c r="D67" s="8">
        <v>-6.3924343157819887</v>
      </c>
      <c r="E67" s="8">
        <v>-3.5100962445744481</v>
      </c>
      <c r="F67" s="8">
        <v>-1.6415166930278287</v>
      </c>
      <c r="G67" s="8">
        <v>-2.2210393883673669</v>
      </c>
      <c r="I67" s="12" t="s">
        <v>51</v>
      </c>
      <c r="J67">
        <v>27298000</v>
      </c>
      <c r="K67">
        <v>24016000</v>
      </c>
      <c r="L67">
        <v>20061000</v>
      </c>
      <c r="M67">
        <v>18668000</v>
      </c>
      <c r="N67">
        <v>15457000</v>
      </c>
    </row>
    <row r="68" spans="2:17">
      <c r="B68" s="12" t="s">
        <v>52</v>
      </c>
      <c r="C68" s="19">
        <v>-29.921874999999996</v>
      </c>
      <c r="D68" s="8">
        <v>27.890909090909087</v>
      </c>
      <c r="E68" s="8">
        <v>-41.751085383502172</v>
      </c>
      <c r="F68" s="8">
        <v>-61.504178272980504</v>
      </c>
      <c r="G68" s="8">
        <v>14.564336372847011</v>
      </c>
      <c r="I68" s="12" t="s">
        <v>52</v>
      </c>
      <c r="J68">
        <v>27758000</v>
      </c>
      <c r="K68">
        <v>24336000</v>
      </c>
      <c r="L68">
        <v>15737000</v>
      </c>
      <c r="M68">
        <v>16359000</v>
      </c>
      <c r="N68">
        <v>16609000</v>
      </c>
    </row>
    <row r="70" spans="2:17">
      <c r="B70" t="s">
        <v>23</v>
      </c>
      <c r="C70" s="12">
        <v>2022</v>
      </c>
      <c r="D70" s="12">
        <v>2021</v>
      </c>
      <c r="E70" s="12">
        <v>2020</v>
      </c>
      <c r="F70" s="12">
        <v>2019</v>
      </c>
      <c r="G70" s="12">
        <v>2018</v>
      </c>
      <c r="I70" t="s">
        <v>34</v>
      </c>
      <c r="J70" s="12">
        <v>2022</v>
      </c>
      <c r="K70" s="12">
        <v>2021</v>
      </c>
      <c r="L70" s="12">
        <v>2020</v>
      </c>
      <c r="M70" s="12">
        <v>2019</v>
      </c>
      <c r="N70" s="12">
        <v>2018</v>
      </c>
    </row>
    <row r="71" spans="2:17">
      <c r="B71" s="6" t="s">
        <v>0</v>
      </c>
      <c r="C71" s="8">
        <f>C6</f>
        <v>13.007281323947595</v>
      </c>
      <c r="D71" s="8">
        <f>D6</f>
        <v>16.656215296095937</v>
      </c>
      <c r="E71" s="8">
        <f>E6</f>
        <v>33.421568088465129</v>
      </c>
      <c r="F71" s="8">
        <f>F6</f>
        <v>14.317186898689618</v>
      </c>
      <c r="G71" s="8">
        <f t="shared" ref="G71" si="17">G6</f>
        <v>28.47822284169818</v>
      </c>
      <c r="I71" s="6" t="s">
        <v>0</v>
      </c>
      <c r="J71" s="20">
        <f>C31</f>
        <v>9001493</v>
      </c>
      <c r="K71" s="20">
        <f>D31</f>
        <v>7618629</v>
      </c>
      <c r="L71" s="20">
        <f>E31</f>
        <v>10344919</v>
      </c>
      <c r="M71" s="20">
        <f>F31</f>
        <v>10224227</v>
      </c>
      <c r="N71" s="20">
        <f>G31</f>
        <v>10283687</v>
      </c>
    </row>
    <row r="72" spans="2:17">
      <c r="B72" s="12" t="s">
        <v>53</v>
      </c>
      <c r="C72" s="8">
        <v>-0.56204379562043794</v>
      </c>
      <c r="D72" s="8">
        <v>-20.61926605504587</v>
      </c>
      <c r="E72" s="8">
        <v>-11.518454297745851</v>
      </c>
      <c r="F72" s="8">
        <v>-4.6989720998531572</v>
      </c>
      <c r="G72" s="8">
        <v>-5.9325319891430786</v>
      </c>
      <c r="I72" s="12" t="s">
        <v>51</v>
      </c>
      <c r="J72">
        <v>28262000</v>
      </c>
      <c r="K72">
        <v>28127000</v>
      </c>
      <c r="L72">
        <v>26495000</v>
      </c>
      <c r="M72">
        <v>23393000</v>
      </c>
      <c r="N72">
        <v>20666000</v>
      </c>
    </row>
    <row r="73" spans="2:17">
      <c r="B73" s="12" t="s">
        <v>52</v>
      </c>
      <c r="C73" s="8">
        <v>-1.6132429131039132</v>
      </c>
      <c r="D73" s="8">
        <v>5.2021161150298427</v>
      </c>
      <c r="E73" s="8">
        <v>-4.7105886194791413</v>
      </c>
      <c r="F73" s="8">
        <v>-4.8690129663932256</v>
      </c>
      <c r="G73" s="8">
        <v>1.9369399717038334</v>
      </c>
      <c r="I73" s="12" t="s">
        <v>52</v>
      </c>
      <c r="J73">
        <v>1280000</v>
      </c>
      <c r="K73">
        <v>2750000</v>
      </c>
      <c r="L73">
        <v>1382000</v>
      </c>
      <c r="M73">
        <v>1795000</v>
      </c>
      <c r="N73">
        <v>3948000</v>
      </c>
    </row>
    <row r="75" spans="2:17">
      <c r="B75" t="s">
        <v>25</v>
      </c>
      <c r="C75" s="12">
        <v>2022</v>
      </c>
      <c r="D75" s="12">
        <v>2021</v>
      </c>
      <c r="E75" s="12">
        <v>2020</v>
      </c>
      <c r="F75" s="12">
        <v>2019</v>
      </c>
      <c r="G75" s="12">
        <v>2018</v>
      </c>
      <c r="I75" s="12"/>
    </row>
    <row r="76" spans="2:17">
      <c r="B76" s="6" t="s">
        <v>0</v>
      </c>
      <c r="C76">
        <f>C14</f>
        <v>55</v>
      </c>
      <c r="D76">
        <f>D14</f>
        <v>91</v>
      </c>
      <c r="E76">
        <f>E14</f>
        <v>68</v>
      </c>
      <c r="F76">
        <f>F14</f>
        <v>54</v>
      </c>
      <c r="G76">
        <f>G14</f>
        <v>61</v>
      </c>
    </row>
    <row r="77" spans="2:17">
      <c r="B77" s="12" t="s">
        <v>51</v>
      </c>
      <c r="C77">
        <v>53.12</v>
      </c>
      <c r="D77">
        <v>58.89</v>
      </c>
      <c r="E77">
        <v>53.93</v>
      </c>
      <c r="F77">
        <v>96.97</v>
      </c>
      <c r="G77">
        <v>44.72</v>
      </c>
    </row>
    <row r="78" spans="2:17">
      <c r="B78" s="12" t="s">
        <v>52</v>
      </c>
      <c r="C78">
        <v>33.93</v>
      </c>
      <c r="D78">
        <v>38.270000000000003</v>
      </c>
      <c r="E78">
        <v>41.09</v>
      </c>
      <c r="F78">
        <v>24.94</v>
      </c>
      <c r="G78">
        <v>25.53</v>
      </c>
    </row>
    <row r="80" spans="2:17">
      <c r="B80" t="s">
        <v>26</v>
      </c>
      <c r="C80" s="12">
        <v>2022</v>
      </c>
      <c r="D80" s="12">
        <v>2021</v>
      </c>
      <c r="E80" s="12">
        <v>2020</v>
      </c>
      <c r="F80" s="12">
        <v>2019</v>
      </c>
      <c r="G80" s="12">
        <v>2018</v>
      </c>
    </row>
    <row r="81" spans="2:14">
      <c r="B81" s="6" t="s">
        <v>0</v>
      </c>
      <c r="C81" s="9">
        <f>C15</f>
        <v>62.01</v>
      </c>
      <c r="D81" s="9">
        <f>D15</f>
        <v>44.23</v>
      </c>
      <c r="E81" s="9">
        <f>E15</f>
        <v>51.16</v>
      </c>
      <c r="F81" s="9">
        <f>F15</f>
        <v>71.44</v>
      </c>
      <c r="G81" s="9">
        <f>G15</f>
        <v>57.02</v>
      </c>
    </row>
    <row r="82" spans="2:14">
      <c r="B82" s="12" t="s">
        <v>51</v>
      </c>
      <c r="C82" s="9">
        <v>105.08</v>
      </c>
      <c r="D82" t="s">
        <v>30</v>
      </c>
      <c r="E82">
        <v>74.41</v>
      </c>
      <c r="F82">
        <v>68.069999999999993</v>
      </c>
      <c r="G82">
        <v>67.650000000000006</v>
      </c>
    </row>
    <row r="83" spans="2:14">
      <c r="B83" s="12" t="s">
        <v>52</v>
      </c>
      <c r="C83">
        <v>8.6199999999999992</v>
      </c>
      <c r="D83">
        <v>13.42</v>
      </c>
      <c r="E83">
        <v>13.11</v>
      </c>
      <c r="F83">
        <v>9.19</v>
      </c>
      <c r="G83">
        <v>7.11</v>
      </c>
    </row>
    <row r="85" spans="2:14">
      <c r="B85" t="s">
        <v>42</v>
      </c>
      <c r="C85" s="12">
        <v>2022</v>
      </c>
      <c r="D85" s="12">
        <v>2021</v>
      </c>
      <c r="E85" s="12">
        <v>2020</v>
      </c>
      <c r="F85" s="12">
        <v>2019</v>
      </c>
      <c r="G85" s="12">
        <v>2018</v>
      </c>
      <c r="I85" t="s">
        <v>39</v>
      </c>
      <c r="J85" t="s">
        <v>59</v>
      </c>
      <c r="K85" t="s">
        <v>60</v>
      </c>
      <c r="L85" t="s">
        <v>61</v>
      </c>
      <c r="M85" t="s">
        <v>62</v>
      </c>
      <c r="N85" t="s">
        <v>63</v>
      </c>
    </row>
    <row r="86" spans="2:14">
      <c r="B86" s="6" t="s">
        <v>0</v>
      </c>
      <c r="C86" s="8">
        <f>C16</f>
        <v>0.67213796643654544</v>
      </c>
      <c r="D86" s="8">
        <f>D16</f>
        <v>0.43426529600987979</v>
      </c>
      <c r="E86" s="8">
        <f>E16</f>
        <v>0.38858437753285435</v>
      </c>
      <c r="F86" s="8">
        <f>F16</f>
        <v>0.54306266199147879</v>
      </c>
      <c r="G86" s="8">
        <f>G16</f>
        <v>0.71076716426508735</v>
      </c>
      <c r="H86" s="2"/>
      <c r="I86" t="s">
        <v>0</v>
      </c>
      <c r="J86" s="8">
        <f>C8</f>
        <v>2.1966000000000001</v>
      </c>
      <c r="K86" s="8">
        <f>D8</f>
        <v>2.0215999999999998</v>
      </c>
      <c r="L86" s="8">
        <f>E8</f>
        <v>0.87829999999999997</v>
      </c>
      <c r="M86" s="8">
        <f>F8</f>
        <v>0.95400000000000007</v>
      </c>
      <c r="N86" s="8">
        <f>G8</f>
        <v>0.82799999999999996</v>
      </c>
    </row>
    <row r="87" spans="2:14">
      <c r="B87" s="12" t="s">
        <v>53</v>
      </c>
      <c r="C87">
        <v>0.3</v>
      </c>
      <c r="D87">
        <v>0.2</v>
      </c>
      <c r="E87">
        <v>0.21</v>
      </c>
      <c r="F87">
        <v>0.23</v>
      </c>
      <c r="G87">
        <v>0.25</v>
      </c>
      <c r="H87" s="2"/>
      <c r="I87" t="s">
        <v>51</v>
      </c>
      <c r="J87" s="8">
        <v>0.70019999999999993</v>
      </c>
      <c r="K87" s="13">
        <f>66.35/100</f>
        <v>0.66349999999999998</v>
      </c>
      <c r="L87" s="8">
        <v>0.60089999999999999</v>
      </c>
      <c r="M87" s="8">
        <v>0.6472</v>
      </c>
      <c r="N87" s="8">
        <v>0.59060000000000001</v>
      </c>
    </row>
    <row r="88" spans="2:14">
      <c r="B88" s="12" t="s">
        <v>54</v>
      </c>
      <c r="C88">
        <v>2.84</v>
      </c>
      <c r="D88">
        <v>2.0499999999999998</v>
      </c>
      <c r="E88">
        <v>1.83</v>
      </c>
      <c r="F88">
        <v>2.2999999999999998</v>
      </c>
      <c r="G88">
        <v>2.5</v>
      </c>
      <c r="I88" t="s">
        <v>52</v>
      </c>
      <c r="J88" s="8">
        <v>5.5125000000000002</v>
      </c>
      <c r="K88" s="8">
        <f>275.05/100</f>
        <v>2.7505000000000002</v>
      </c>
      <c r="L88" s="8">
        <v>6.4102999999999994</v>
      </c>
      <c r="M88" s="8">
        <v>4.5949999999999998</v>
      </c>
      <c r="N88" s="8">
        <v>2.1341999999999999</v>
      </c>
    </row>
    <row r="90" spans="2:14">
      <c r="B90" s="22" t="s">
        <v>46</v>
      </c>
      <c r="C90" s="12">
        <v>2022</v>
      </c>
      <c r="D90" s="12">
        <v>2021</v>
      </c>
      <c r="E90" s="12">
        <v>2020</v>
      </c>
      <c r="F90" s="12">
        <v>2019</v>
      </c>
      <c r="G90" s="12">
        <v>2018</v>
      </c>
    </row>
    <row r="91" spans="2:14">
      <c r="B91" s="6" t="s">
        <v>0</v>
      </c>
      <c r="C91" s="20">
        <f>C17</f>
        <v>261000</v>
      </c>
      <c r="D91" s="20">
        <f>D17</f>
        <v>220000</v>
      </c>
      <c r="E91" s="20">
        <f>E17</f>
        <v>344000</v>
      </c>
      <c r="F91" s="20">
        <f>F17</f>
        <v>181000</v>
      </c>
      <c r="G91" s="20">
        <f>G17</f>
        <v>435000</v>
      </c>
    </row>
    <row r="92" spans="2:14">
      <c r="B92" s="12" t="s">
        <v>53</v>
      </c>
      <c r="C92">
        <v>-7058</v>
      </c>
      <c r="D92">
        <v>-156131</v>
      </c>
      <c r="E92">
        <v>-79075</v>
      </c>
      <c r="F92">
        <v>-31865</v>
      </c>
      <c r="G92">
        <v>-36571</v>
      </c>
    </row>
    <row r="93" spans="2:14">
      <c r="B93" s="12" t="s">
        <v>54</v>
      </c>
      <c r="C93">
        <v>-19194</v>
      </c>
      <c r="D93">
        <v>-22405</v>
      </c>
      <c r="E93">
        <v>-22405</v>
      </c>
      <c r="F93">
        <v>-37877</v>
      </c>
      <c r="G93">
        <v>18093</v>
      </c>
    </row>
    <row r="96" spans="2:14">
      <c r="C96" s="2"/>
      <c r="D96" s="2"/>
      <c r="E96" s="2"/>
      <c r="F96" s="2"/>
      <c r="G96" s="2"/>
      <c r="H96" s="2"/>
    </row>
    <row r="98" spans="2:9">
      <c r="B98" s="5"/>
      <c r="C98" s="5"/>
      <c r="D98" s="5"/>
      <c r="E98" s="5"/>
      <c r="F98" s="5"/>
      <c r="G98" s="5"/>
      <c r="H98" s="5"/>
    </row>
    <row r="99" spans="2:9">
      <c r="I99" t="s">
        <v>64</v>
      </c>
    </row>
    <row r="100" spans="2:9">
      <c r="C100" s="2"/>
      <c r="D100" s="5"/>
      <c r="E100" s="5"/>
      <c r="F100" s="5"/>
      <c r="G100" s="5"/>
      <c r="H100" s="5"/>
    </row>
    <row r="101" spans="2:9">
      <c r="B101" s="4"/>
      <c r="C101" s="5"/>
    </row>
    <row r="105" spans="2:9">
      <c r="B105" s="4"/>
      <c r="C105" s="5"/>
      <c r="D105" s="5"/>
      <c r="E105" s="5"/>
      <c r="F105" s="2"/>
      <c r="G105" s="5"/>
      <c r="H105" s="5"/>
    </row>
    <row r="107" spans="2:9">
      <c r="C107" s="2"/>
      <c r="D107" s="3"/>
      <c r="E107" s="3"/>
      <c r="F107" s="3"/>
      <c r="G107" s="2"/>
      <c r="H107" s="3"/>
    </row>
    <row r="135" spans="4:8">
      <c r="D135" s="2"/>
      <c r="E135" s="2"/>
      <c r="F135" s="2"/>
      <c r="G135" s="2"/>
      <c r="H135" s="2"/>
    </row>
  </sheetData>
  <pageMargins left="0.7" right="0.7" top="0.75" bottom="0.75" header="0.3" footer="0.3"/>
  <pageSetup paperSize="9" orientation="portrait" horizontalDpi="0" verticalDpi="0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Chattock</dc:creator>
  <cp:lastModifiedBy>Chattock, James</cp:lastModifiedBy>
  <dcterms:created xsi:type="dcterms:W3CDTF">2024-03-22T11:01:17Z</dcterms:created>
  <dcterms:modified xsi:type="dcterms:W3CDTF">2024-08-13T10:41:21Z</dcterms:modified>
</cp:coreProperties>
</file>