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loepham/Documents/Summer Project_Olin Corporation/"/>
    </mc:Choice>
  </mc:AlternateContent>
  <xr:revisionPtr revIDLastSave="0" documentId="13_ncr:1_{541C0495-A678-E943-A047-9924B121F30C}" xr6:coauthVersionLast="47" xr6:coauthVersionMax="47" xr10:uidLastSave="{00000000-0000-0000-0000-000000000000}"/>
  <bookViews>
    <workbookView xWindow="0" yWindow="660" windowWidth="30240" windowHeight="18980" xr2:uid="{F3EF9EAD-3777-4364-B096-BEE82A3F61D7}"/>
  </bookViews>
  <sheets>
    <sheet name="Summary" sheetId="1" r:id="rId1"/>
    <sheet name="EBITDA Bridge" sheetId="4" r:id="rId2"/>
    <sheet name="Liquidity Analysis" sheetId="3" r:id="rId3"/>
    <sheet name="Cap Tabl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6" i="1" l="1"/>
  <c r="D13" i="3"/>
  <c r="D46" i="1"/>
  <c r="D40" i="1" a="1"/>
  <c r="D40" i="1" s="1"/>
  <c r="D7" i="1" a="1"/>
  <c r="D7" i="1" s="1"/>
  <c r="K13" i="4"/>
  <c r="J13" i="4"/>
  <c r="I13" i="4"/>
  <c r="E13" i="4"/>
  <c r="F13" i="4"/>
  <c r="G13" i="4"/>
  <c r="H13" i="4"/>
  <c r="D13" i="4"/>
  <c r="D4" i="4"/>
  <c r="E4" i="4"/>
  <c r="F4" i="4"/>
  <c r="G4" i="4"/>
  <c r="H4" i="4"/>
  <c r="I8" i="4"/>
  <c r="K4" i="4"/>
  <c r="J4" i="4"/>
  <c r="I3" i="4" a="1"/>
  <c r="I3" i="4" s="1"/>
  <c r="I7" i="4" s="1"/>
  <c r="K7" i="4"/>
  <c r="J7" i="4"/>
  <c r="E7" i="4"/>
  <c r="F7" i="4"/>
  <c r="G7" i="4"/>
  <c r="H7" i="4"/>
  <c r="D7" i="4"/>
  <c r="I18" i="1"/>
  <c r="I17" i="1"/>
  <c r="D5" i="3" s="1"/>
  <c r="K14" i="1"/>
  <c r="J14" i="1"/>
  <c r="I30" i="1"/>
  <c r="D48" i="1"/>
  <c r="I23" i="1"/>
  <c r="I21" i="1"/>
  <c r="E39" i="1"/>
  <c r="F39" i="1"/>
  <c r="G39" i="1"/>
  <c r="H39" i="1"/>
  <c r="D12" i="3"/>
  <c r="D8" i="3"/>
  <c r="D6" i="3"/>
  <c r="D4" i="3"/>
  <c r="D17" i="3"/>
  <c r="I13" i="1"/>
  <c r="D7" i="3" s="1"/>
  <c r="I14" i="1"/>
  <c r="I12" i="1"/>
  <c r="F21" i="1"/>
  <c r="D21" i="1"/>
  <c r="E21" i="1"/>
  <c r="E23" i="1" s="1"/>
  <c r="H21" i="1"/>
  <c r="H23" i="1" s="1"/>
  <c r="G21" i="1"/>
  <c r="F16" i="1"/>
  <c r="G16" i="1"/>
  <c r="H16" i="1"/>
  <c r="E16" i="1"/>
  <c r="E14" i="1"/>
  <c r="D14" i="1"/>
  <c r="F9" i="1"/>
  <c r="G9" i="1"/>
  <c r="H9" i="1"/>
  <c r="I9" i="1"/>
  <c r="F5" i="1"/>
  <c r="G5" i="1"/>
  <c r="H5" i="1"/>
  <c r="E5" i="1"/>
  <c r="F23" i="1"/>
  <c r="D23" i="1"/>
  <c r="G23" i="1"/>
  <c r="G14" i="1"/>
  <c r="F14" i="1"/>
  <c r="H14" i="1"/>
  <c r="I4" i="1"/>
  <c r="I5" i="1" s="1"/>
  <c r="I36" i="1" l="1"/>
  <c r="I42" i="1"/>
  <c r="I31" i="1"/>
  <c r="I37" i="1" s="1"/>
  <c r="I35" i="1"/>
  <c r="D39" i="1"/>
  <c r="D38" i="1" a="1"/>
  <c r="D38" i="1" s="1"/>
  <c r="E9" i="1"/>
  <c r="D34" i="1" a="1"/>
  <c r="D34" i="1" s="1"/>
  <c r="D15" i="1" a="1"/>
  <c r="D15" i="1" s="1"/>
  <c r="I16" i="1"/>
  <c r="D9" i="3"/>
  <c r="I39" i="1" s="1"/>
  <c r="D8" i="1" a="1"/>
  <c r="D8" i="1" s="1"/>
  <c r="D41" i="1" a="1"/>
  <c r="D41" i="1" s="1"/>
  <c r="D16" i="3"/>
  <c r="D1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<sst xmlns="http://schemas.openxmlformats.org/spreadsheetml/2006/main" count="180" uniqueCount="96">
  <si>
    <t>EBITDA</t>
  </si>
  <si>
    <t>FCF</t>
  </si>
  <si>
    <t>CFO</t>
  </si>
  <si>
    <t>Debt Amortisation</t>
  </si>
  <si>
    <t xml:space="preserve">Revenue </t>
  </si>
  <si>
    <t>%changes</t>
  </si>
  <si>
    <t>%Margin</t>
  </si>
  <si>
    <t>1Q25 LTM</t>
  </si>
  <si>
    <t>1Q25 YTD</t>
  </si>
  <si>
    <t>1Q24 YTD</t>
  </si>
  <si>
    <t>(-) Capex</t>
  </si>
  <si>
    <t>Cash Conversion %</t>
  </si>
  <si>
    <t>%Changes</t>
  </si>
  <si>
    <t>Gross Debt</t>
  </si>
  <si>
    <t>Cash Interest</t>
  </si>
  <si>
    <t>Cash Taxes</t>
  </si>
  <si>
    <t xml:space="preserve">Capex </t>
  </si>
  <si>
    <t xml:space="preserve">FCCR </t>
  </si>
  <si>
    <t>Income Statement</t>
  </si>
  <si>
    <t>Cash Flow Statement</t>
  </si>
  <si>
    <t>Balance Sheet</t>
  </si>
  <si>
    <t>Cash</t>
  </si>
  <si>
    <t>Net Debt</t>
  </si>
  <si>
    <t>Sources of Liquidity</t>
  </si>
  <si>
    <t>FCCR Calculation</t>
  </si>
  <si>
    <t>Cash on B/S</t>
  </si>
  <si>
    <t>RCF Availabilities</t>
  </si>
  <si>
    <t>Uses of Liquidity</t>
  </si>
  <si>
    <t>Short-term Debt</t>
  </si>
  <si>
    <t>Net Liquidity</t>
  </si>
  <si>
    <t>Adjusted EBITDA</t>
  </si>
  <si>
    <t>CPLTD / Debt Amortisation</t>
  </si>
  <si>
    <t>Credit Ratios</t>
  </si>
  <si>
    <t>Gross Leverage</t>
  </si>
  <si>
    <t>Net Leverage</t>
  </si>
  <si>
    <t>Interest Coverages</t>
  </si>
  <si>
    <t>Capex/Revenue</t>
  </si>
  <si>
    <t>Current Ratio</t>
  </si>
  <si>
    <t>Current Liabilities</t>
  </si>
  <si>
    <t>Current Assets</t>
  </si>
  <si>
    <t>Fully Funded Gross Leverage</t>
  </si>
  <si>
    <t>Fully Funded Book Debt-to-Cap</t>
  </si>
  <si>
    <t>Book Value-Equity</t>
  </si>
  <si>
    <t>Capitalisation</t>
  </si>
  <si>
    <t>Fully Funded Cap</t>
  </si>
  <si>
    <t>FCCR (Fixed Charge Coverages Ratio)</t>
  </si>
  <si>
    <t>Short-Term Debt</t>
  </si>
  <si>
    <t>Company Name ($-MM)</t>
  </si>
  <si>
    <t>N/A</t>
  </si>
  <si>
    <t>Market Debt-to-Cap</t>
  </si>
  <si>
    <t>1Q25 10Q Share Outstanding</t>
  </si>
  <si>
    <t>08/01/2025 Stock Price</t>
  </si>
  <si>
    <t>Market Cap</t>
  </si>
  <si>
    <t>Net Income</t>
  </si>
  <si>
    <t>(+) Interest</t>
  </si>
  <si>
    <t>(+) D&amp;A</t>
  </si>
  <si>
    <t>(+) Tax</t>
  </si>
  <si>
    <t>Restructuring Charges (Income)</t>
  </si>
  <si>
    <t>Environmental Recoveries</t>
  </si>
  <si>
    <t>Certain Non-recurring Items</t>
  </si>
  <si>
    <t>Info Tech Intergration Project</t>
  </si>
  <si>
    <t>Goodwill Impairment</t>
  </si>
  <si>
    <t>Olin Corp</t>
  </si>
  <si>
    <t>Maturity Date</t>
  </si>
  <si>
    <t>Pricing</t>
  </si>
  <si>
    <t>Borrowing Base</t>
  </si>
  <si>
    <t>Outstanding</t>
  </si>
  <si>
    <t>Senior Notes</t>
  </si>
  <si>
    <t>Term Loan Facilities</t>
  </si>
  <si>
    <t>RCF</t>
  </si>
  <si>
    <t>Receivables Financing Agreements</t>
  </si>
  <si>
    <t>Recovery Zone Bonds</t>
  </si>
  <si>
    <t>Industrial Development Obligations</t>
  </si>
  <si>
    <t>Deferred Debt Issuance Costs</t>
  </si>
  <si>
    <t>Unamort Bond Issue Discount</t>
  </si>
  <si>
    <t>Mar-2030</t>
  </si>
  <si>
    <t>Nov-2027</t>
  </si>
  <si>
    <t>950bps</t>
  </si>
  <si>
    <t>512.5bps</t>
  </si>
  <si>
    <t>562.5bps</t>
  </si>
  <si>
    <t>500bps</t>
  </si>
  <si>
    <t>662.5bps</t>
  </si>
  <si>
    <t>642bps</t>
  </si>
  <si>
    <t>700bps</t>
  </si>
  <si>
    <t>Mar-2027</t>
  </si>
  <si>
    <t>645bps</t>
  </si>
  <si>
    <t>Security</t>
  </si>
  <si>
    <t>Categories</t>
  </si>
  <si>
    <t>Senior Secured</t>
  </si>
  <si>
    <t>ABL</t>
  </si>
  <si>
    <t>Unsecured</t>
  </si>
  <si>
    <t>Term Loan</t>
  </si>
  <si>
    <t>Revolver</t>
  </si>
  <si>
    <t>Notes</t>
  </si>
  <si>
    <t>Munis Bond</t>
  </si>
  <si>
    <t>Obligation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</si>
</sst>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_);[Red]\(&quot;$&quot;#,##0.0\)"/>
    <numFmt numFmtId="165" formatCode="0.0\x"/>
    <numFmt numFmtId="166" formatCode="0.0%"/>
  </numFmts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rgb="FF0000FF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1" fillId="3" borderId="0" xfId="0" applyFont="1" applyFill="1" applyAlignment="1">
      <alignment horizontal="left" vertical="center"/>
    </xf>
    <xf numFmtId="0" fontId="0" fillId="0" borderId="1" xfId="0" applyBorder="1" applyAlignment="1">
      <alignment vertical="center"/>
    </xf>
    <xf numFmtId="164" fontId="0" fillId="0" borderId="0" xfId="0" applyNumberFormat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4" fillId="0" borderId="1" xfId="0" applyFont="1" applyBorder="1" applyAlignment="1">
      <alignment vertical="center"/>
    </xf>
    <xf numFmtId="43" fontId="0" fillId="0" borderId="0" xfId="1" applyFont="1" applyAlignment="1">
      <alignment vertical="center"/>
    </xf>
    <xf numFmtId="44" fontId="0" fillId="0" borderId="0" xfId="2" applyFont="1" applyAlignment="1">
      <alignment vertical="center"/>
    </xf>
    <xf numFmtId="164" fontId="2" fillId="2" borderId="2" xfId="0" applyNumberFormat="1" applyFont="1" applyFill="1" applyBorder="1" applyAlignment="1">
      <alignment vertical="center"/>
    </xf>
    <xf numFmtId="165" fontId="2" fillId="2" borderId="2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3" applyNumberFormat="1" applyFont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3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5" fillId="0" borderId="0" xfId="3" applyNumberFormat="1" applyFont="1" applyAlignment="1">
      <alignment horizontal="center" vertical="center"/>
    </xf>
    <xf numFmtId="17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870857</xdr:colOff>
      <xdr:row>45</xdr:row>
      <xdr:rowOff>176893</xdr:rowOff>
    </xdr:from>
    <xdr:to>
      <xdr:col>15</xdr:col>
      <xdr:colOff>1015180</xdr:colOff>
      <xdr:row>47</xdr:row>
      <xdr:rowOff>159208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BEB888-A2FD-A37F-FAE2-B3F410345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9626" y="10538733"/>
          <a:ext cx="11887287" cy="485779"/>
        </a:xfrm>
        <a:prstGeom prst="rect">
          <a:avLst/>
        </a:prstGeom>
      </xdr:spPr>
    </xdr:pic>
    <xdr:clientData/>
  </xdr:twoCellAnchor>
  <xdr:twoCellAnchor editAs="oneCell">
    <xdr:from>
      <xdr:col>4</xdr:col>
      <xdr:colOff>623455</xdr:colOff>
      <xdr:row>49</xdr:row>
      <xdr:rowOff>147205</xdr:rowOff>
    </xdr:from>
    <xdr:to>
      <xdr:col>15</xdr:col>
      <xdr:colOff>1082476</xdr:colOff>
      <xdr:row>53</xdr:row>
      <xdr:rowOff>76207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BD2AAE-FCA2-D97E-224E-5290F4E47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72842" y="11490614"/>
          <a:ext cx="12192089" cy="9334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3B4B7-138D-497D-9547-AE4D01F241C4}">
  <dimension ref="B1:P48"/>
  <sheetViews>
    <sheetView showGridLines="0" tabSelected="1" topLeftCell="A15" zoomScale="87" zoomScaleNormal="55" workbookViewId="0">
      <selection activeCell="E16" sqref="E16"/>
    </sheetView>
  </sheetViews>
  <sheetFormatPr baseColWidth="10" defaultColWidth="9.1640625" defaultRowHeight="20" customHeight="1" x14ac:dyDescent="0.2"/>
  <cols>
    <col min="1" max="1" width="4.33203125" style="1" customWidth="1"/>
    <col min="2" max="2" width="10.1640625" style="1" customWidth="1"/>
    <col min="3" max="3" width="21.6640625" style="1" customWidth="1"/>
    <col min="4" max="11" width="16.33203125" style="19" customWidth="1"/>
    <col min="12" max="12" width="9.1640625" style="1"/>
    <col min="13" max="13" width="9.1640625" style="1" customWidth="1"/>
    <col min="14" max="16" width="15.6640625" style="1" customWidth="1"/>
    <col min="17" max="16384" width="9.1640625" style="1"/>
  </cols>
  <sheetData>
    <row r="1" spans="2:16" ht="18.75" customHeight="1" x14ac:dyDescent="0.2"/>
    <row r="2" spans="2:16" ht="20" customHeight="1" x14ac:dyDescent="0.2">
      <c r="B2" s="5" t="s">
        <v>47</v>
      </c>
      <c r="C2" s="5"/>
      <c r="D2" s="4">
        <v>2020</v>
      </c>
      <c r="E2" s="4">
        <v>2021</v>
      </c>
      <c r="F2" s="4">
        <v>2022</v>
      </c>
      <c r="G2" s="4">
        <v>2023</v>
      </c>
      <c r="H2" s="4">
        <v>2024</v>
      </c>
      <c r="I2" s="4" t="s">
        <v>7</v>
      </c>
      <c r="J2" s="4" t="s">
        <v>8</v>
      </c>
      <c r="K2" s="4" t="s">
        <v>9</v>
      </c>
    </row>
    <row r="3" spans="2:16" ht="20" customHeight="1" x14ac:dyDescent="0.2">
      <c r="B3" s="13" t="s">
        <v>18</v>
      </c>
      <c r="C3" s="8"/>
      <c r="D3" s="20"/>
      <c r="E3" s="20"/>
      <c r="F3" s="20"/>
      <c r="G3" s="20"/>
      <c r="H3" s="20"/>
      <c r="I3" s="20"/>
      <c r="J3" s="20"/>
      <c r="K3" s="20"/>
    </row>
    <row r="4" spans="2:16" ht="20" customHeight="1" x14ac:dyDescent="0.2">
      <c r="B4" s="3" t="s">
        <v>4</v>
      </c>
      <c r="C4" s="3"/>
      <c r="D4" s="22">
        <v>5758</v>
      </c>
      <c r="E4" s="22">
        <v>8910.6</v>
      </c>
      <c r="F4" s="22">
        <v>9376.2000000000007</v>
      </c>
      <c r="G4" s="22">
        <v>6833</v>
      </c>
      <c r="H4" s="22">
        <v>6540.1</v>
      </c>
      <c r="I4" s="22">
        <f>H4+(J4-K4)</f>
        <v>6549</v>
      </c>
      <c r="J4" s="22">
        <v>1644.2</v>
      </c>
      <c r="K4" s="22">
        <v>1635.3</v>
      </c>
    </row>
    <row r="5" spans="2:16" ht="20" customHeight="1" x14ac:dyDescent="0.2">
      <c r="B5" s="2" t="s">
        <v>5</v>
      </c>
      <c r="D5" s="19" t="s">
        <v>48</v>
      </c>
      <c r="E5" s="31">
        <f>E4/D4-1</f>
        <v>0.5475164987843002</v>
      </c>
      <c r="F5" s="31">
        <f t="shared" ref="F5:I5" si="0">F4/E4-1</f>
        <v>5.225237357753687E-2</v>
      </c>
      <c r="G5" s="31">
        <f t="shared" si="0"/>
        <v>-0.27123994795332873</v>
      </c>
      <c r="H5" s="31">
        <f t="shared" si="0"/>
        <v>-4.2865505634421153E-2</v>
      </c>
      <c r="I5" s="31">
        <f t="shared" si="0"/>
        <v>1.3608354612313356E-3</v>
      </c>
      <c r="J5" s="21" t="s">
        <v>48</v>
      </c>
      <c r="K5" s="21" t="s">
        <v>48</v>
      </c>
    </row>
    <row r="6" spans="2:16" ht="5" customHeight="1" x14ac:dyDescent="0.2"/>
    <row r="7" spans="2:16" ht="20" customHeight="1" x14ac:dyDescent="0.2">
      <c r="B7" s="3" t="s">
        <v>30</v>
      </c>
      <c r="C7" s="3"/>
      <c r="D7" s="22" cm="1">
        <f t="array" ref="D7:K7">'EBITDA Bridge'!D13:K13</f>
        <v>635.99999999999989</v>
      </c>
      <c r="E7" s="22">
        <v>2493.3000000000002</v>
      </c>
      <c r="F7" s="22">
        <v>2427.8000000000002</v>
      </c>
      <c r="G7" s="22">
        <v>1310.0999999999999</v>
      </c>
      <c r="H7" s="22">
        <v>873.9</v>
      </c>
      <c r="I7" s="22">
        <v>817.40000000000009</v>
      </c>
      <c r="J7" s="22">
        <v>185.6</v>
      </c>
      <c r="K7" s="22">
        <v>242.1</v>
      </c>
      <c r="P7" s="15"/>
    </row>
    <row r="8" spans="2:16" ht="20" customHeight="1" x14ac:dyDescent="0.2">
      <c r="B8" s="2" t="s">
        <v>6</v>
      </c>
      <c r="D8" s="31" cm="1">
        <f t="array" ref="D8:K8">D7:K7/D4:K4</f>
        <v>0.11045501910385548</v>
      </c>
      <c r="E8" s="31">
        <v>0.27981280721836915</v>
      </c>
      <c r="F8" s="31">
        <v>0.25893219001301165</v>
      </c>
      <c r="G8" s="32">
        <v>0.19173130396604712</v>
      </c>
      <c r="H8" s="32">
        <v>0.13362181006406629</v>
      </c>
      <c r="I8" s="32">
        <v>0.12481294854176211</v>
      </c>
      <c r="J8" s="32">
        <v>0.11288164456878724</v>
      </c>
      <c r="K8" s="32">
        <v>0.14804623004953218</v>
      </c>
      <c r="P8" s="14"/>
    </row>
    <row r="9" spans="2:16" ht="20" customHeight="1" x14ac:dyDescent="0.2">
      <c r="B9" s="2" t="s">
        <v>5</v>
      </c>
      <c r="D9" s="19" t="s">
        <v>48</v>
      </c>
      <c r="E9" s="31">
        <f>E7/D7-1</f>
        <v>2.9202830188679254</v>
      </c>
      <c r="F9" s="31">
        <f t="shared" ref="F9:I9" si="1">F7/E7-1</f>
        <v>-2.6270404684554549E-2</v>
      </c>
      <c r="G9" s="31">
        <f t="shared" si="1"/>
        <v>-0.46037564873548076</v>
      </c>
      <c r="H9" s="31">
        <f t="shared" si="1"/>
        <v>-0.33295168307762768</v>
      </c>
      <c r="I9" s="31">
        <f t="shared" si="1"/>
        <v>-6.465270625929731E-2</v>
      </c>
      <c r="J9" s="21" t="s">
        <v>48</v>
      </c>
      <c r="K9" s="21" t="s">
        <v>48</v>
      </c>
      <c r="P9" s="15"/>
    </row>
    <row r="10" spans="2:16" ht="5" customHeight="1" x14ac:dyDescent="0.2">
      <c r="B10" s="2"/>
    </row>
    <row r="11" spans="2:16" ht="20" customHeight="1" x14ac:dyDescent="0.2">
      <c r="B11" s="13" t="s">
        <v>19</v>
      </c>
      <c r="C11" s="8"/>
      <c r="D11" s="20"/>
      <c r="E11" s="20"/>
      <c r="F11" s="20"/>
      <c r="G11" s="20"/>
      <c r="H11" s="20"/>
      <c r="I11" s="20"/>
      <c r="J11" s="20"/>
      <c r="K11" s="20"/>
    </row>
    <row r="12" spans="2:16" ht="20" customHeight="1" x14ac:dyDescent="0.2">
      <c r="B12" s="3" t="s">
        <v>2</v>
      </c>
      <c r="C12" s="3"/>
      <c r="D12" s="22">
        <v>433</v>
      </c>
      <c r="E12" s="22">
        <v>1741</v>
      </c>
      <c r="F12" s="22">
        <v>1921.9</v>
      </c>
      <c r="G12" s="22">
        <v>974.3</v>
      </c>
      <c r="H12" s="22">
        <v>503.2</v>
      </c>
      <c r="I12" s="22">
        <f>H12+(J12-K12)</f>
        <v>336.2</v>
      </c>
      <c r="J12" s="22">
        <v>-86</v>
      </c>
      <c r="K12" s="22">
        <v>81</v>
      </c>
    </row>
    <row r="13" spans="2:16" ht="20" customHeight="1" x14ac:dyDescent="0.2">
      <c r="B13" s="1" t="s">
        <v>10</v>
      </c>
      <c r="D13" s="23">
        <v>298.89999999999998</v>
      </c>
      <c r="E13" s="23">
        <v>200.6</v>
      </c>
      <c r="F13" s="23">
        <v>236.9</v>
      </c>
      <c r="G13" s="23">
        <v>236</v>
      </c>
      <c r="H13" s="23">
        <v>195.1</v>
      </c>
      <c r="I13" s="23">
        <f>H13+(J13-K13)</f>
        <v>212.2</v>
      </c>
      <c r="J13" s="23">
        <v>61.4</v>
      </c>
      <c r="K13" s="23">
        <v>44.3</v>
      </c>
    </row>
    <row r="14" spans="2:16" ht="20" customHeight="1" x14ac:dyDescent="0.2">
      <c r="B14" s="3" t="s">
        <v>1</v>
      </c>
      <c r="C14" s="3"/>
      <c r="D14" s="22">
        <f t="shared" ref="D14:G14" si="2">D12-D13</f>
        <v>134.10000000000002</v>
      </c>
      <c r="E14" s="22">
        <f t="shared" si="2"/>
        <v>1540.4</v>
      </c>
      <c r="F14" s="22">
        <f t="shared" si="2"/>
        <v>1685</v>
      </c>
      <c r="G14" s="22">
        <f t="shared" si="2"/>
        <v>738.3</v>
      </c>
      <c r="H14" s="22">
        <f>H12-H13</f>
        <v>308.10000000000002</v>
      </c>
      <c r="I14" s="22">
        <f>H14+(J14-K14)</f>
        <v>124</v>
      </c>
      <c r="J14" s="22">
        <f>J12-J13</f>
        <v>-147.4</v>
      </c>
      <c r="K14" s="22">
        <f>K12-K13</f>
        <v>36.700000000000003</v>
      </c>
    </row>
    <row r="15" spans="2:16" ht="20" customHeight="1" x14ac:dyDescent="0.2">
      <c r="B15" s="2" t="s">
        <v>11</v>
      </c>
      <c r="D15" s="31" cm="1">
        <f t="array" ref="D15:K15">D14:K14/D7:K7</f>
        <v>0.21084905660377365</v>
      </c>
      <c r="E15" s="31">
        <v>0.6178157461998155</v>
      </c>
      <c r="F15" s="31">
        <v>0.69404399044402332</v>
      </c>
      <c r="G15" s="31">
        <v>0.56354476757499428</v>
      </c>
      <c r="H15" s="31">
        <v>0.3525575008582218</v>
      </c>
      <c r="I15" s="31">
        <v>0.15170051382432101</v>
      </c>
      <c r="J15" s="31">
        <v>-0.79418103448275867</v>
      </c>
      <c r="K15" s="31">
        <v>0.15159025196199918</v>
      </c>
    </row>
    <row r="16" spans="2:16" ht="20" customHeight="1" x14ac:dyDescent="0.2">
      <c r="B16" s="2" t="s">
        <v>12</v>
      </c>
      <c r="D16" s="19" t="s">
        <v>48</v>
      </c>
      <c r="E16" s="31">
        <f>E14/D14-1</f>
        <v>10.486950037285606</v>
      </c>
      <c r="F16" s="31">
        <f t="shared" ref="F16:I16" si="3">F14/E14-1</f>
        <v>9.3871721630745197E-2</v>
      </c>
      <c r="G16" s="31">
        <f t="shared" si="3"/>
        <v>-0.56183976261127599</v>
      </c>
      <c r="H16" s="31">
        <f t="shared" si="3"/>
        <v>-0.58268996342950019</v>
      </c>
      <c r="I16" s="31">
        <f t="shared" si="3"/>
        <v>-0.5975332684193444</v>
      </c>
      <c r="J16" s="21" t="s">
        <v>48</v>
      </c>
      <c r="K16" s="21" t="s">
        <v>48</v>
      </c>
    </row>
    <row r="17" spans="2:11" ht="20" customHeight="1" x14ac:dyDescent="0.2">
      <c r="B17" s="1" t="s">
        <v>14</v>
      </c>
      <c r="D17" s="23">
        <v>286.39999999999998</v>
      </c>
      <c r="E17" s="23">
        <v>345.2</v>
      </c>
      <c r="F17" s="23">
        <v>141.69999999999999</v>
      </c>
      <c r="G17" s="23">
        <v>176.8</v>
      </c>
      <c r="H17" s="23">
        <v>180.9</v>
      </c>
      <c r="I17" s="23">
        <f>H17+(J17-K17)</f>
        <v>183.3</v>
      </c>
      <c r="J17" s="23">
        <v>65.3</v>
      </c>
      <c r="K17" s="23">
        <v>62.9</v>
      </c>
    </row>
    <row r="18" spans="2:11" ht="20" customHeight="1" x14ac:dyDescent="0.2">
      <c r="B18" s="1" t="s">
        <v>15</v>
      </c>
      <c r="D18" s="23">
        <v>-9.6</v>
      </c>
      <c r="E18" s="23">
        <v>169.6</v>
      </c>
      <c r="F18" s="23">
        <v>356.6</v>
      </c>
      <c r="G18" s="23">
        <v>111.7</v>
      </c>
      <c r="H18" s="23">
        <v>105.7</v>
      </c>
      <c r="I18" s="23">
        <f>H18+(J18-K18)</f>
        <v>140.4</v>
      </c>
      <c r="J18" s="23">
        <v>50.5</v>
      </c>
      <c r="K18" s="23">
        <v>15.8</v>
      </c>
    </row>
    <row r="19" spans="2:11" ht="5" customHeight="1" x14ac:dyDescent="0.2">
      <c r="B19" s="2"/>
    </row>
    <row r="20" spans="2:11" ht="20" customHeight="1" x14ac:dyDescent="0.2">
      <c r="B20" s="13" t="s">
        <v>20</v>
      </c>
      <c r="C20" s="8"/>
      <c r="D20" s="20"/>
      <c r="E20" s="20"/>
      <c r="F20" s="20"/>
      <c r="G20" s="20"/>
      <c r="H20" s="20"/>
      <c r="I20" s="20"/>
      <c r="J20" s="20"/>
      <c r="K20" s="20"/>
    </row>
    <row r="21" spans="2:11" ht="20" customHeight="1" x14ac:dyDescent="0.2">
      <c r="B21" s="1" t="s">
        <v>13</v>
      </c>
      <c r="D21" s="23">
        <f>3837.5+D24</f>
        <v>3863.8</v>
      </c>
      <c r="E21" s="23">
        <f>2578.2+E24</f>
        <v>2779.2999999999997</v>
      </c>
      <c r="F21" s="23">
        <f>2571+F24</f>
        <v>2580.6999999999998</v>
      </c>
      <c r="G21" s="23">
        <f>2591.3+G24</f>
        <v>2670.1000000000004</v>
      </c>
      <c r="H21" s="23">
        <f>2591.3+H24</f>
        <v>2720.3</v>
      </c>
      <c r="I21" s="23">
        <f>3016.6+I24</f>
        <v>3035.7999999999997</v>
      </c>
      <c r="J21" s="27"/>
      <c r="K21" s="27"/>
    </row>
    <row r="22" spans="2:11" ht="20" customHeight="1" x14ac:dyDescent="0.2">
      <c r="B22" s="1" t="s">
        <v>21</v>
      </c>
      <c r="D22" s="23">
        <v>189.7</v>
      </c>
      <c r="E22" s="23">
        <v>180.5</v>
      </c>
      <c r="F22" s="23">
        <v>194</v>
      </c>
      <c r="G22" s="23">
        <v>170.3</v>
      </c>
      <c r="H22" s="23">
        <v>175.6</v>
      </c>
      <c r="I22" s="23">
        <v>174</v>
      </c>
      <c r="J22" s="27"/>
      <c r="K22" s="27"/>
    </row>
    <row r="23" spans="2:11" ht="20" customHeight="1" x14ac:dyDescent="0.2">
      <c r="B23" s="1" t="s">
        <v>22</v>
      </c>
      <c r="D23" s="23">
        <f t="shared" ref="D23:F23" si="4">D21-D22</f>
        <v>3674.1000000000004</v>
      </c>
      <c r="E23" s="23">
        <f t="shared" si="4"/>
        <v>2598.7999999999997</v>
      </c>
      <c r="F23" s="23">
        <f t="shared" si="4"/>
        <v>2386.6999999999998</v>
      </c>
      <c r="G23" s="23">
        <f>G21-G22</f>
        <v>2499.8000000000002</v>
      </c>
      <c r="H23" s="23">
        <f>H21-H22</f>
        <v>2544.7000000000003</v>
      </c>
      <c r="I23" s="23">
        <f>I21-I22</f>
        <v>2861.7999999999997</v>
      </c>
      <c r="J23" s="27"/>
      <c r="K23" s="27"/>
    </row>
    <row r="24" spans="2:11" ht="20" customHeight="1" x14ac:dyDescent="0.2">
      <c r="B24" s="1" t="s">
        <v>31</v>
      </c>
      <c r="D24" s="23">
        <v>26.3</v>
      </c>
      <c r="E24" s="23">
        <v>201.1</v>
      </c>
      <c r="F24" s="23">
        <v>9.6999999999999993</v>
      </c>
      <c r="G24" s="23">
        <v>78.8</v>
      </c>
      <c r="H24" s="23">
        <v>129</v>
      </c>
      <c r="I24" s="23">
        <v>19.2</v>
      </c>
      <c r="J24" s="27"/>
      <c r="K24" s="27"/>
    </row>
    <row r="25" spans="2:11" ht="20" customHeight="1" x14ac:dyDescent="0.2">
      <c r="B25" s="1" t="s">
        <v>46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7"/>
      <c r="K25" s="27"/>
    </row>
    <row r="26" spans="2:11" ht="20" customHeight="1" x14ac:dyDescent="0.2">
      <c r="B26" s="1" t="s">
        <v>26</v>
      </c>
      <c r="D26" s="23" t="s">
        <v>48</v>
      </c>
      <c r="E26" s="23" t="s">
        <v>48</v>
      </c>
      <c r="F26" s="23" t="s">
        <v>48</v>
      </c>
      <c r="G26" s="23" t="s">
        <v>48</v>
      </c>
      <c r="H26" s="23" t="s">
        <v>48</v>
      </c>
      <c r="I26" s="23">
        <f>1124.6</f>
        <v>1124.5999999999999</v>
      </c>
      <c r="J26" s="27"/>
      <c r="K26" s="27"/>
    </row>
    <row r="27" spans="2:11" ht="20" customHeight="1" x14ac:dyDescent="0.2">
      <c r="B27" s="1" t="s">
        <v>39</v>
      </c>
      <c r="D27" s="23">
        <v>1717.1</v>
      </c>
      <c r="E27" s="23">
        <v>2248.3000000000002</v>
      </c>
      <c r="F27" s="23">
        <v>2156.4</v>
      </c>
      <c r="G27" s="23">
        <v>1973.2</v>
      </c>
      <c r="H27" s="23">
        <v>2079.8000000000002</v>
      </c>
      <c r="I27" s="23">
        <v>2251.3000000000002</v>
      </c>
      <c r="J27" s="27"/>
      <c r="K27" s="27"/>
    </row>
    <row r="28" spans="2:11" ht="20" customHeight="1" x14ac:dyDescent="0.2">
      <c r="B28" s="1" t="s">
        <v>38</v>
      </c>
      <c r="D28" s="23">
        <v>1198.9000000000001</v>
      </c>
      <c r="E28" s="23">
        <v>1682.1</v>
      </c>
      <c r="F28" s="23">
        <v>1561.4</v>
      </c>
      <c r="G28" s="23">
        <v>1528.2</v>
      </c>
      <c r="H28" s="23">
        <v>1632.2</v>
      </c>
      <c r="I28" s="23">
        <v>1439</v>
      </c>
      <c r="J28" s="27"/>
      <c r="K28" s="27"/>
    </row>
    <row r="29" spans="2:11" ht="20" customHeight="1" x14ac:dyDescent="0.2">
      <c r="B29" s="1" t="s">
        <v>42</v>
      </c>
      <c r="D29" s="23">
        <v>1450.8</v>
      </c>
      <c r="E29" s="23">
        <v>2652.2</v>
      </c>
      <c r="F29" s="23">
        <v>2543.6</v>
      </c>
      <c r="G29" s="23">
        <v>2268.3000000000002</v>
      </c>
      <c r="H29" s="23">
        <v>2055.4</v>
      </c>
      <c r="I29" s="23">
        <v>2038.1</v>
      </c>
      <c r="J29" s="27"/>
      <c r="K29" s="27"/>
    </row>
    <row r="30" spans="2:11" ht="20" customHeight="1" x14ac:dyDescent="0.2">
      <c r="B30" s="1" t="s">
        <v>43</v>
      </c>
      <c r="D30" s="23" t="s">
        <v>48</v>
      </c>
      <c r="E30" s="23" t="s">
        <v>48</v>
      </c>
      <c r="F30" s="23" t="s">
        <v>48</v>
      </c>
      <c r="G30" s="23" t="s">
        <v>48</v>
      </c>
      <c r="H30" s="23" t="s">
        <v>48</v>
      </c>
      <c r="I30" s="23">
        <f>D48+I21</f>
        <v>5134.7236651599997</v>
      </c>
      <c r="J30" s="27"/>
      <c r="K30" s="27"/>
    </row>
    <row r="31" spans="2:11" ht="20" customHeight="1" x14ac:dyDescent="0.2">
      <c r="B31" s="1" t="s">
        <v>44</v>
      </c>
      <c r="D31" s="23" t="s">
        <v>48</v>
      </c>
      <c r="E31" s="23" t="s">
        <v>48</v>
      </c>
      <c r="F31" s="23" t="s">
        <v>48</v>
      </c>
      <c r="G31" s="23" t="s">
        <v>48</v>
      </c>
      <c r="H31" s="23" t="s">
        <v>48</v>
      </c>
      <c r="I31" s="23">
        <f>I30+I21+I26</f>
        <v>9295.1236651599993</v>
      </c>
      <c r="J31" s="27"/>
      <c r="K31" s="27"/>
    </row>
    <row r="32" spans="2:11" ht="5" customHeight="1" x14ac:dyDescent="0.2">
      <c r="B32" s="2"/>
    </row>
    <row r="33" spans="2:16" ht="20" customHeight="1" x14ac:dyDescent="0.2">
      <c r="B33" s="13" t="s">
        <v>32</v>
      </c>
      <c r="C33" s="8"/>
      <c r="D33" s="20"/>
      <c r="E33" s="20"/>
      <c r="F33" s="20"/>
      <c r="G33" s="20"/>
      <c r="H33" s="20"/>
      <c r="I33" s="20"/>
      <c r="J33" s="20"/>
      <c r="K33" s="20"/>
    </row>
    <row r="34" spans="2:16" ht="20" customHeight="1" x14ac:dyDescent="0.2">
      <c r="B34" s="1" t="s">
        <v>33</v>
      </c>
      <c r="D34" s="24" cm="1">
        <f t="array" ref="D34:I34">D21:I21/D7:I7</f>
        <v>6.0751572327044041</v>
      </c>
      <c r="E34" s="24">
        <v>1.1147074158745436</v>
      </c>
      <c r="F34" s="24">
        <v>1.0629788285690747</v>
      </c>
      <c r="G34" s="24">
        <v>2.0380886955194266</v>
      </c>
      <c r="H34" s="24">
        <v>3.1128275546401194</v>
      </c>
      <c r="I34" s="24">
        <v>3.7139711279667229</v>
      </c>
      <c r="J34" s="26"/>
      <c r="K34" s="26"/>
      <c r="P34" s="9"/>
    </row>
    <row r="35" spans="2:16" ht="20" customHeight="1" x14ac:dyDescent="0.2">
      <c r="B35" s="1" t="s">
        <v>49</v>
      </c>
      <c r="D35" s="23" t="s">
        <v>48</v>
      </c>
      <c r="E35" s="23" t="s">
        <v>48</v>
      </c>
      <c r="F35" s="23" t="s">
        <v>48</v>
      </c>
      <c r="G35" s="23" t="s">
        <v>48</v>
      </c>
      <c r="H35" s="23" t="s">
        <v>48</v>
      </c>
      <c r="I35" s="32">
        <f>I21/I30</f>
        <v>0.59122947951385096</v>
      </c>
      <c r="J35" s="26"/>
      <c r="K35" s="26"/>
    </row>
    <row r="36" spans="2:16" ht="20" customHeight="1" x14ac:dyDescent="0.2">
      <c r="B36" s="1" t="s">
        <v>40</v>
      </c>
      <c r="D36" s="23" t="s">
        <v>48</v>
      </c>
      <c r="E36" s="23" t="s">
        <v>48</v>
      </c>
      <c r="F36" s="23" t="s">
        <v>48</v>
      </c>
      <c r="G36" s="23" t="s">
        <v>48</v>
      </c>
      <c r="H36" s="23" t="s">
        <v>48</v>
      </c>
      <c r="I36" s="24">
        <f>(I21+I26)/I7</f>
        <v>5.0897969170540724</v>
      </c>
      <c r="J36" s="26"/>
      <c r="K36" s="26"/>
    </row>
    <row r="37" spans="2:16" ht="20" customHeight="1" x14ac:dyDescent="0.2">
      <c r="B37" s="1" t="s">
        <v>41</v>
      </c>
      <c r="D37" s="23" t="s">
        <v>48</v>
      </c>
      <c r="E37" s="23" t="s">
        <v>48</v>
      </c>
      <c r="F37" s="23" t="s">
        <v>48</v>
      </c>
      <c r="G37" s="23" t="s">
        <v>48</v>
      </c>
      <c r="H37" s="23" t="s">
        <v>48</v>
      </c>
      <c r="I37" s="32">
        <f>(I21+I26)/I31</f>
        <v>0.44758952649484579</v>
      </c>
      <c r="J37" s="26"/>
      <c r="K37" s="26"/>
    </row>
    <row r="38" spans="2:16" ht="20" customHeight="1" x14ac:dyDescent="0.2">
      <c r="B38" s="1" t="s">
        <v>34</v>
      </c>
      <c r="D38" s="24" cm="1">
        <f t="array" ref="D38:I38">D23:I23/D7:I7</f>
        <v>5.7768867924528315</v>
      </c>
      <c r="E38" s="24">
        <v>1.0423133999117633</v>
      </c>
      <c r="F38" s="24">
        <v>0.98307109317077179</v>
      </c>
      <c r="G38" s="24">
        <v>1.9080986184260746</v>
      </c>
      <c r="H38" s="24">
        <v>2.9118892321775949</v>
      </c>
      <c r="I38" s="24">
        <v>3.5011010521164661</v>
      </c>
      <c r="J38" s="26"/>
      <c r="K38" s="26"/>
    </row>
    <row r="39" spans="2:16" ht="20" customHeight="1" x14ac:dyDescent="0.2">
      <c r="B39" s="1" t="s">
        <v>45</v>
      </c>
      <c r="D39" s="24">
        <f>D7/SUM(Summary!D17,Summary!D18,Summary!D24,Summary!D13)</f>
        <v>1.0564784053156144</v>
      </c>
      <c r="E39" s="24">
        <f>E7/SUM(Summary!E17,Summary!E18,Summary!E24,Summary!E13)</f>
        <v>2.7204582651391163</v>
      </c>
      <c r="F39" s="24">
        <f>F7/SUM(Summary!F17,Summary!F18,Summary!F24,Summary!F13)</f>
        <v>3.2592294267686941</v>
      </c>
      <c r="G39" s="24">
        <f>G7/SUM(Summary!G17,Summary!G18,Summary!G24,Summary!G13)</f>
        <v>2.1715564395822975</v>
      </c>
      <c r="H39" s="24">
        <f>H7/SUM(Summary!H17,Summary!H18,Summary!H24,Summary!H13)</f>
        <v>1.4309808416571146</v>
      </c>
      <c r="I39" s="24">
        <f>'Liquidity Analysis'!D9</f>
        <v>1.4725274725274724</v>
      </c>
      <c r="J39" s="26"/>
      <c r="K39" s="26"/>
    </row>
    <row r="40" spans="2:16" ht="20" customHeight="1" x14ac:dyDescent="0.2">
      <c r="B40" s="1" t="s">
        <v>35</v>
      </c>
      <c r="D40" s="24" cm="1">
        <f t="array" ref="D40:I40">D7:I7/D17:I17</f>
        <v>2.2206703910614523</v>
      </c>
      <c r="E40" s="24">
        <v>7.2227694090382393</v>
      </c>
      <c r="F40" s="24">
        <v>17.133380381086805</v>
      </c>
      <c r="G40" s="24">
        <v>7.4100678733031664</v>
      </c>
      <c r="H40" s="24">
        <v>4.8308457711442783</v>
      </c>
      <c r="I40" s="24">
        <v>4.4593562465902892</v>
      </c>
      <c r="J40" s="26"/>
      <c r="K40" s="26"/>
    </row>
    <row r="41" spans="2:16" ht="20" customHeight="1" x14ac:dyDescent="0.2">
      <c r="B41" s="1" t="s">
        <v>36</v>
      </c>
      <c r="D41" s="25" cm="1">
        <f t="array" ref="D41:I41">D13:I13/D4:I4</f>
        <v>5.1910385550538375E-2</v>
      </c>
      <c r="E41" s="25">
        <v>2.251251318654187E-2</v>
      </c>
      <c r="F41" s="25">
        <v>2.5266099272626436E-2</v>
      </c>
      <c r="G41" s="25">
        <v>3.4538270159519976E-2</v>
      </c>
      <c r="H41" s="25">
        <v>2.9831348144523782E-2</v>
      </c>
      <c r="I41" s="25">
        <v>3.2401893418842573E-2</v>
      </c>
      <c r="J41" s="26"/>
      <c r="K41" s="26"/>
    </row>
    <row r="42" spans="2:16" ht="20" customHeight="1" x14ac:dyDescent="0.2">
      <c r="B42" s="1" t="s">
        <v>37</v>
      </c>
      <c r="D42" s="23" t="s">
        <v>48</v>
      </c>
      <c r="E42" s="23" t="s">
        <v>48</v>
      </c>
      <c r="F42" s="23" t="s">
        <v>48</v>
      </c>
      <c r="G42" s="23" t="s">
        <v>48</v>
      </c>
      <c r="H42" s="23" t="s">
        <v>48</v>
      </c>
      <c r="I42" s="24">
        <f>(I27+I26)/I28</f>
        <v>2.346004169562196</v>
      </c>
      <c r="J42" s="26"/>
      <c r="K42" s="26"/>
    </row>
    <row r="43" spans="2:16" ht="5" customHeight="1" x14ac:dyDescent="0.2"/>
    <row r="46" spans="2:16" ht="20" customHeight="1" x14ac:dyDescent="0.2">
      <c r="B46" s="1" t="s">
        <v>50</v>
      </c>
      <c r="D46" s="19">
        <f>115135692/1000000</f>
        <v>115.13569200000001</v>
      </c>
    </row>
    <row r="47" spans="2:16" ht="20" customHeight="1" x14ac:dyDescent="0.2">
      <c r="B47" s="1" t="s">
        <v>51</v>
      </c>
      <c r="D47" s="19">
        <v>18.23</v>
      </c>
    </row>
    <row r="48" spans="2:16" ht="20" customHeight="1" x14ac:dyDescent="0.2">
      <c r="B48" s="1" t="s">
        <v>52</v>
      </c>
      <c r="D48" s="19">
        <f>D46*D47</f>
        <v>2098.9236651600004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920C1-588E-4DF0-AC3E-6C808BB4B26A}">
  <dimension ref="B2:K13"/>
  <sheetViews>
    <sheetView showGridLines="0" zoomScale="55" zoomScaleNormal="55" workbookViewId="0">
      <selection activeCell="H24" sqref="G24:H24"/>
    </sheetView>
  </sheetViews>
  <sheetFormatPr baseColWidth="10" defaultColWidth="9.1640625" defaultRowHeight="19.5" customHeight="1" x14ac:dyDescent="0.2"/>
  <cols>
    <col min="1" max="1" width="9.1640625" style="1"/>
    <col min="2" max="2" width="18.6640625" style="1" customWidth="1"/>
    <col min="3" max="3" width="14.83203125" style="1" customWidth="1"/>
    <col min="4" max="7" width="18.6640625" style="1" customWidth="1"/>
    <col min="8" max="11" width="15.6640625" style="1" customWidth="1"/>
    <col min="12" max="16384" width="9.1640625" style="1"/>
  </cols>
  <sheetData>
    <row r="2" spans="2:11" ht="19.5" customHeight="1" x14ac:dyDescent="0.2">
      <c r="B2" s="7" t="s">
        <v>47</v>
      </c>
      <c r="C2" s="4"/>
      <c r="D2" s="4">
        <v>2020</v>
      </c>
      <c r="E2" s="4">
        <v>2021</v>
      </c>
      <c r="F2" s="4">
        <v>2022</v>
      </c>
      <c r="G2" s="4">
        <v>2023</v>
      </c>
      <c r="H2" s="4">
        <v>2024</v>
      </c>
      <c r="I2" s="10" t="s">
        <v>7</v>
      </c>
      <c r="J2" s="4" t="s">
        <v>8</v>
      </c>
      <c r="K2" s="4" t="s">
        <v>9</v>
      </c>
    </row>
    <row r="3" spans="2:11" ht="19.5" customHeight="1" x14ac:dyDescent="0.2">
      <c r="B3" s="1" t="s">
        <v>53</v>
      </c>
      <c r="D3" s="23">
        <v>-969.9</v>
      </c>
      <c r="E3" s="23">
        <v>1296.7</v>
      </c>
      <c r="F3" s="23">
        <v>1326.9</v>
      </c>
      <c r="G3" s="23">
        <v>452</v>
      </c>
      <c r="H3" s="23">
        <v>105</v>
      </c>
      <c r="I3" s="28" cm="1">
        <f t="array" ref="I3:I6">H3:H6+(J3:J6-K3:K6)</f>
        <v>58.400000000000006</v>
      </c>
      <c r="J3" s="23">
        <v>1.2</v>
      </c>
      <c r="K3" s="23">
        <v>47.8</v>
      </c>
    </row>
    <row r="4" spans="2:11" ht="19.5" customHeight="1" x14ac:dyDescent="0.2">
      <c r="B4" s="1" t="s">
        <v>54</v>
      </c>
      <c r="D4" s="23">
        <f>292.7-0.5</f>
        <v>292.2</v>
      </c>
      <c r="E4" s="23">
        <f>348-0.2</f>
        <v>347.8</v>
      </c>
      <c r="F4" s="23">
        <f>143.9-2.2</f>
        <v>141.70000000000002</v>
      </c>
      <c r="G4" s="23">
        <f>181.1-4.3</f>
        <v>176.79999999999998</v>
      </c>
      <c r="H4" s="23">
        <f>184.5-3.7</f>
        <v>180.8</v>
      </c>
      <c r="I4" s="28">
        <v>184.3</v>
      </c>
      <c r="J4" s="23">
        <f>48.5-1.2</f>
        <v>47.3</v>
      </c>
      <c r="K4" s="23">
        <f>44.6-0.8</f>
        <v>43.800000000000004</v>
      </c>
    </row>
    <row r="5" spans="2:11" ht="19.5" customHeight="1" x14ac:dyDescent="0.2">
      <c r="B5" s="1" t="s">
        <v>56</v>
      </c>
      <c r="D5" s="23">
        <v>-50.1</v>
      </c>
      <c r="E5" s="23">
        <v>242</v>
      </c>
      <c r="F5" s="23">
        <v>349.1</v>
      </c>
      <c r="G5" s="23">
        <v>107.3</v>
      </c>
      <c r="H5" s="23">
        <v>36.700000000000003</v>
      </c>
      <c r="I5" s="28">
        <v>25.1</v>
      </c>
      <c r="J5" s="23">
        <v>0.9</v>
      </c>
      <c r="K5" s="23">
        <v>12.5</v>
      </c>
    </row>
    <row r="6" spans="2:11" ht="19.5" customHeight="1" x14ac:dyDescent="0.2">
      <c r="B6" s="1" t="s">
        <v>55</v>
      </c>
      <c r="D6" s="23">
        <v>568.4</v>
      </c>
      <c r="E6" s="23">
        <v>582.5</v>
      </c>
      <c r="F6" s="23">
        <v>598.79999999999995</v>
      </c>
      <c r="G6" s="23">
        <v>533.4</v>
      </c>
      <c r="H6" s="23">
        <v>518.1</v>
      </c>
      <c r="I6" s="28">
        <v>520.6</v>
      </c>
      <c r="J6" s="23">
        <v>132.19999999999999</v>
      </c>
      <c r="K6" s="23">
        <v>129.69999999999999</v>
      </c>
    </row>
    <row r="7" spans="2:11" ht="19.5" customHeight="1" x14ac:dyDescent="0.2">
      <c r="B7" s="18" t="s">
        <v>0</v>
      </c>
      <c r="C7" s="18"/>
      <c r="D7" s="29">
        <f>D3+D4+D5+D6</f>
        <v>-159.40000000000009</v>
      </c>
      <c r="E7" s="29">
        <f t="shared" ref="E7:H7" si="0">E3+E4+E5+E6</f>
        <v>2469</v>
      </c>
      <c r="F7" s="29">
        <f t="shared" si="0"/>
        <v>2416.5</v>
      </c>
      <c r="G7" s="29">
        <f t="shared" si="0"/>
        <v>1269.5</v>
      </c>
      <c r="H7" s="29">
        <f t="shared" si="0"/>
        <v>840.6</v>
      </c>
      <c r="I7" s="30">
        <f>I3+I4+I5+I6</f>
        <v>788.40000000000009</v>
      </c>
      <c r="J7" s="29">
        <f>J3+J4+J5+J6</f>
        <v>181.6</v>
      </c>
      <c r="K7" s="29">
        <f>+K3+K4+K5+K6</f>
        <v>233.79999999999998</v>
      </c>
    </row>
    <row r="8" spans="2:11" ht="19.5" customHeight="1" x14ac:dyDescent="0.2">
      <c r="B8" s="1" t="s">
        <v>57</v>
      </c>
      <c r="D8" s="23">
        <v>9</v>
      </c>
      <c r="E8" s="23">
        <v>27.9</v>
      </c>
      <c r="F8" s="23">
        <v>25.3</v>
      </c>
      <c r="G8" s="23">
        <v>89.6</v>
      </c>
      <c r="H8" s="23">
        <v>33.299999999999997</v>
      </c>
      <c r="I8" s="28">
        <f>H8+(J8-K8)</f>
        <v>28.999999999999996</v>
      </c>
      <c r="J8" s="23">
        <v>4</v>
      </c>
      <c r="K8" s="23">
        <v>8.3000000000000007</v>
      </c>
    </row>
    <row r="9" spans="2:11" ht="19.5" customHeight="1" x14ac:dyDescent="0.2">
      <c r="B9" s="1" t="s">
        <v>58</v>
      </c>
      <c r="D9" s="23">
        <v>0</v>
      </c>
      <c r="E9" s="23">
        <v>-2.2000000000000002</v>
      </c>
      <c r="F9" s="23">
        <v>-1</v>
      </c>
      <c r="G9" s="23">
        <v>-6.4</v>
      </c>
      <c r="H9" s="23">
        <v>0</v>
      </c>
      <c r="I9" s="28">
        <v>0</v>
      </c>
      <c r="J9" s="23">
        <v>0</v>
      </c>
      <c r="K9" s="23">
        <v>0</v>
      </c>
    </row>
    <row r="10" spans="2:11" ht="19.5" customHeight="1" x14ac:dyDescent="0.2">
      <c r="B10" s="1" t="s">
        <v>59</v>
      </c>
      <c r="D10" s="23">
        <v>12.7</v>
      </c>
      <c r="E10" s="23">
        <v>-1.4</v>
      </c>
      <c r="F10" s="23">
        <v>-13</v>
      </c>
      <c r="G10" s="23">
        <v>-42.6</v>
      </c>
      <c r="H10" s="23">
        <v>0</v>
      </c>
      <c r="I10" s="28">
        <v>0</v>
      </c>
      <c r="J10" s="23">
        <v>0</v>
      </c>
      <c r="K10" s="23">
        <v>0</v>
      </c>
    </row>
    <row r="11" spans="2:11" ht="19.5" customHeight="1" x14ac:dyDescent="0.2">
      <c r="B11" s="1" t="s">
        <v>60</v>
      </c>
      <c r="D11" s="23">
        <v>73.900000000000006</v>
      </c>
      <c r="E11" s="23">
        <v>0</v>
      </c>
      <c r="F11" s="23">
        <v>0</v>
      </c>
      <c r="G11" s="23">
        <v>0</v>
      </c>
      <c r="H11" s="23">
        <v>0</v>
      </c>
      <c r="I11" s="28">
        <v>0</v>
      </c>
      <c r="J11" s="23">
        <v>0</v>
      </c>
      <c r="K11" s="23">
        <v>0</v>
      </c>
    </row>
    <row r="12" spans="2:11" ht="19.5" customHeight="1" x14ac:dyDescent="0.2">
      <c r="B12" s="1" t="s">
        <v>61</v>
      </c>
      <c r="D12" s="23">
        <v>699.8</v>
      </c>
      <c r="E12" s="23">
        <v>0</v>
      </c>
      <c r="F12" s="23">
        <v>0</v>
      </c>
      <c r="G12" s="23">
        <v>0</v>
      </c>
      <c r="H12" s="23">
        <v>0</v>
      </c>
      <c r="I12" s="28">
        <v>0</v>
      </c>
      <c r="J12" s="23">
        <v>0</v>
      </c>
      <c r="K12" s="23">
        <v>0</v>
      </c>
    </row>
    <row r="13" spans="2:11" ht="19.5" customHeight="1" x14ac:dyDescent="0.2">
      <c r="B13" s="18" t="s">
        <v>30</v>
      </c>
      <c r="C13" s="18"/>
      <c r="D13" s="29">
        <f>SUM(D7:D12)</f>
        <v>635.99999999999989</v>
      </c>
      <c r="E13" s="29">
        <f t="shared" ref="E13:H13" si="1">SUM(E7:E12)</f>
        <v>2493.3000000000002</v>
      </c>
      <c r="F13" s="29">
        <f t="shared" si="1"/>
        <v>2427.8000000000002</v>
      </c>
      <c r="G13" s="29">
        <f t="shared" si="1"/>
        <v>1310.0999999999999</v>
      </c>
      <c r="H13" s="29">
        <f t="shared" si="1"/>
        <v>873.9</v>
      </c>
      <c r="I13" s="30">
        <f>SUM(I7:I12)</f>
        <v>817.40000000000009</v>
      </c>
      <c r="J13" s="29">
        <f>SUM(J7:J12)</f>
        <v>185.6</v>
      </c>
      <c r="K13" s="29">
        <f>SUM(K7:K12)</f>
        <v>242.1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91B5-B012-4D19-903F-450CBFF77175}">
  <dimension ref="B2:D20"/>
  <sheetViews>
    <sheetView showGridLines="0" zoomScale="190" zoomScaleNormal="190" workbookViewId="0">
      <selection activeCell="F8" sqref="F8"/>
    </sheetView>
  </sheetViews>
  <sheetFormatPr baseColWidth="10" defaultColWidth="9.1640625" defaultRowHeight="20" customHeight="1" x14ac:dyDescent="0.2"/>
  <cols>
    <col min="1" max="1" width="5.6640625" style="1" customWidth="1"/>
    <col min="2" max="2" width="10.1640625" style="1" customWidth="1"/>
    <col min="3" max="4" width="15.6640625" style="1" customWidth="1"/>
    <col min="5" max="5" width="9.1640625" style="1"/>
    <col min="6" max="6" width="9.1640625" style="1" customWidth="1"/>
    <col min="7" max="7" width="17.33203125" style="1" customWidth="1"/>
    <col min="8" max="12" width="15.6640625" style="1" customWidth="1"/>
    <col min="13" max="16384" width="9.1640625" style="1"/>
  </cols>
  <sheetData>
    <row r="2" spans="2:4" ht="20" customHeight="1" x14ac:dyDescent="0.2">
      <c r="B2" s="5" t="s">
        <v>47</v>
      </c>
      <c r="C2" s="5"/>
      <c r="D2" s="4" t="s">
        <v>7</v>
      </c>
    </row>
    <row r="3" spans="2:4" ht="20" customHeight="1" x14ac:dyDescent="0.2">
      <c r="B3" s="6" t="s">
        <v>24</v>
      </c>
    </row>
    <row r="4" spans="2:4" ht="20" customHeight="1" x14ac:dyDescent="0.2">
      <c r="B4" s="1" t="s">
        <v>0</v>
      </c>
      <c r="D4" s="9">
        <f>'EBITDA Bridge'!I13</f>
        <v>817.40000000000009</v>
      </c>
    </row>
    <row r="5" spans="2:4" ht="20" customHeight="1" x14ac:dyDescent="0.2">
      <c r="B5" s="1" t="s">
        <v>14</v>
      </c>
      <c r="D5" s="9">
        <f>Summary!I17</f>
        <v>183.3</v>
      </c>
    </row>
    <row r="6" spans="2:4" ht="20" customHeight="1" x14ac:dyDescent="0.2">
      <c r="B6" s="1" t="s">
        <v>15</v>
      </c>
      <c r="D6" s="9">
        <f>Summary!I18</f>
        <v>140.4</v>
      </c>
    </row>
    <row r="7" spans="2:4" ht="20" customHeight="1" x14ac:dyDescent="0.2">
      <c r="B7" s="1" t="s">
        <v>16</v>
      </c>
      <c r="D7" s="9">
        <f>Summary!I13</f>
        <v>212.2</v>
      </c>
    </row>
    <row r="8" spans="2:4" ht="20" customHeight="1" x14ac:dyDescent="0.2">
      <c r="B8" s="1" t="s">
        <v>3</v>
      </c>
      <c r="D8" s="9">
        <f>Summary!I24</f>
        <v>19.2</v>
      </c>
    </row>
    <row r="9" spans="2:4" ht="20" customHeight="1" thickBot="1" x14ac:dyDescent="0.25">
      <c r="B9" s="11" t="s">
        <v>17</v>
      </c>
      <c r="C9" s="11"/>
      <c r="D9" s="17">
        <f>D4/SUM(D5:D8)</f>
        <v>1.4725274725274724</v>
      </c>
    </row>
    <row r="10" spans="2:4" ht="20" customHeight="1" thickTop="1" x14ac:dyDescent="0.2"/>
    <row r="11" spans="2:4" ht="20" customHeight="1" x14ac:dyDescent="0.2">
      <c r="B11" s="6" t="s">
        <v>23</v>
      </c>
    </row>
    <row r="12" spans="2:4" ht="20" customHeight="1" x14ac:dyDescent="0.2">
      <c r="B12" s="1" t="s">
        <v>25</v>
      </c>
      <c r="D12" s="9">
        <f>Summary!I22</f>
        <v>174</v>
      </c>
    </row>
    <row r="13" spans="2:4" ht="20" customHeight="1" x14ac:dyDescent="0.2">
      <c r="B13" s="1" t="s">
        <v>26</v>
      </c>
      <c r="D13" s="9">
        <f>Summary!I26</f>
        <v>1124.5999999999999</v>
      </c>
    </row>
    <row r="14" spans="2:4" ht="5" customHeight="1" x14ac:dyDescent="0.2"/>
    <row r="15" spans="2:4" ht="20" customHeight="1" x14ac:dyDescent="0.2">
      <c r="B15" s="6" t="s">
        <v>27</v>
      </c>
    </row>
    <row r="16" spans="2:4" ht="20" customHeight="1" x14ac:dyDescent="0.2">
      <c r="B16" s="1" t="s">
        <v>3</v>
      </c>
      <c r="D16" s="9">
        <f>D8</f>
        <v>19.2</v>
      </c>
    </row>
    <row r="17" spans="2:4" ht="20" customHeight="1" x14ac:dyDescent="0.2">
      <c r="B17" s="1" t="s">
        <v>28</v>
      </c>
      <c r="D17" s="9">
        <f>Summary!I25</f>
        <v>0</v>
      </c>
    </row>
    <row r="18" spans="2:4" ht="5" customHeight="1" x14ac:dyDescent="0.2">
      <c r="D18" s="9"/>
    </row>
    <row r="19" spans="2:4" ht="20" customHeight="1" thickBot="1" x14ac:dyDescent="0.25">
      <c r="B19" s="11" t="s">
        <v>29</v>
      </c>
      <c r="C19" s="12"/>
      <c r="D19" s="16">
        <f>SUM(D12:D13)-SUM(D16:D17)</f>
        <v>1279.3999999999999</v>
      </c>
    </row>
    <row r="20" spans="2:4" ht="20" customHeight="1" thickTop="1" x14ac:dyDescent="0.2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A20DB-DD59-4C2A-B2AE-79A8B28F74A7}">
  <dimension ref="C4:K16"/>
  <sheetViews>
    <sheetView showGridLines="0" workbookViewId="0">
      <selection activeCell="E22" sqref="E22"/>
    </sheetView>
  </sheetViews>
  <sheetFormatPr baseColWidth="10" defaultColWidth="9.1640625" defaultRowHeight="17" customHeight="1" x14ac:dyDescent="0.2"/>
  <cols>
    <col min="1" max="4" width="9.1640625" style="1"/>
    <col min="5" max="7" width="20.83203125" style="1" customWidth="1"/>
    <col min="8" max="10" width="21.33203125" style="1" customWidth="1"/>
    <col min="11" max="11" width="17.6640625" style="1" customWidth="1"/>
    <col min="12" max="16384" width="9.1640625" style="1"/>
  </cols>
  <sheetData>
    <row r="4" spans="3:11" ht="17" customHeight="1" x14ac:dyDescent="0.2">
      <c r="C4" s="5" t="s">
        <v>62</v>
      </c>
      <c r="D4" s="5"/>
      <c r="E4" s="5"/>
      <c r="F4" s="4" t="s">
        <v>63</v>
      </c>
      <c r="G4" s="4" t="s">
        <v>64</v>
      </c>
      <c r="H4" s="4" t="s">
        <v>65</v>
      </c>
      <c r="I4" s="4" t="s">
        <v>66</v>
      </c>
      <c r="J4" s="4" t="s">
        <v>86</v>
      </c>
      <c r="K4" s="4" t="s">
        <v>87</v>
      </c>
    </row>
    <row r="5" spans="3:11" ht="17" customHeight="1" x14ac:dyDescent="0.2">
      <c r="C5" s="1" t="s">
        <v>68</v>
      </c>
      <c r="F5" s="33" t="s">
        <v>84</v>
      </c>
      <c r="G5" s="19" t="s">
        <v>83</v>
      </c>
      <c r="H5" s="23"/>
      <c r="I5" s="23">
        <v>650</v>
      </c>
      <c r="J5" s="19" t="s">
        <v>88</v>
      </c>
      <c r="K5" s="19" t="s">
        <v>91</v>
      </c>
    </row>
    <row r="6" spans="3:11" ht="17" customHeight="1" x14ac:dyDescent="0.2">
      <c r="C6" s="1" t="s">
        <v>69</v>
      </c>
      <c r="F6" s="34" t="s">
        <v>75</v>
      </c>
      <c r="G6" s="19" t="s">
        <v>83</v>
      </c>
      <c r="H6" s="23">
        <v>1200</v>
      </c>
      <c r="I6" s="23">
        <v>75</v>
      </c>
      <c r="J6" s="19" t="s">
        <v>88</v>
      </c>
      <c r="K6" s="19" t="s">
        <v>92</v>
      </c>
    </row>
    <row r="7" spans="3:11" ht="17" customHeight="1" x14ac:dyDescent="0.2">
      <c r="C7" s="1" t="s">
        <v>70</v>
      </c>
      <c r="F7" s="34" t="s">
        <v>76</v>
      </c>
      <c r="G7" s="19" t="s">
        <v>48</v>
      </c>
      <c r="H7" s="23">
        <v>500</v>
      </c>
      <c r="I7" s="23">
        <v>461</v>
      </c>
      <c r="J7" s="19" t="s">
        <v>89</v>
      </c>
      <c r="K7" s="19" t="s">
        <v>92</v>
      </c>
    </row>
    <row r="8" spans="3:11" ht="17" customHeight="1" x14ac:dyDescent="0.2">
      <c r="C8" s="1" t="s">
        <v>67</v>
      </c>
      <c r="F8" s="19">
        <v>2025</v>
      </c>
      <c r="G8" s="19" t="s">
        <v>77</v>
      </c>
      <c r="H8" s="23"/>
      <c r="I8" s="23">
        <v>0</v>
      </c>
      <c r="J8" s="19" t="s">
        <v>88</v>
      </c>
      <c r="K8" s="19" t="s">
        <v>93</v>
      </c>
    </row>
    <row r="9" spans="3:11" ht="17" customHeight="1" x14ac:dyDescent="0.2">
      <c r="C9" s="1" t="s">
        <v>67</v>
      </c>
      <c r="F9" s="19">
        <v>2027</v>
      </c>
      <c r="G9" s="19" t="s">
        <v>78</v>
      </c>
      <c r="H9" s="23"/>
      <c r="I9" s="23">
        <v>0</v>
      </c>
      <c r="J9" s="19" t="s">
        <v>88</v>
      </c>
      <c r="K9" s="19" t="s">
        <v>93</v>
      </c>
    </row>
    <row r="10" spans="3:11" ht="17" customHeight="1" x14ac:dyDescent="0.2">
      <c r="C10" s="1" t="s">
        <v>67</v>
      </c>
      <c r="F10" s="19">
        <v>2029</v>
      </c>
      <c r="G10" s="19" t="s">
        <v>79</v>
      </c>
      <c r="H10" s="23"/>
      <c r="I10" s="23">
        <v>669.3</v>
      </c>
      <c r="J10" s="19" t="s">
        <v>88</v>
      </c>
      <c r="K10" s="19" t="s">
        <v>93</v>
      </c>
    </row>
    <row r="11" spans="3:11" ht="17" customHeight="1" x14ac:dyDescent="0.2">
      <c r="C11" s="1" t="s">
        <v>67</v>
      </c>
      <c r="F11" s="19">
        <v>2030</v>
      </c>
      <c r="G11" s="19" t="s">
        <v>80</v>
      </c>
      <c r="H11" s="23"/>
      <c r="I11" s="23">
        <v>515.29999999999995</v>
      </c>
      <c r="J11" s="19" t="s">
        <v>88</v>
      </c>
      <c r="K11" s="19" t="s">
        <v>93</v>
      </c>
    </row>
    <row r="12" spans="3:11" ht="17" customHeight="1" x14ac:dyDescent="0.2">
      <c r="C12" s="1" t="s">
        <v>67</v>
      </c>
      <c r="F12" s="19">
        <v>2033</v>
      </c>
      <c r="G12" s="19" t="s">
        <v>81</v>
      </c>
      <c r="H12" s="23"/>
      <c r="I12" s="23">
        <v>600</v>
      </c>
      <c r="J12" s="19" t="s">
        <v>88</v>
      </c>
      <c r="K12" s="19" t="s">
        <v>93</v>
      </c>
    </row>
    <row r="13" spans="3:11" ht="17" customHeight="1" x14ac:dyDescent="0.2">
      <c r="C13" s="1" t="s">
        <v>71</v>
      </c>
      <c r="F13" s="19" t="s">
        <v>48</v>
      </c>
      <c r="G13" s="19" t="s">
        <v>82</v>
      </c>
      <c r="H13" s="23"/>
      <c r="I13" s="23">
        <v>83</v>
      </c>
      <c r="J13" s="19" t="s">
        <v>90</v>
      </c>
      <c r="K13" s="19" t="s">
        <v>94</v>
      </c>
    </row>
    <row r="14" spans="3:11" ht="17" customHeight="1" x14ac:dyDescent="0.2">
      <c r="C14" s="1" t="s">
        <v>72</v>
      </c>
      <c r="F14" s="19" t="s">
        <v>48</v>
      </c>
      <c r="G14" s="19" t="s">
        <v>85</v>
      </c>
      <c r="H14" s="23"/>
      <c r="I14" s="23">
        <v>2.9</v>
      </c>
      <c r="J14" s="19" t="s">
        <v>90</v>
      </c>
      <c r="K14" s="19" t="s">
        <v>95</v>
      </c>
    </row>
    <row r="15" spans="3:11" ht="17" customHeight="1" x14ac:dyDescent="0.2">
      <c r="C15" s="1" t="s">
        <v>73</v>
      </c>
      <c r="F15" s="19" t="s">
        <v>48</v>
      </c>
      <c r="G15" s="19" t="s">
        <v>48</v>
      </c>
      <c r="H15" s="23"/>
      <c r="I15" s="23">
        <v>-20.7</v>
      </c>
      <c r="J15" s="19" t="s">
        <v>48</v>
      </c>
      <c r="K15" s="19" t="s">
        <v>48</v>
      </c>
    </row>
    <row r="16" spans="3:11" ht="17" customHeight="1" x14ac:dyDescent="0.2">
      <c r="C16" s="1" t="s">
        <v>74</v>
      </c>
      <c r="F16" s="19" t="s">
        <v>48</v>
      </c>
      <c r="G16" s="19" t="s">
        <v>48</v>
      </c>
      <c r="H16" s="23"/>
      <c r="I16" s="23">
        <v>0</v>
      </c>
      <c r="J16" s="19" t="s">
        <v>48</v>
      </c>
      <c r="K16" s="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EBITDA Bridge</vt:lpstr>
      <vt:lpstr>Liquidity Analysis</vt:lpstr>
      <vt:lpstr>Cap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Nguyen</dc:creator>
  <cp:lastModifiedBy>Pham, Chloe</cp:lastModifiedBy>
  <dcterms:created xsi:type="dcterms:W3CDTF">2025-06-21T00:31:54Z</dcterms:created>
  <dcterms:modified xsi:type="dcterms:W3CDTF">2025-10-22T13:04:48Z</dcterms:modified>
</cp:coreProperties>
</file>