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https://aspiresysinc.sharepoint.com/sites/CaseysRFI/Shared Documents/General/Enterprise Service Layer RFP/"/>
    </mc:Choice>
  </mc:AlternateContent>
  <xr:revisionPtr revIDLastSave="140" documentId="11_CA6FD29FD5ADDA24F6DE7E8429E132D8274A7565" xr6:coauthVersionLast="45" xr6:coauthVersionMax="45" xr10:uidLastSave="{3549D8EE-B916-466F-BEDC-5DAF43EE2483}"/>
  <bookViews>
    <workbookView xWindow="30" yWindow="30" windowWidth="20460" windowHeight="10890" firstSheet="5" activeTab="5" xr2:uid="{00000000-000D-0000-FFFF-FFFF00000000}"/>
  </bookViews>
  <sheets>
    <sheet name="Baseline v2" sheetId="1" r:id="rId1"/>
    <sheet name="Complexity Breaddown" sheetId="8" r:id="rId2"/>
    <sheet name="Interface Details" sheetId="2" r:id="rId3"/>
    <sheet name="Effort&amp;CostEstimates for Impl." sheetId="3" r:id="rId4"/>
    <sheet name="Sheet2" sheetId="5" state="hidden" r:id="rId5"/>
    <sheet name="Assessment and POC Estimate" sheetId="11" r:id="rId6"/>
    <sheet name="Resource Plan and Estimate" sheetId="13" r:id="rId7"/>
    <sheet name="Timeline" sheetId="14" r:id="rId8"/>
    <sheet name="R&amp;R" sheetId="12" r:id="rId9"/>
    <sheet name="Assumptions" sheetId="7" r:id="rId10"/>
  </sheets>
  <definedNames>
    <definedName name="_xlnm._FilterDatabase" localSheetId="2" hidden="1">'Interface Details'!$A$1:$P$61</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4" i="14" l="1"/>
  <c r="D25" i="14"/>
  <c r="D26" i="14"/>
  <c r="D20" i="14"/>
  <c r="D21" i="14"/>
  <c r="D22" i="14"/>
  <c r="D23" i="14"/>
  <c r="E26" i="11"/>
  <c r="F26" i="11" s="1"/>
  <c r="E13" i="11"/>
  <c r="G12" i="11"/>
  <c r="H12" i="11" s="1"/>
  <c r="F12" i="11" l="1"/>
  <c r="D27" i="14"/>
  <c r="D56" i="13"/>
  <c r="D49" i="13"/>
  <c r="E38" i="13"/>
  <c r="C11" i="3"/>
  <c r="E27" i="11" l="1"/>
  <c r="I3" i="2" l="1"/>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J58" i="2"/>
  <c r="K58" i="2"/>
  <c r="M58" i="2"/>
  <c r="N58" i="2"/>
  <c r="O58" i="2"/>
  <c r="J59" i="2"/>
  <c r="K59" i="2"/>
  <c r="M59" i="2"/>
  <c r="N59" i="2"/>
  <c r="O59" i="2"/>
  <c r="J56" i="2"/>
  <c r="K56" i="2"/>
  <c r="M56" i="2"/>
  <c r="N56" i="2"/>
  <c r="O56" i="2"/>
  <c r="J57" i="2"/>
  <c r="K57" i="2"/>
  <c r="M57" i="2"/>
  <c r="N57" i="2"/>
  <c r="O57" i="2"/>
  <c r="J54" i="2"/>
  <c r="K54" i="2"/>
  <c r="M54" i="2"/>
  <c r="N54" i="2"/>
  <c r="O54" i="2"/>
  <c r="J55" i="2"/>
  <c r="K55" i="2"/>
  <c r="M55" i="2"/>
  <c r="N55" i="2"/>
  <c r="O55" i="2"/>
  <c r="N53" i="2"/>
  <c r="M53" i="2"/>
  <c r="K53" i="2"/>
  <c r="J53" i="2"/>
  <c r="O53" i="2" s="1"/>
  <c r="V16" i="13" l="1"/>
  <c r="V17" i="13"/>
  <c r="V18" i="13"/>
  <c r="V19" i="13"/>
  <c r="V20" i="13"/>
  <c r="V15" i="13"/>
  <c r="Q16" i="13"/>
  <c r="Q17" i="13"/>
  <c r="Q18" i="13"/>
  <c r="Q19" i="13"/>
  <c r="Q20" i="13"/>
  <c r="Q15" i="13"/>
  <c r="AJ16" i="13"/>
  <c r="AJ17" i="13"/>
  <c r="AJ18" i="13"/>
  <c r="AJ19" i="13"/>
  <c r="AJ20" i="13"/>
  <c r="AE16" i="13"/>
  <c r="AE17" i="13"/>
  <c r="AE18" i="13"/>
  <c r="AE19" i="13"/>
  <c r="AE20" i="13"/>
  <c r="L16" i="13"/>
  <c r="L17" i="13"/>
  <c r="L18" i="13"/>
  <c r="L19" i="13"/>
  <c r="L20" i="13"/>
  <c r="G16" i="13"/>
  <c r="G17" i="13"/>
  <c r="G18" i="13"/>
  <c r="G19" i="13"/>
  <c r="G20" i="13"/>
  <c r="B28" i="13"/>
  <c r="B29" i="13"/>
  <c r="B30" i="13"/>
  <c r="B31" i="13"/>
  <c r="B27" i="13"/>
  <c r="B26" i="13"/>
  <c r="C30" i="13"/>
  <c r="AI21" i="13"/>
  <c r="AH21" i="13"/>
  <c r="AG21" i="13"/>
  <c r="AF21" i="13"/>
  <c r="AD21" i="13"/>
  <c r="AC21" i="13"/>
  <c r="AB21" i="13"/>
  <c r="AA21" i="13"/>
  <c r="Z21" i="13"/>
  <c r="Y21" i="13"/>
  <c r="X21" i="13"/>
  <c r="W21" i="13"/>
  <c r="K21" i="13"/>
  <c r="J21" i="13"/>
  <c r="I21" i="13"/>
  <c r="H21" i="13"/>
  <c r="F21" i="13"/>
  <c r="E21" i="13"/>
  <c r="D21" i="13"/>
  <c r="C21" i="13"/>
  <c r="AJ15" i="13"/>
  <c r="AE15" i="13"/>
  <c r="L15" i="13"/>
  <c r="G15" i="13"/>
  <c r="H26" i="13" l="1"/>
  <c r="G26" i="13"/>
  <c r="F26" i="13"/>
  <c r="E26" i="13"/>
  <c r="H27" i="13"/>
  <c r="G27" i="13"/>
  <c r="F27" i="13"/>
  <c r="E27" i="13"/>
  <c r="H31" i="13"/>
  <c r="G31" i="13"/>
  <c r="F31" i="13"/>
  <c r="E31" i="13"/>
  <c r="H30" i="13"/>
  <c r="G30" i="13"/>
  <c r="F30" i="13"/>
  <c r="E30" i="13"/>
  <c r="H29" i="13"/>
  <c r="G29" i="13"/>
  <c r="F29" i="13"/>
  <c r="E29" i="13"/>
  <c r="H28" i="13"/>
  <c r="G28" i="13"/>
  <c r="F28" i="13"/>
  <c r="E28" i="13"/>
  <c r="C31" i="13"/>
  <c r="D30" i="13"/>
  <c r="D28" i="13"/>
  <c r="H32" i="13"/>
  <c r="D29" i="13"/>
  <c r="C29" i="13"/>
  <c r="C27" i="13"/>
  <c r="D31" i="13"/>
  <c r="D27" i="13"/>
  <c r="C28" i="13"/>
  <c r="D26" i="13"/>
  <c r="D32" i="13" s="1"/>
  <c r="C26" i="13"/>
  <c r="C32" i="13" s="1"/>
  <c r="E32" i="13" l="1"/>
  <c r="F32" i="13"/>
  <c r="G32" i="13"/>
  <c r="I32" i="13" l="1"/>
  <c r="L32" i="13" s="1"/>
  <c r="E25" i="11"/>
  <c r="E24" i="11"/>
  <c r="G13" i="11"/>
  <c r="E11" i="11"/>
  <c r="G11" i="11"/>
  <c r="J6" i="8"/>
  <c r="D7" i="8"/>
  <c r="F11" i="11" l="1"/>
  <c r="F27" i="11"/>
  <c r="F25" i="11"/>
  <c r="H11" i="11"/>
  <c r="H13" i="11"/>
  <c r="F13" i="11"/>
  <c r="F24" i="11"/>
  <c r="I2" i="8"/>
  <c r="H2" i="8"/>
  <c r="G2" i="8"/>
  <c r="F2" i="8"/>
  <c r="E2" i="8"/>
  <c r="I3" i="8"/>
  <c r="H3" i="8"/>
  <c r="G3" i="8"/>
  <c r="F3" i="8"/>
  <c r="E3" i="8"/>
  <c r="J3" i="8" s="1"/>
  <c r="I4" i="8"/>
  <c r="H4" i="8"/>
  <c r="G4" i="8"/>
  <c r="F4" i="8"/>
  <c r="E4" i="8"/>
  <c r="J4" i="8" s="1"/>
  <c r="I5" i="8"/>
  <c r="H5" i="8"/>
  <c r="G5" i="8"/>
  <c r="F5" i="8"/>
  <c r="E5" i="8"/>
  <c r="J5" i="8" s="1"/>
  <c r="F14" i="11" l="1"/>
  <c r="J2" i="8"/>
  <c r="E7" i="8"/>
  <c r="F7" i="8"/>
  <c r="G7" i="8"/>
  <c r="H7" i="8"/>
  <c r="I7" i="8"/>
  <c r="H14" i="11"/>
  <c r="F28" i="11"/>
  <c r="I2" i="2" l="1"/>
  <c r="L61" i="2"/>
  <c r="G12" i="3" s="1"/>
  <c r="J3" i="2"/>
  <c r="K3" i="2"/>
  <c r="M3" i="2"/>
  <c r="N3" i="2"/>
  <c r="J4" i="2"/>
  <c r="K4" i="2"/>
  <c r="M4" i="2"/>
  <c r="N4" i="2"/>
  <c r="J5" i="2"/>
  <c r="K5" i="2"/>
  <c r="M5" i="2"/>
  <c r="N5" i="2"/>
  <c r="J6" i="2"/>
  <c r="K6" i="2"/>
  <c r="M6" i="2"/>
  <c r="N6" i="2"/>
  <c r="J7" i="2"/>
  <c r="K7" i="2"/>
  <c r="M7" i="2"/>
  <c r="N7" i="2"/>
  <c r="J8" i="2"/>
  <c r="K8" i="2"/>
  <c r="M8" i="2"/>
  <c r="N8" i="2"/>
  <c r="J9" i="2"/>
  <c r="K9" i="2"/>
  <c r="M9" i="2"/>
  <c r="N9" i="2"/>
  <c r="J10" i="2"/>
  <c r="K10" i="2"/>
  <c r="M10" i="2"/>
  <c r="N10" i="2"/>
  <c r="J11" i="2"/>
  <c r="K11" i="2"/>
  <c r="M11" i="2"/>
  <c r="N11" i="2"/>
  <c r="J12" i="2"/>
  <c r="K12" i="2"/>
  <c r="M12" i="2"/>
  <c r="N12" i="2"/>
  <c r="J13" i="2"/>
  <c r="K13" i="2"/>
  <c r="M13" i="2"/>
  <c r="N13" i="2"/>
  <c r="J14" i="2"/>
  <c r="K14" i="2"/>
  <c r="M14" i="2"/>
  <c r="N14" i="2"/>
  <c r="J15" i="2"/>
  <c r="K15" i="2"/>
  <c r="M15" i="2"/>
  <c r="N15" i="2"/>
  <c r="J16" i="2"/>
  <c r="K16" i="2"/>
  <c r="M16" i="2"/>
  <c r="N16" i="2"/>
  <c r="J17" i="2"/>
  <c r="K17" i="2"/>
  <c r="M17" i="2"/>
  <c r="N17" i="2"/>
  <c r="J18" i="2"/>
  <c r="K18" i="2"/>
  <c r="M18" i="2"/>
  <c r="N18" i="2"/>
  <c r="J19" i="2"/>
  <c r="K19" i="2"/>
  <c r="M19" i="2"/>
  <c r="N19" i="2"/>
  <c r="J20" i="2"/>
  <c r="K20" i="2"/>
  <c r="M20" i="2"/>
  <c r="N20" i="2"/>
  <c r="J21" i="2"/>
  <c r="K21" i="2"/>
  <c r="M21" i="2"/>
  <c r="N21" i="2"/>
  <c r="J22" i="2"/>
  <c r="K22" i="2"/>
  <c r="M22" i="2"/>
  <c r="N22" i="2"/>
  <c r="J23" i="2"/>
  <c r="K23" i="2"/>
  <c r="M23" i="2"/>
  <c r="N23" i="2"/>
  <c r="J24" i="2"/>
  <c r="K24" i="2"/>
  <c r="M24" i="2"/>
  <c r="N24" i="2"/>
  <c r="J25" i="2"/>
  <c r="K25" i="2"/>
  <c r="M25" i="2"/>
  <c r="N25" i="2"/>
  <c r="J26" i="2"/>
  <c r="K26" i="2"/>
  <c r="M26" i="2"/>
  <c r="N26" i="2"/>
  <c r="J27" i="2"/>
  <c r="K27" i="2"/>
  <c r="M27" i="2"/>
  <c r="N27" i="2"/>
  <c r="J28" i="2"/>
  <c r="K28" i="2"/>
  <c r="M28" i="2"/>
  <c r="N28" i="2"/>
  <c r="J29" i="2"/>
  <c r="K29" i="2"/>
  <c r="M29" i="2"/>
  <c r="N29" i="2"/>
  <c r="J30" i="2"/>
  <c r="K30" i="2"/>
  <c r="M30" i="2"/>
  <c r="N30" i="2"/>
  <c r="J31" i="2"/>
  <c r="K31" i="2"/>
  <c r="M31" i="2"/>
  <c r="N31" i="2"/>
  <c r="J32" i="2"/>
  <c r="K32" i="2"/>
  <c r="M32" i="2"/>
  <c r="N32" i="2"/>
  <c r="J33" i="2"/>
  <c r="K33" i="2"/>
  <c r="M33" i="2"/>
  <c r="N33" i="2"/>
  <c r="J34" i="2"/>
  <c r="K34" i="2"/>
  <c r="M34" i="2"/>
  <c r="N34" i="2"/>
  <c r="J35" i="2"/>
  <c r="K35" i="2"/>
  <c r="M35" i="2"/>
  <c r="N35" i="2"/>
  <c r="J36" i="2"/>
  <c r="K36" i="2"/>
  <c r="M36" i="2"/>
  <c r="N36" i="2"/>
  <c r="J37" i="2"/>
  <c r="K37" i="2"/>
  <c r="M37" i="2"/>
  <c r="N37" i="2"/>
  <c r="J38" i="2"/>
  <c r="K38" i="2"/>
  <c r="M38" i="2"/>
  <c r="N38" i="2"/>
  <c r="J39" i="2"/>
  <c r="K39" i="2"/>
  <c r="M39" i="2"/>
  <c r="N39" i="2"/>
  <c r="J40" i="2"/>
  <c r="K40" i="2"/>
  <c r="M40" i="2"/>
  <c r="N40" i="2"/>
  <c r="J41" i="2"/>
  <c r="K41" i="2"/>
  <c r="M41" i="2"/>
  <c r="N41" i="2"/>
  <c r="J42" i="2"/>
  <c r="K42" i="2"/>
  <c r="M42" i="2"/>
  <c r="N42" i="2"/>
  <c r="J43" i="2"/>
  <c r="K43" i="2"/>
  <c r="M43" i="2"/>
  <c r="N43" i="2"/>
  <c r="J44" i="2"/>
  <c r="K44" i="2"/>
  <c r="M44" i="2"/>
  <c r="N44" i="2"/>
  <c r="J45" i="2"/>
  <c r="K45" i="2"/>
  <c r="M45" i="2"/>
  <c r="N45" i="2"/>
  <c r="J46" i="2"/>
  <c r="K46" i="2"/>
  <c r="M46" i="2"/>
  <c r="N46" i="2"/>
  <c r="J47" i="2"/>
  <c r="K47" i="2"/>
  <c r="M47" i="2"/>
  <c r="N47" i="2"/>
  <c r="J48" i="2"/>
  <c r="K48" i="2"/>
  <c r="M48" i="2"/>
  <c r="N48" i="2"/>
  <c r="J49" i="2"/>
  <c r="K49" i="2"/>
  <c r="M49" i="2"/>
  <c r="N49" i="2"/>
  <c r="J50" i="2"/>
  <c r="K50" i="2"/>
  <c r="M50" i="2"/>
  <c r="N50" i="2"/>
  <c r="J51" i="2"/>
  <c r="K51" i="2"/>
  <c r="M51" i="2"/>
  <c r="N51" i="2"/>
  <c r="J52" i="2"/>
  <c r="K52" i="2"/>
  <c r="M52" i="2"/>
  <c r="N52" i="2"/>
  <c r="J60" i="2"/>
  <c r="K60" i="2"/>
  <c r="M60" i="2"/>
  <c r="N60" i="2"/>
  <c r="M2" i="2"/>
  <c r="O33" i="2" l="1"/>
  <c r="O23" i="2"/>
  <c r="O4" i="2"/>
  <c r="O60" i="2"/>
  <c r="O50" i="2"/>
  <c r="O36" i="2"/>
  <c r="O10" i="2"/>
  <c r="O29" i="2"/>
  <c r="O27" i="2"/>
  <c r="O19" i="2"/>
  <c r="O15" i="2"/>
  <c r="O13" i="2"/>
  <c r="O26" i="2"/>
  <c r="O9" i="2"/>
  <c r="O5" i="2"/>
  <c r="O41" i="2"/>
  <c r="O51" i="2"/>
  <c r="O46" i="2"/>
  <c r="O35" i="2"/>
  <c r="O34" i="2"/>
  <c r="O31" i="2"/>
  <c r="O24" i="2"/>
  <c r="O21" i="2"/>
  <c r="O8" i="2"/>
  <c r="O7" i="2"/>
  <c r="O3" i="2"/>
  <c r="O44" i="2"/>
  <c r="O38" i="2"/>
  <c r="O47" i="2"/>
  <c r="O39" i="2"/>
  <c r="O14" i="2"/>
  <c r="O43" i="2"/>
  <c r="M61" i="2"/>
  <c r="G13" i="3" s="1"/>
  <c r="O52" i="2"/>
  <c r="O49" i="2"/>
  <c r="O48" i="2"/>
  <c r="O45" i="2"/>
  <c r="O42" i="2"/>
  <c r="O40" i="2"/>
  <c r="O37" i="2"/>
  <c r="O32" i="2"/>
  <c r="O30" i="2"/>
  <c r="O28" i="2"/>
  <c r="O25" i="2"/>
  <c r="O22" i="2"/>
  <c r="O20" i="2"/>
  <c r="O18" i="2"/>
  <c r="O17" i="2"/>
  <c r="O16" i="2"/>
  <c r="O12" i="2"/>
  <c r="O11" i="2"/>
  <c r="O6" i="2"/>
  <c r="C5" i="1"/>
  <c r="G15" i="3" l="1"/>
  <c r="C20" i="3"/>
  <c r="C9" i="1"/>
  <c r="C8" i="1"/>
  <c r="C7" i="1"/>
  <c r="C6" i="1"/>
  <c r="N2" i="2" l="1"/>
  <c r="N61" i="2" s="1"/>
  <c r="G18" i="3" s="1"/>
  <c r="K2" i="2"/>
  <c r="K61" i="2" s="1"/>
  <c r="G11" i="3" s="1"/>
  <c r="J2" i="2"/>
  <c r="J61" i="2" s="1"/>
  <c r="G10" i="3" s="1"/>
  <c r="B21" i="1"/>
  <c r="O2" i="2" l="1"/>
  <c r="O61" i="2" s="1"/>
  <c r="P61" i="2" l="1"/>
  <c r="C14" i="3"/>
  <c r="C15" i="3" s="1"/>
  <c r="G14" i="3" s="1"/>
  <c r="G17" i="3" l="1"/>
  <c r="G19" i="3" s="1"/>
  <c r="G20" i="3" s="1"/>
  <c r="G21" i="3" s="1"/>
  <c r="C16" i="3" l="1"/>
  <c r="C21" i="3" s="1"/>
  <c r="C22" i="3" s="1"/>
  <c r="C23"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Aswin Sadasivam</author>
  </authors>
  <commentList>
    <comment ref="C10" authorId="0" shapeId="0" xr:uid="{00000000-0006-0000-0300-000001000000}">
      <text>
        <r>
          <rPr>
            <sz val="9"/>
            <color indexed="81"/>
            <rFont val="Tahoma"/>
            <family val="2"/>
          </rPr>
          <t>Can be made to zero if Auras is not used.</t>
        </r>
      </text>
    </comment>
  </commentList>
</comments>
</file>

<file path=xl/sharedStrings.xml><?xml version="1.0" encoding="utf-8"?>
<sst xmlns="http://schemas.openxmlformats.org/spreadsheetml/2006/main" count="1042" uniqueCount="392">
  <si>
    <t>Man Day in Hours</t>
  </si>
  <si>
    <t>Boomi Service Level Estimation Baseline (Development+Unit Testing)</t>
  </si>
  <si>
    <t>Complexity</t>
  </si>
  <si>
    <t>Efforts in Hours</t>
  </si>
  <si>
    <t>Justification</t>
  </si>
  <si>
    <t>Complex Services</t>
  </si>
  <si>
    <t>Complex</t>
  </si>
  <si>
    <t>Process or workflow service that orchestrate by multiple service invocations</t>
  </si>
  <si>
    <t>Medium Complex</t>
  </si>
  <si>
    <t>Service with data aggregation, validation and transformation, Audit</t>
  </si>
  <si>
    <t>Medium Services</t>
  </si>
  <si>
    <t>Medium</t>
  </si>
  <si>
    <t>Service with data aggregation, validation and transformation</t>
  </si>
  <si>
    <t>Simple Medium</t>
  </si>
  <si>
    <t>Data Insert/Update/Query/Proxy Services</t>
  </si>
  <si>
    <t>Simple Services</t>
  </si>
  <si>
    <t>Simple</t>
  </si>
  <si>
    <t>Simple routing and proxy</t>
  </si>
  <si>
    <t>Enterprise Integration</t>
  </si>
  <si>
    <t>Effort Distribution Baseline</t>
  </si>
  <si>
    <t>Phase</t>
  </si>
  <si>
    <t>Baseline Vals</t>
  </si>
  <si>
    <t>Requirements</t>
  </si>
  <si>
    <t>Design</t>
  </si>
  <si>
    <t>Construction</t>
  </si>
  <si>
    <t>Unit Test and Test Execution</t>
  </si>
  <si>
    <t>PM and Delivery</t>
  </si>
  <si>
    <t>TOTAL</t>
  </si>
  <si>
    <t>Note:  The above estimation baseline is applicable to projects that using ESB and SOA based tools only.
***  Please recheck the values based on the specific tools and technologies since the complexity level may vary depending on the features of the product.</t>
  </si>
  <si>
    <t>No. of interfaces</t>
  </si>
  <si>
    <t>Requirement (man hours)</t>
  </si>
  <si>
    <t>Design (man hours)</t>
  </si>
  <si>
    <t>Construction (man hours)</t>
  </si>
  <si>
    <t>Test cases and execution (man hours)</t>
  </si>
  <si>
    <t>PM and Delivery (man hours)</t>
  </si>
  <si>
    <t>Total (man hours)</t>
  </si>
  <si>
    <t>Process or workflow service that orchestrate by multiple service invocations [OR] one to 7 or more mapping</t>
  </si>
  <si>
    <t>Service with data aggregation, validation and transformation, Audit [OR] one to five or six mapping</t>
  </si>
  <si>
    <t>Service with data aggregation, validation and transformation [OR] one to three or four mapping</t>
  </si>
  <si>
    <t>Data Insert/Update/Query/Proxy Services [OR] one to two mapping</t>
  </si>
  <si>
    <t>Simple routing and proxy [OR] one to one mapping</t>
  </si>
  <si>
    <t>Total</t>
  </si>
  <si>
    <t>Sl. No.</t>
  </si>
  <si>
    <t>Interface Name</t>
  </si>
  <si>
    <t>Source</t>
  </si>
  <si>
    <t>Target</t>
  </si>
  <si>
    <t>Integration Type</t>
  </si>
  <si>
    <t>Request / Response</t>
  </si>
  <si>
    <t>Interface Source Type</t>
  </si>
  <si>
    <t>Interface Target Type</t>
  </si>
  <si>
    <t>Requirements
(man hours)</t>
  </si>
  <si>
    <t>Design
(man hours)</t>
  </si>
  <si>
    <t>Construction
(man hours)</t>
  </si>
  <si>
    <t>Test case 
&amp; Test Execution
(man hours)</t>
  </si>
  <si>
    <t>PM and Delivery
(man hours)</t>
  </si>
  <si>
    <t>Individual Total
(man hours)</t>
  </si>
  <si>
    <t>Items</t>
  </si>
  <si>
    <t>Merchandising</t>
  </si>
  <si>
    <t>eCommerce</t>
  </si>
  <si>
    <t>Batch</t>
  </si>
  <si>
    <t>Y</t>
  </si>
  <si>
    <t>Pricing</t>
  </si>
  <si>
    <t>Batch / On-demand</t>
  </si>
  <si>
    <t>Suppliers</t>
  </si>
  <si>
    <t>Financials</t>
  </si>
  <si>
    <t>Real time</t>
  </si>
  <si>
    <t>GL Entries</t>
  </si>
  <si>
    <t>N</t>
  </si>
  <si>
    <t>Invoices</t>
  </si>
  <si>
    <t>Customer Orders &amp; Inventory Sync</t>
  </si>
  <si>
    <t>WMS / OMS</t>
  </si>
  <si>
    <t>Real time / On-demand</t>
  </si>
  <si>
    <t>DC To DC Transfers</t>
  </si>
  <si>
    <t>WMS</t>
  </si>
  <si>
    <t>Item</t>
  </si>
  <si>
    <t>Item Supplier</t>
  </si>
  <si>
    <t>Item Image</t>
  </si>
  <si>
    <t>Item UPC</t>
  </si>
  <si>
    <t>Item BOM</t>
  </si>
  <si>
    <t>Store SOH</t>
  </si>
  <si>
    <t>Store Location</t>
  </si>
  <si>
    <t>Purchase Order</t>
  </si>
  <si>
    <t>Cycle Count</t>
  </si>
  <si>
    <t>Receipts (PO &amp; Transfer)</t>
  </si>
  <si>
    <t>PO ASN</t>
  </si>
  <si>
    <t>Inventory Adjustments</t>
  </si>
  <si>
    <t>Return To Vendor</t>
  </si>
  <si>
    <t>Transfer Shipment ASN Out</t>
  </si>
  <si>
    <t>SOH</t>
  </si>
  <si>
    <t>Allocation</t>
  </si>
  <si>
    <t>ASN</t>
  </si>
  <si>
    <t>Sales Data Feed</t>
  </si>
  <si>
    <t>CRM</t>
  </si>
  <si>
    <t>Foundation Data &amp; Pricing</t>
  </si>
  <si>
    <t xml:space="preserve">Merchandising </t>
  </si>
  <si>
    <t>POS</t>
  </si>
  <si>
    <t>SalesPosting</t>
  </si>
  <si>
    <t>Sales Audit</t>
  </si>
  <si>
    <t xml:space="preserve">Retail Sales </t>
  </si>
  <si>
    <t xml:space="preserve">Financials </t>
  </si>
  <si>
    <t>Real Estate</t>
  </si>
  <si>
    <t xml:space="preserve">Invoice </t>
  </si>
  <si>
    <t xml:space="preserve">Payment  </t>
  </si>
  <si>
    <t>Payroll</t>
  </si>
  <si>
    <t xml:space="preserve">Payroll </t>
  </si>
  <si>
    <t xml:space="preserve">AP Invoice Payments </t>
  </si>
  <si>
    <t>Payment provider</t>
  </si>
  <si>
    <t xml:space="preserve">Employee Data </t>
  </si>
  <si>
    <t>HRM</t>
  </si>
  <si>
    <t>Customer operations</t>
  </si>
  <si>
    <t>POS / eCommerce / Customer Service</t>
  </si>
  <si>
    <t>Loyalty Points Sign-up</t>
  </si>
  <si>
    <t>POS  / eCommerce / mCommerce</t>
  </si>
  <si>
    <t>Loyalty System</t>
  </si>
  <si>
    <t>Gift card activation</t>
  </si>
  <si>
    <t>POS / eCommerce / mCommerce</t>
  </si>
  <si>
    <t>Gift card system</t>
  </si>
  <si>
    <t>Tax calculation</t>
  </si>
  <si>
    <t>POS / eCommerce / mCommerce / OMS / WMS</t>
  </si>
  <si>
    <t>Tax System</t>
  </si>
  <si>
    <t>Fraud Check</t>
  </si>
  <si>
    <t>eCommerce / mCommerce / OMS</t>
  </si>
  <si>
    <t>Fraud Check System</t>
  </si>
  <si>
    <t>Address verification</t>
  </si>
  <si>
    <t>Address verification system</t>
  </si>
  <si>
    <t>POS / eCommerce / mCommerce / OMS</t>
  </si>
  <si>
    <t>3rd party order taking sites</t>
  </si>
  <si>
    <t>Delivery aggregator</t>
  </si>
  <si>
    <t>Order view</t>
  </si>
  <si>
    <t>POS / eCommerce / mCommerce / Customer Service</t>
  </si>
  <si>
    <t>OMS</t>
  </si>
  <si>
    <t>Returns / Exchange</t>
  </si>
  <si>
    <t>POS / eCommerce / mCommerce / Customer Service / WMS</t>
  </si>
  <si>
    <t>Analytics</t>
  </si>
  <si>
    <t>POS / eCommerce / mCommerce / Merchandising / Allocation / CRM / 3rd party order taking sites / Financials</t>
  </si>
  <si>
    <t>Reporting</t>
  </si>
  <si>
    <t>Store Inventory</t>
  </si>
  <si>
    <t>Inventory management system</t>
  </si>
  <si>
    <t>Transportation and Logistics</t>
  </si>
  <si>
    <t>Supplier</t>
  </si>
  <si>
    <t>3PL</t>
  </si>
  <si>
    <t>Shipping Updates</t>
  </si>
  <si>
    <t>Content management</t>
  </si>
  <si>
    <t>eCommerce / mCommerce</t>
  </si>
  <si>
    <t>CMS</t>
  </si>
  <si>
    <t>Real time / On-demand / Batch</t>
  </si>
  <si>
    <t>Customer Experience</t>
  </si>
  <si>
    <t>CX</t>
  </si>
  <si>
    <t>Marketing</t>
  </si>
  <si>
    <t>Data Security</t>
  </si>
  <si>
    <t>API Security</t>
  </si>
  <si>
    <t>Notification</t>
  </si>
  <si>
    <t>Error/Exception Handling</t>
  </si>
  <si>
    <t>Data consolidation</t>
  </si>
  <si>
    <t>Data Quality / Transformation</t>
  </si>
  <si>
    <t>Logging</t>
  </si>
  <si>
    <t>Resource</t>
  </si>
  <si>
    <t>Rate (USD/hr)</t>
  </si>
  <si>
    <t>Integration Tech Lead</t>
  </si>
  <si>
    <t>Senior Integration Engineer</t>
  </si>
  <si>
    <t>Environment and Dependency Setup</t>
  </si>
  <si>
    <t>Integration Engineer</t>
  </si>
  <si>
    <t>Environment Name</t>
  </si>
  <si>
    <t>Effort (hrs)</t>
  </si>
  <si>
    <t>Project Manager</t>
  </si>
  <si>
    <t>DEV</t>
  </si>
  <si>
    <t>Integration Tester</t>
  </si>
  <si>
    <t>UAT</t>
  </si>
  <si>
    <t>PRODUCTION</t>
  </si>
  <si>
    <t>Phases</t>
  </si>
  <si>
    <t>Cost</t>
  </si>
  <si>
    <t>Total Environment and Dependency</t>
  </si>
  <si>
    <t>A</t>
  </si>
  <si>
    <t>Dev</t>
  </si>
  <si>
    <t>Interface Development and Support</t>
  </si>
  <si>
    <t>Testing</t>
  </si>
  <si>
    <t>All Interface Total Efforts</t>
  </si>
  <si>
    <t>UAT, Go-Live</t>
  </si>
  <si>
    <t>UAT and Prod Bug Fixes and HyperCare</t>
  </si>
  <si>
    <t>Setup</t>
  </si>
  <si>
    <t>Total Interface Development and Support</t>
  </si>
  <si>
    <t>B</t>
  </si>
  <si>
    <t>Auras Cost</t>
  </si>
  <si>
    <t>PM/Delivery effort</t>
  </si>
  <si>
    <t>Consolidated Project Hours</t>
  </si>
  <si>
    <t>Contingency (10%)</t>
  </si>
  <si>
    <t>Total Cost</t>
  </si>
  <si>
    <t>Contigency Hours</t>
  </si>
  <si>
    <t>Others</t>
  </si>
  <si>
    <t>Total Consolidated Project Hours</t>
  </si>
  <si>
    <t>A+B+Others</t>
  </si>
  <si>
    <t>Role</t>
  </si>
  <si>
    <t>Rate (USD/Hr)</t>
  </si>
  <si>
    <t>Enterprise Integration Architect</t>
  </si>
  <si>
    <t>Lead Enterprise Integration SME</t>
  </si>
  <si>
    <t>Assessment Phase</t>
  </si>
  <si>
    <t>Rate</t>
  </si>
  <si>
    <t>Utilization</t>
  </si>
  <si>
    <t>Working hours</t>
  </si>
  <si>
    <t>Effort for 2 weeks</t>
  </si>
  <si>
    <t>Cost for 2 weeks</t>
  </si>
  <si>
    <t>Effort for 4 weeks 
(Hours)</t>
  </si>
  <si>
    <t>Cost for 4 weeks</t>
  </si>
  <si>
    <t>(USD/HR)</t>
  </si>
  <si>
    <t>%</t>
  </si>
  <si>
    <t>per week</t>
  </si>
  <si>
    <t>(Hours)</t>
  </si>
  <si>
    <t>(USD)</t>
  </si>
  <si>
    <t>Total cost Range</t>
  </si>
  <si>
    <r>
      <t xml:space="preserve">$12,350 </t>
    </r>
    <r>
      <rPr>
        <b/>
        <sz val="13"/>
        <color rgb="FF000000"/>
        <rFont val="Wingdings"/>
        <charset val="2"/>
      </rPr>
      <t>ß</t>
    </r>
    <r>
      <rPr>
        <b/>
        <sz val="13"/>
        <color rgb="FF000000"/>
        <rFont val="Calibri"/>
        <family val="2"/>
      </rPr>
      <t xml:space="preserve"> </t>
    </r>
    <r>
      <rPr>
        <b/>
        <sz val="13"/>
        <color rgb="FF000000"/>
        <rFont val="Wingdings"/>
        <charset val="2"/>
      </rPr>
      <t>à</t>
    </r>
    <r>
      <rPr>
        <b/>
        <sz val="13"/>
        <color rgb="FF000000"/>
        <rFont val="Calibri"/>
        <family val="2"/>
      </rPr>
      <t xml:space="preserve"> $24,700</t>
    </r>
  </si>
  <si>
    <t>(Approx. Cost range for 
2 - 4 weeks of Assessment)</t>
  </si>
  <si>
    <t>POC Phase</t>
  </si>
  <si>
    <t>Effort for &lt;above&gt; weeks</t>
  </si>
  <si>
    <t>Cost for &lt;above&gt; weeks</t>
  </si>
  <si>
    <t>3 Weeks</t>
  </si>
  <si>
    <t>(If EIA is billed 115 USD/hour with a 40 hrs working week and 40% of utilization)
(If LEIS is billed 35 USD/hour with a 45 hrs working week and 100% of utilization)
(If SIE is billed 32 USD/hour with a 45 hrs working week and 70% of utilization)</t>
  </si>
  <si>
    <t>6 Weeks</t>
  </si>
  <si>
    <t>8 Weeks</t>
  </si>
  <si>
    <t>Legend</t>
  </si>
  <si>
    <t>Discovery</t>
  </si>
  <si>
    <t>Analysis</t>
  </si>
  <si>
    <t>Development</t>
  </si>
  <si>
    <t>Test</t>
  </si>
  <si>
    <t>Technical Manager</t>
  </si>
  <si>
    <t>GoLive</t>
  </si>
  <si>
    <t>PM Effort</t>
  </si>
  <si>
    <t>Phase 3 Integrations</t>
  </si>
  <si>
    <t>Hours</t>
  </si>
  <si>
    <t>Resource Deployment</t>
  </si>
  <si>
    <t>Design and Development</t>
  </si>
  <si>
    <t>Development and Testing</t>
  </si>
  <si>
    <t>UAT &amp; Go-Live</t>
  </si>
  <si>
    <t>Resources</t>
  </si>
  <si>
    <t>Onsite
/Offsite</t>
  </si>
  <si>
    <t>Month 1</t>
  </si>
  <si>
    <t>Month 2</t>
  </si>
  <si>
    <t>Month 3</t>
  </si>
  <si>
    <t>Month 4</t>
  </si>
  <si>
    <t>Month 5</t>
  </si>
  <si>
    <t>Month 6</t>
  </si>
  <si>
    <t>Month 7</t>
  </si>
  <si>
    <t>W1</t>
  </si>
  <si>
    <t>W2</t>
  </si>
  <si>
    <t>W3</t>
  </si>
  <si>
    <t>W4</t>
  </si>
  <si>
    <t>W5</t>
  </si>
  <si>
    <t>W6</t>
  </si>
  <si>
    <t>W7</t>
  </si>
  <si>
    <t>W8</t>
  </si>
  <si>
    <t>W9</t>
  </si>
  <si>
    <t>W10</t>
  </si>
  <si>
    <t>W11</t>
  </si>
  <si>
    <t>W12</t>
  </si>
  <si>
    <t>W13</t>
  </si>
  <si>
    <t>W14</t>
  </si>
  <si>
    <t>W15</t>
  </si>
  <si>
    <t>W16</t>
  </si>
  <si>
    <t>W17</t>
  </si>
  <si>
    <t>W18</t>
  </si>
  <si>
    <t>W19</t>
  </si>
  <si>
    <t>W20</t>
  </si>
  <si>
    <t>W21</t>
  </si>
  <si>
    <t>W22</t>
  </si>
  <si>
    <t>W23</t>
  </si>
  <si>
    <t>W24</t>
  </si>
  <si>
    <t>W25</t>
  </si>
  <si>
    <t>W26</t>
  </si>
  <si>
    <t>W27</t>
  </si>
  <si>
    <t>W28</t>
  </si>
  <si>
    <t>Design &amp; Dev</t>
  </si>
  <si>
    <t>Dev &amp; Test</t>
  </si>
  <si>
    <t>Rate 
(USD/hr)</t>
  </si>
  <si>
    <t>Month 5 - 6</t>
  </si>
  <si>
    <t>10% Contingency</t>
  </si>
  <si>
    <t> </t>
  </si>
  <si>
    <t>2 months</t>
  </si>
  <si>
    <t>Hr Per Wave</t>
  </si>
  <si>
    <t>Wave 0</t>
  </si>
  <si>
    <t>Wave 1</t>
  </si>
  <si>
    <t>Wave 2</t>
  </si>
  <si>
    <t>Wave 3</t>
  </si>
  <si>
    <t>Wave 4</t>
  </si>
  <si>
    <t>Interfaces</t>
  </si>
  <si>
    <t>Architect</t>
  </si>
  <si>
    <t>Platform Setup and others</t>
  </si>
  <si>
    <t>Lead Integraion Engineer</t>
  </si>
  <si>
    <t>Interface Impl(2 nos)</t>
  </si>
  <si>
    <t>Management</t>
  </si>
  <si>
    <t xml:space="preserve">EI Assessment Phases     </t>
  </si>
  <si>
    <t>Week 1</t>
  </si>
  <si>
    <t>Week 2</t>
  </si>
  <si>
    <t>Week 3</t>
  </si>
  <si>
    <t>Week 4</t>
  </si>
  <si>
    <t>Week 5</t>
  </si>
  <si>
    <t>Week 6</t>
  </si>
  <si>
    <t>Analyze</t>
  </si>
  <si>
    <t>(systems, infrastructure, APIs, End Points)</t>
  </si>
  <si>
    <t>Strategize</t>
  </si>
  <si>
    <t>(with Objectives and Priorities)</t>
  </si>
  <si>
    <t>Define</t>
  </si>
  <si>
    <t>(Roadmap, End State Architecture)</t>
  </si>
  <si>
    <t>Plan</t>
  </si>
  <si>
    <t>(Approach, Timeline, Effort, Artefacts)</t>
  </si>
  <si>
    <t>EI Development Phase</t>
  </si>
  <si>
    <t>Month 8</t>
  </si>
  <si>
    <t>Month 9</t>
  </si>
  <si>
    <t>Month 10</t>
  </si>
  <si>
    <t>Wave-0</t>
  </si>
  <si>
    <t>Build, test, deploy</t>
  </si>
  <si>
    <t>Wave-1</t>
  </si>
  <si>
    <t>Wave-2</t>
  </si>
  <si>
    <t>Wave-3</t>
  </si>
  <si>
    <t>Wave-4</t>
  </si>
  <si>
    <t>Effort (Hr)</t>
  </si>
  <si>
    <t>Cost (USD)</t>
  </si>
  <si>
    <t>Assessment</t>
  </si>
  <si>
    <t>Activities</t>
  </si>
  <si>
    <t>Casey's Mgmt</t>
  </si>
  <si>
    <t>Casey's Project Manager</t>
  </si>
  <si>
    <t>Casey's SME</t>
  </si>
  <si>
    <t>Casey's Infra Team</t>
  </si>
  <si>
    <t>Aspire Mgmt</t>
  </si>
  <si>
    <t>Aspire Integration Architect</t>
  </si>
  <si>
    <t>Aspire Lead Integration Engineer</t>
  </si>
  <si>
    <t>Analyse</t>
  </si>
  <si>
    <t>Understand Casey’s digital experience strategy</t>
  </si>
  <si>
    <t>✔</t>
  </si>
  <si>
    <t>Understand Casey’s roadmap and integration needs</t>
  </si>
  <si>
    <t>Understand the existing set of Systems for Integrations</t>
  </si>
  <si>
    <t>Analyze the current implementation</t>
  </si>
  <si>
    <t>Strategise</t>
  </si>
  <si>
    <t>Align with Business Objectives and priorities</t>
  </si>
  <si>
    <t>Process</t>
  </si>
  <si>
    <t>Applications</t>
  </si>
  <si>
    <t>Data</t>
  </si>
  <si>
    <t>Network Mappings</t>
  </si>
  <si>
    <t>Transition Roadmap to future state</t>
  </si>
  <si>
    <t>Derive TCO for recommended platform</t>
  </si>
  <si>
    <t>Effort Estimate</t>
  </si>
  <si>
    <t>Cost for implementing target solution</t>
  </si>
  <si>
    <t>Timeline for implementing target solution</t>
  </si>
  <si>
    <t>End State Architecture</t>
  </si>
  <si>
    <t xml:space="preserve">Final Revisited estimate </t>
  </si>
  <si>
    <t>Pilot Program Scope planning and finalization</t>
  </si>
  <si>
    <t>Plan, Timeline, Effort and Cost to reach Target Solution</t>
  </si>
  <si>
    <t>Closure</t>
  </si>
  <si>
    <t>PoC</t>
  </si>
  <si>
    <t>Aspire Tech Manager</t>
  </si>
  <si>
    <t>Aspire Integration Lead Engineer</t>
  </si>
  <si>
    <t>Initiation</t>
  </si>
  <si>
    <t>Budget and SOW Approval</t>
  </si>
  <si>
    <t>Team Onboarding</t>
  </si>
  <si>
    <t>Project Kickoff</t>
  </si>
  <si>
    <t>Environment Readiness</t>
  </si>
  <si>
    <t>Study Interfaces, Logics and Mapping</t>
  </si>
  <si>
    <t>Review Data Mapping</t>
  </si>
  <si>
    <t>Review Workflow</t>
  </si>
  <si>
    <t>Review and capture NFRs</t>
  </si>
  <si>
    <t>Prepare Technical Specification</t>
  </si>
  <si>
    <t>Review Technical Specification</t>
  </si>
  <si>
    <t>Approve Spec, Plan and Phases</t>
  </si>
  <si>
    <t>Interface Consolidations</t>
  </si>
  <si>
    <t>Framework Models</t>
  </si>
  <si>
    <t>Guidelines and Principles</t>
  </si>
  <si>
    <t>Analysis &amp; Detailed Design</t>
  </si>
  <si>
    <t>LLD Finalization</t>
  </si>
  <si>
    <t>Develop/Unit testing</t>
  </si>
  <si>
    <t>Integration Testing</t>
  </si>
  <si>
    <t>Test Plan and case preparation</t>
  </si>
  <si>
    <t>Defect Logging / Tracking</t>
  </si>
  <si>
    <t>Defect Fixes</t>
  </si>
  <si>
    <t>Environment setup (QA)</t>
  </si>
  <si>
    <t>Pilot Acceptance</t>
  </si>
  <si>
    <t>Pilot Deployment</t>
  </si>
  <si>
    <t>Pilot Evaluation</t>
  </si>
  <si>
    <t>Pilot Implementation Attributes</t>
  </si>
  <si>
    <t>Implementation</t>
  </si>
  <si>
    <t>Aspire Integration Engineers</t>
  </si>
  <si>
    <t>Aspire Integration Testers</t>
  </si>
  <si>
    <t>Release</t>
  </si>
  <si>
    <t>Deployment UAT</t>
  </si>
  <si>
    <t>User Acceptance - Succcess Criteria</t>
  </si>
  <si>
    <t>Customer - End Validation / External Invocation</t>
  </si>
  <si>
    <t>Monitoring Performance</t>
  </si>
  <si>
    <t>Knowledge Transfer</t>
  </si>
  <si>
    <t>Assumption</t>
  </si>
  <si>
    <t>1. Considering only two interfaces for the estimate.
2. Any extra integration points in the future will incur change in the estimates.
3. We are going to use Boomi Trading Partner feature for the integration.
4. The estimates are all based on very high level information and are subjeced to change during the discovery phase.
     i.e. If there are any new system that are involved other than JDE and CW1, the estimates make differ.</t>
  </si>
  <si>
    <t>TBD</t>
  </si>
  <si>
    <t>CI/CD Setup (DEV, UAT and PROD)</t>
  </si>
  <si>
    <t>BA Retail</t>
  </si>
  <si>
    <t>Retail BA</t>
  </si>
  <si>
    <t>Senior Integration 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</si>
</sst>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8" formatCode="&quot;$&quot;#,##0.00_);[Red]\(&quot;$&quot;#,##0.00\)"/>
    <numFmt numFmtId="164" formatCode="&quot;$&quot;#,##0"/>
    <numFmt numFmtId="165" formatCode="&quot;$&quot;#,##0.0"/>
  </numFmts>
  <fonts count="42" x14ac:knownFonts="1">
    <font>
      <sz val="11"/>
      <color theme="1"/>
      <name val="Calibri"/>
      <family val="2"/>
      <scheme val="minor"/>
    </font>
    <font>
      <b/>
      <sz val="10"/>
      <name val="Arial"/>
      <family val="2"/>
    </font>
    <font>
      <sz val="10"/>
      <name val="Arial"/>
      <family val="2"/>
    </font>
    <font>
      <b/>
      <sz val="12"/>
      <name val="Calibri"/>
      <family val="2"/>
      <scheme val="minor"/>
    </font>
    <font>
      <b/>
      <i/>
      <sz val="10"/>
      <name val="Arial"/>
      <family val="2"/>
    </font>
    <font>
      <i/>
      <sz val="10"/>
      <name val="Arial"/>
      <family val="2"/>
    </font>
    <font>
      <b/>
      <sz val="10"/>
      <color rgb="FF000000"/>
      <name val="Arial"/>
      <family val="2"/>
    </font>
    <font>
      <sz val="11"/>
      <color rgb="FF000000"/>
      <name val="Calibri"/>
      <family val="2"/>
    </font>
    <font>
      <b/>
      <sz val="11"/>
      <color rgb="FF000000"/>
      <name val="Calibri"/>
      <family val="2"/>
    </font>
    <font>
      <b/>
      <sz val="11"/>
      <color theme="1"/>
      <name val="Calibri"/>
      <family val="2"/>
      <scheme val="minor"/>
    </font>
    <font>
      <b/>
      <sz val="12"/>
      <color theme="1"/>
      <name val="Calibri"/>
      <family val="2"/>
      <scheme val="minor"/>
    </font>
    <font>
      <sz val="9"/>
      <color indexed="81"/>
      <name val="Tahoma"/>
      <family val="2"/>
    </font>
    <font>
      <sz val="36"/>
      <color rgb="FFFF0000"/>
      <name val="Calibri"/>
      <family val="2"/>
      <scheme val="minor"/>
    </font>
    <font>
      <sz val="11"/>
      <color rgb="FFFF0000"/>
      <name val="Calibri"/>
      <family val="2"/>
      <scheme val="minor"/>
    </font>
    <font>
      <b/>
      <sz val="12"/>
      <color rgb="FF000000"/>
      <name val="Calibri"/>
      <family val="2"/>
    </font>
    <font>
      <sz val="12"/>
      <color rgb="FF000000"/>
      <name val="Calibri"/>
      <family val="2"/>
    </font>
    <font>
      <b/>
      <sz val="13"/>
      <color rgb="FF000000"/>
      <name val="Calibri"/>
      <family val="2"/>
    </font>
    <font>
      <b/>
      <sz val="13"/>
      <color rgb="FF000000"/>
      <name val="Wingdings"/>
      <charset val="2"/>
    </font>
    <font>
      <i/>
      <sz val="12"/>
      <color rgb="FF3B3838"/>
      <name val="Calibri"/>
      <family val="2"/>
    </font>
    <font>
      <b/>
      <sz val="9"/>
      <color rgb="FF000000"/>
      <name val="Calibri"/>
      <family val="2"/>
    </font>
    <font>
      <b/>
      <sz val="16"/>
      <color rgb="FFFFFFFF"/>
      <name val="Calibri"/>
      <family val="2"/>
    </font>
    <font>
      <sz val="10"/>
      <color theme="1"/>
      <name val="Calibri"/>
      <family val="2"/>
      <scheme val="minor"/>
    </font>
    <font>
      <sz val="11"/>
      <color rgb="FFC00000"/>
      <name val="Calibri"/>
      <family val="2"/>
      <scheme val="minor"/>
    </font>
    <font>
      <sz val="11"/>
      <color rgb="FFFFC000"/>
      <name val="Calibri"/>
      <family val="2"/>
      <scheme val="minor"/>
    </font>
    <font>
      <sz val="11"/>
      <color rgb="FF00B050"/>
      <name val="Calibri"/>
      <family val="2"/>
      <scheme val="minor"/>
    </font>
    <font>
      <sz val="11"/>
      <color rgb="FF00B0F0"/>
      <name val="Calibri"/>
      <family val="2"/>
      <scheme val="minor"/>
    </font>
    <font>
      <sz val="11"/>
      <color rgb="FF0070C0"/>
      <name val="Calibri"/>
      <family val="2"/>
      <scheme val="minor"/>
    </font>
    <font>
      <sz val="10"/>
      <color theme="1" tint="0.499984740745262"/>
      <name val="Calibri"/>
      <family val="2"/>
      <scheme val="minor"/>
    </font>
    <font>
      <sz val="10"/>
      <color rgb="FFC00000"/>
      <name val="Calibri"/>
      <family val="2"/>
      <scheme val="minor"/>
    </font>
    <font>
      <sz val="10"/>
      <color rgb="FFFF0000"/>
      <name val="Calibri"/>
      <family val="2"/>
      <scheme val="minor"/>
    </font>
    <font>
      <sz val="11"/>
      <color theme="1" tint="0.499984740745262"/>
      <name val="Calibri"/>
      <family val="2"/>
      <scheme val="minor"/>
    </font>
    <font>
      <sz val="10"/>
      <color rgb="FFFFC000"/>
      <name val="Calibri"/>
      <family val="2"/>
      <scheme val="minor"/>
    </font>
    <font>
      <sz val="10"/>
      <color rgb="FF00B050"/>
      <name val="Calibri"/>
      <family val="2"/>
      <scheme val="minor"/>
    </font>
    <font>
      <sz val="10"/>
      <color rgb="FF00B0F0"/>
      <name val="Calibri"/>
      <family val="2"/>
      <scheme val="minor"/>
    </font>
    <font>
      <sz val="10"/>
      <color rgb="FF0070C0"/>
      <name val="Calibri"/>
      <family val="2"/>
      <scheme val="minor"/>
    </font>
    <font>
      <b/>
      <sz val="14"/>
      <color rgb="FF000000"/>
      <name val="Calibri"/>
      <family val="2"/>
    </font>
    <font>
      <b/>
      <i/>
      <sz val="14"/>
      <color rgb="FF366092"/>
      <name val="Calibri"/>
      <family val="2"/>
    </font>
    <font>
      <b/>
      <i/>
      <sz val="14"/>
      <color rgb="FF808080"/>
      <name val="Calibri"/>
      <family val="2"/>
    </font>
    <font>
      <sz val="11"/>
      <color rgb="FF0070C0"/>
      <name val="Calibri"/>
      <family val="2"/>
    </font>
    <font>
      <i/>
      <sz val="14"/>
      <color rgb="FF494529"/>
      <name val="Calibri"/>
      <family val="2"/>
    </font>
    <font>
      <i/>
      <sz val="14"/>
      <color rgb="FF000000"/>
      <name val="Calibri"/>
      <family val="2"/>
    </font>
    <font>
      <b/>
      <i/>
      <sz val="14"/>
      <color rgb="FF000000"/>
      <name val="Calibri"/>
      <family val="2"/>
    </font>
  </fonts>
  <fills count="40">
    <fill>
      <patternFill patternType="none"/>
    </fill>
    <fill>
      <patternFill patternType="gray125"/>
    </fill>
    <fill>
      <patternFill patternType="solid">
        <fgColor theme="7" tint="0.39997558519241921"/>
        <bgColor indexed="64"/>
      </patternFill>
    </fill>
    <fill>
      <patternFill patternType="solid">
        <fgColor theme="2" tint="-0.249977111117893"/>
        <bgColor indexed="64"/>
      </patternFill>
    </fill>
    <fill>
      <patternFill patternType="solid">
        <fgColor rgb="FFFFFF00"/>
        <bgColor indexed="64"/>
      </patternFill>
    </fill>
    <fill>
      <patternFill patternType="solid">
        <fgColor theme="2" tint="-0.249977111117893"/>
        <bgColor indexed="24"/>
      </patternFill>
    </fill>
    <fill>
      <patternFill patternType="solid">
        <fgColor indexed="51"/>
        <bgColor indexed="64"/>
      </patternFill>
    </fill>
    <fill>
      <patternFill patternType="solid">
        <fgColor theme="0" tint="-4.9989318521683403E-2"/>
        <bgColor indexed="64"/>
      </patternFill>
    </fill>
    <fill>
      <patternFill patternType="solid">
        <fgColor rgb="FFB1A0C7"/>
        <bgColor indexed="64"/>
      </patternFill>
    </fill>
    <fill>
      <patternFill patternType="solid">
        <fgColor rgb="FFFFCC99"/>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theme="0" tint="-0.249977111117893"/>
        <bgColor indexed="64"/>
      </patternFill>
    </fill>
    <fill>
      <patternFill patternType="solid">
        <fgColor rgb="FFD9E1F2"/>
        <bgColor indexed="64"/>
      </patternFill>
    </fill>
    <fill>
      <patternFill patternType="solid">
        <fgColor rgb="FFFF0000"/>
        <bgColor indexed="64"/>
      </patternFill>
    </fill>
    <fill>
      <patternFill patternType="solid">
        <fgColor rgb="FFDDD9C4"/>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rgb="FF92D050"/>
        <bgColor indexed="64"/>
      </patternFill>
    </fill>
    <fill>
      <patternFill patternType="solid">
        <fgColor rgb="FF0070C0"/>
        <bgColor indexed="64"/>
      </patternFill>
    </fill>
    <fill>
      <patternFill patternType="solid">
        <fgColor indexed="46"/>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rgb="FFC00000"/>
        <bgColor indexed="64"/>
      </patternFill>
    </fill>
    <fill>
      <patternFill patternType="solid">
        <fgColor theme="1" tint="4.9989318521683403E-2"/>
        <bgColor indexed="64"/>
      </patternFill>
    </fill>
    <fill>
      <patternFill patternType="solid">
        <fgColor theme="1" tint="0.499984740745262"/>
        <bgColor indexed="64"/>
      </patternFill>
    </fill>
    <fill>
      <patternFill patternType="solid">
        <fgColor rgb="FFFFFF00"/>
        <bgColor rgb="FF000000"/>
      </patternFill>
    </fill>
    <fill>
      <patternFill patternType="solid">
        <fgColor rgb="FF44546A"/>
        <bgColor rgb="FF000000"/>
      </patternFill>
    </fill>
    <fill>
      <patternFill patternType="solid">
        <fgColor rgb="FF595959"/>
        <bgColor rgb="FF000000"/>
      </patternFill>
    </fill>
    <fill>
      <patternFill patternType="solid">
        <fgColor rgb="FFFFFFFF"/>
        <bgColor rgb="FF000000"/>
      </patternFill>
    </fill>
    <fill>
      <patternFill patternType="solid">
        <fgColor rgb="FFDA9694"/>
        <bgColor rgb="FF000000"/>
      </patternFill>
    </fill>
    <fill>
      <patternFill patternType="solid">
        <fgColor rgb="FF366092"/>
        <bgColor rgb="FF000000"/>
      </patternFill>
    </fill>
    <fill>
      <patternFill patternType="solid">
        <fgColor rgb="FF00B050"/>
        <bgColor rgb="FF000000"/>
      </patternFill>
    </fill>
    <fill>
      <patternFill patternType="solid">
        <fgColor rgb="FFDDD9C4"/>
        <bgColor rgb="FF000000"/>
      </patternFill>
    </fill>
    <fill>
      <patternFill patternType="solid">
        <fgColor rgb="FFC5D9F1"/>
        <bgColor rgb="FF000000"/>
      </patternFill>
    </fill>
    <fill>
      <patternFill patternType="solid">
        <fgColor rgb="FFF2DCDB"/>
        <bgColor rgb="FF000000"/>
      </patternFill>
    </fill>
    <fill>
      <patternFill patternType="solid">
        <fgColor rgb="FFDAEEF3"/>
        <bgColor rgb="FF000000"/>
      </patternFill>
    </fill>
    <fill>
      <patternFill patternType="solid">
        <fgColor rgb="FFFCD5B4"/>
        <bgColor rgb="FF000000"/>
      </patternFill>
    </fill>
    <fill>
      <patternFill patternType="solid">
        <fgColor rgb="FFD9D9D9"/>
        <bgColor rgb="FF000000"/>
      </patternFill>
    </fill>
  </fills>
  <borders count="74">
    <border>
      <left/>
      <right/>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bottom style="medium">
        <color rgb="FF000000"/>
      </bottom>
      <diagonal/>
    </border>
    <border>
      <left style="medium">
        <color indexed="64"/>
      </left>
      <right style="thin">
        <color rgb="FF000000"/>
      </right>
      <top style="medium">
        <color indexed="64"/>
      </top>
      <bottom style="double">
        <color indexed="64"/>
      </bottom>
      <diagonal/>
    </border>
    <border>
      <left style="thin">
        <color rgb="FF000000"/>
      </left>
      <right/>
      <top/>
      <bottom style="medium">
        <color rgb="FF000000"/>
      </bottom>
      <diagonal/>
    </border>
    <border>
      <left style="thin">
        <color rgb="FF000000"/>
      </left>
      <right/>
      <top style="medium">
        <color indexed="64"/>
      </top>
      <bottom style="medium">
        <color indexed="64"/>
      </bottom>
      <diagonal/>
    </border>
    <border>
      <left style="thin">
        <color rgb="FF000000"/>
      </left>
      <right/>
      <top style="medium">
        <color rgb="FF000000"/>
      </top>
      <bottom/>
      <diagonal/>
    </border>
    <border>
      <left style="thin">
        <color rgb="FF000000"/>
      </left>
      <right/>
      <top style="medium">
        <color indexed="64"/>
      </top>
      <bottom style="double">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thin">
        <color indexed="64"/>
      </left>
      <right style="thin">
        <color indexed="64"/>
      </right>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medium">
        <color indexed="64"/>
      </left>
      <right style="medium">
        <color indexed="64"/>
      </right>
      <top style="medium">
        <color indexed="64"/>
      </top>
      <bottom style="thin">
        <color indexed="64"/>
      </bottom>
      <diagonal/>
    </border>
    <border>
      <left/>
      <right/>
      <top style="medium">
        <color indexed="64"/>
      </top>
      <bottom style="medium">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medium">
        <color rgb="FF7030A0"/>
      </left>
      <right/>
      <top style="medium">
        <color rgb="FF7030A0"/>
      </top>
      <bottom/>
      <diagonal/>
    </border>
    <border>
      <left/>
      <right style="medium">
        <color rgb="FF7030A0"/>
      </right>
      <top style="medium">
        <color rgb="FF7030A0"/>
      </top>
      <bottom/>
      <diagonal/>
    </border>
    <border>
      <left/>
      <right/>
      <top style="medium">
        <color rgb="FF7030A0"/>
      </top>
      <bottom/>
      <diagonal/>
    </border>
    <border>
      <left style="medium">
        <color rgb="FF7030A0"/>
      </left>
      <right/>
      <top/>
      <bottom/>
      <diagonal/>
    </border>
    <border>
      <left/>
      <right style="medium">
        <color rgb="FF7030A0"/>
      </right>
      <top/>
      <bottom/>
      <diagonal/>
    </border>
    <border>
      <left style="medium">
        <color rgb="FF7030A0"/>
      </left>
      <right/>
      <top/>
      <bottom style="medium">
        <color rgb="FF7030A0"/>
      </bottom>
      <diagonal/>
    </border>
    <border>
      <left/>
      <right style="medium">
        <color rgb="FF7030A0"/>
      </right>
      <top/>
      <bottom style="medium">
        <color rgb="FF7030A0"/>
      </bottom>
      <diagonal/>
    </border>
    <border>
      <left/>
      <right/>
      <top/>
      <bottom style="medium">
        <color rgb="FF7030A0"/>
      </bottom>
      <diagonal/>
    </border>
    <border>
      <left/>
      <right/>
      <top/>
      <bottom style="thin">
        <color rgb="FF7030A0"/>
      </bottom>
      <diagonal/>
    </border>
    <border>
      <left/>
      <right style="thin">
        <color indexed="64"/>
      </right>
      <top style="medium">
        <color indexed="64"/>
      </top>
      <bottom/>
      <diagonal/>
    </border>
    <border>
      <left style="medium">
        <color indexed="64"/>
      </left>
      <right/>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s>
  <cellStyleXfs count="1">
    <xf numFmtId="0" fontId="0" fillId="0" borderId="0"/>
  </cellStyleXfs>
  <cellXfs count="257">
    <xf numFmtId="0" fontId="0" fillId="0" borderId="0" xfId="0"/>
    <xf numFmtId="0" fontId="2" fillId="0" borderId="0" xfId="0" applyFont="1" applyAlignment="1">
      <alignment horizontal="left" vertical="top"/>
    </xf>
    <xf numFmtId="0" fontId="1" fillId="3" borderId="4" xfId="0" applyFont="1" applyFill="1" applyBorder="1" applyAlignment="1">
      <alignment horizontal="left" vertical="top" wrapText="1"/>
    </xf>
    <xf numFmtId="0" fontId="1" fillId="0" borderId="4" xfId="0" applyFont="1" applyBorder="1" applyAlignment="1">
      <alignment horizontal="left" vertical="top"/>
    </xf>
    <xf numFmtId="0" fontId="2" fillId="0" borderId="4" xfId="0" applyFont="1" applyBorder="1" applyAlignment="1">
      <alignment horizontal="left" vertical="top"/>
    </xf>
    <xf numFmtId="49" fontId="2" fillId="0" borderId="4" xfId="0" applyNumberFormat="1" applyFont="1" applyBorder="1" applyAlignment="1">
      <alignment horizontal="left" vertical="top" wrapText="1"/>
    </xf>
    <xf numFmtId="0" fontId="2" fillId="0" borderId="0" xfId="0" applyFont="1" applyFill="1" applyBorder="1" applyAlignment="1">
      <alignment horizontal="left" vertical="top"/>
    </xf>
    <xf numFmtId="0" fontId="4" fillId="5" borderId="4" xfId="0" applyFont="1" applyFill="1" applyBorder="1" applyAlignment="1">
      <alignment horizontal="left" vertical="top" wrapText="1"/>
    </xf>
    <xf numFmtId="0" fontId="0" fillId="0" borderId="4" xfId="0" applyBorder="1" applyAlignment="1">
      <alignment horizontal="left" vertical="top"/>
    </xf>
    <xf numFmtId="2" fontId="0" fillId="0" borderId="4" xfId="0" applyNumberFormat="1" applyBorder="1" applyAlignment="1">
      <alignment horizontal="left" vertical="top"/>
    </xf>
    <xf numFmtId="0" fontId="1" fillId="6" borderId="4" xfId="0" applyFont="1" applyFill="1" applyBorder="1" applyAlignment="1">
      <alignment horizontal="left" vertical="top"/>
    </xf>
    <xf numFmtId="2" fontId="1" fillId="6" borderId="4" xfId="0" applyNumberFormat="1" applyFont="1" applyFill="1" applyBorder="1" applyAlignment="1">
      <alignment horizontal="left" vertical="top"/>
    </xf>
    <xf numFmtId="0" fontId="0" fillId="0" borderId="0" xfId="0" applyBorder="1"/>
    <xf numFmtId="0" fontId="0" fillId="0" borderId="7" xfId="0" applyBorder="1"/>
    <xf numFmtId="0" fontId="2" fillId="0" borderId="0" xfId="0" applyFont="1" applyFill="1" applyAlignment="1">
      <alignment horizontal="left" vertical="top"/>
    </xf>
    <xf numFmtId="0" fontId="0" fillId="0" borderId="0" xfId="0" applyFill="1" applyBorder="1"/>
    <xf numFmtId="0" fontId="2" fillId="0" borderId="0" xfId="0" applyFont="1" applyBorder="1" applyAlignment="1">
      <alignment horizontal="left" vertical="top"/>
    </xf>
    <xf numFmtId="0" fontId="6" fillId="8" borderId="8" xfId="0" applyFont="1" applyFill="1" applyBorder="1" applyAlignment="1">
      <alignment horizontal="center" wrapText="1" readingOrder="1"/>
    </xf>
    <xf numFmtId="0" fontId="7" fillId="0" borderId="9" xfId="0" applyFont="1" applyBorder="1" applyAlignment="1">
      <alignment horizontal="left" wrapText="1" readingOrder="1"/>
    </xf>
    <xf numFmtId="0" fontId="7" fillId="0" borderId="10" xfId="0" applyFont="1" applyBorder="1" applyAlignment="1">
      <alignment horizontal="center" wrapText="1" readingOrder="1"/>
    </xf>
    <xf numFmtId="0" fontId="6" fillId="8" borderId="11" xfId="0" applyFont="1" applyFill="1" applyBorder="1" applyAlignment="1">
      <alignment horizontal="center" wrapText="1" readingOrder="1"/>
    </xf>
    <xf numFmtId="0" fontId="7" fillId="0" borderId="12" xfId="0" applyFont="1" applyBorder="1" applyAlignment="1">
      <alignment horizontal="left" wrapText="1" readingOrder="1"/>
    </xf>
    <xf numFmtId="0" fontId="7" fillId="0" borderId="13" xfId="0" applyFont="1" applyBorder="1" applyAlignment="1">
      <alignment horizontal="left" wrapText="1" readingOrder="1"/>
    </xf>
    <xf numFmtId="0" fontId="7" fillId="0" borderId="15" xfId="0" applyFont="1" applyBorder="1" applyAlignment="1">
      <alignment horizontal="left" wrapText="1" readingOrder="1"/>
    </xf>
    <xf numFmtId="0" fontId="7" fillId="0" borderId="16" xfId="0" applyFont="1" applyBorder="1" applyAlignment="1">
      <alignment horizontal="center" wrapText="1" readingOrder="1"/>
    </xf>
    <xf numFmtId="0" fontId="6" fillId="9" borderId="17" xfId="0" applyFont="1" applyFill="1" applyBorder="1" applyAlignment="1">
      <alignment horizontal="left" wrapText="1" readingOrder="1"/>
    </xf>
    <xf numFmtId="0" fontId="7" fillId="0" borderId="14" xfId="0" applyFont="1" applyBorder="1" applyAlignment="1">
      <alignment horizontal="center" wrapText="1" readingOrder="1"/>
    </xf>
    <xf numFmtId="0" fontId="6" fillId="4" borderId="18" xfId="0" applyFont="1" applyFill="1" applyBorder="1" applyAlignment="1">
      <alignment horizontal="left" wrapText="1" readingOrder="1"/>
    </xf>
    <xf numFmtId="0" fontId="0" fillId="0" borderId="6" xfId="0" applyBorder="1" applyAlignment="1">
      <alignment horizontal="center" vertical="center"/>
    </xf>
    <xf numFmtId="0" fontId="6" fillId="11" borderId="19" xfId="0" applyFont="1" applyFill="1" applyBorder="1" applyAlignment="1">
      <alignment horizontal="center" wrapText="1" readingOrder="1"/>
    </xf>
    <xf numFmtId="0" fontId="6" fillId="10" borderId="20" xfId="0" applyFont="1" applyFill="1" applyBorder="1" applyAlignment="1">
      <alignment horizontal="center" wrapText="1" readingOrder="1"/>
    </xf>
    <xf numFmtId="0" fontId="6" fillId="4" borderId="22" xfId="0" applyFont="1" applyFill="1" applyBorder="1" applyAlignment="1">
      <alignment horizontal="center" wrapText="1" readingOrder="1"/>
    </xf>
    <xf numFmtId="0" fontId="0" fillId="0" borderId="6" xfId="0" applyBorder="1" applyAlignment="1">
      <alignment horizontal="center"/>
    </xf>
    <xf numFmtId="0" fontId="8" fillId="0" borderId="21" xfId="0" applyFont="1" applyBorder="1" applyAlignment="1">
      <alignment horizontal="center" wrapText="1" readingOrder="1"/>
    </xf>
    <xf numFmtId="0" fontId="0" fillId="0" borderId="0" xfId="0" applyAlignment="1">
      <alignment horizontal="center"/>
    </xf>
    <xf numFmtId="0" fontId="0" fillId="0" borderId="0" xfId="0" applyAlignment="1">
      <alignment vertical="center"/>
    </xf>
    <xf numFmtId="0" fontId="0" fillId="0" borderId="4" xfId="0" applyBorder="1"/>
    <xf numFmtId="164" fontId="0" fillId="0" borderId="4" xfId="0" applyNumberFormat="1" applyBorder="1"/>
    <xf numFmtId="0" fontId="9" fillId="13" borderId="4" xfId="0" applyFont="1" applyFill="1" applyBorder="1"/>
    <xf numFmtId="164" fontId="9" fillId="13" borderId="4" xfId="0" applyNumberFormat="1" applyFont="1" applyFill="1" applyBorder="1"/>
    <xf numFmtId="0" fontId="9" fillId="13" borderId="4" xfId="0" applyFont="1" applyFill="1" applyBorder="1" applyAlignment="1">
      <alignment horizontal="center"/>
    </xf>
    <xf numFmtId="0" fontId="0" fillId="0" borderId="23" xfId="0" applyBorder="1"/>
    <xf numFmtId="165" fontId="0" fillId="0" borderId="23" xfId="0" applyNumberFormat="1" applyBorder="1"/>
    <xf numFmtId="0" fontId="10" fillId="12" borderId="24" xfId="0" applyFont="1" applyFill="1" applyBorder="1" applyAlignment="1">
      <alignment horizontal="right" vertical="center"/>
    </xf>
    <xf numFmtId="164" fontId="10" fillId="12" borderId="25" xfId="0" applyNumberFormat="1" applyFont="1" applyFill="1" applyBorder="1" applyAlignment="1">
      <alignment horizontal="right" vertical="center"/>
    </xf>
    <xf numFmtId="0" fontId="1" fillId="4" borderId="4" xfId="0" applyFont="1" applyFill="1" applyBorder="1" applyAlignment="1">
      <alignment horizontal="left" vertical="top"/>
    </xf>
    <xf numFmtId="0" fontId="1" fillId="0" borderId="4" xfId="0" applyFont="1" applyBorder="1" applyAlignment="1">
      <alignment horizontal="center" vertical="top"/>
    </xf>
    <xf numFmtId="0" fontId="6" fillId="8" borderId="11" xfId="0" applyFont="1" applyFill="1" applyBorder="1" applyAlignment="1">
      <alignment horizontal="center" vertical="center" wrapText="1" readingOrder="1"/>
    </xf>
    <xf numFmtId="0" fontId="0" fillId="0" borderId="0" xfId="0" applyFont="1" applyAlignment="1">
      <alignment vertical="top"/>
    </xf>
    <xf numFmtId="0" fontId="0" fillId="0" borderId="0" xfId="0" applyFont="1" applyBorder="1" applyAlignment="1">
      <alignment vertical="center"/>
    </xf>
    <xf numFmtId="0" fontId="0" fillId="0" borderId="0" xfId="0" applyFont="1" applyBorder="1" applyAlignment="1">
      <alignment vertical="top" wrapText="1"/>
    </xf>
    <xf numFmtId="0" fontId="0" fillId="0" borderId="0" xfId="0" applyFont="1" applyBorder="1" applyAlignment="1">
      <alignment vertical="top"/>
    </xf>
    <xf numFmtId="0" fontId="0" fillId="0" borderId="0" xfId="0" applyBorder="1" applyAlignment="1">
      <alignment horizontal="left" vertical="top"/>
    </xf>
    <xf numFmtId="0" fontId="6" fillId="8" borderId="37" xfId="0" applyFont="1" applyFill="1" applyBorder="1" applyAlignment="1">
      <alignment horizontal="center" vertical="center" wrapText="1" readingOrder="1"/>
    </xf>
    <xf numFmtId="0" fontId="6" fillId="8" borderId="38" xfId="0" applyFont="1" applyFill="1" applyBorder="1" applyAlignment="1">
      <alignment horizontal="center" vertical="center" wrapText="1" readingOrder="1"/>
    </xf>
    <xf numFmtId="0" fontId="6" fillId="10" borderId="19" xfId="0" applyFont="1" applyFill="1" applyBorder="1" applyAlignment="1">
      <alignment horizontal="center" wrapText="1" readingOrder="1"/>
    </xf>
    <xf numFmtId="0" fontId="7" fillId="4" borderId="14" xfId="0" applyFont="1" applyFill="1" applyBorder="1" applyAlignment="1">
      <alignment horizontal="center" wrapText="1" readingOrder="1"/>
    </xf>
    <xf numFmtId="0" fontId="0" fillId="4" borderId="4" xfId="0" applyFill="1" applyBorder="1"/>
    <xf numFmtId="164" fontId="0" fillId="4" borderId="4" xfId="0" applyNumberFormat="1" applyFill="1" applyBorder="1"/>
    <xf numFmtId="0" fontId="0" fillId="0" borderId="4" xfId="0" applyFill="1" applyBorder="1" applyAlignment="1">
      <alignment wrapText="1"/>
    </xf>
    <xf numFmtId="0" fontId="0" fillId="0" borderId="4" xfId="0" applyBorder="1" applyAlignment="1">
      <alignment wrapText="1"/>
    </xf>
    <xf numFmtId="0" fontId="6" fillId="8" borderId="26" xfId="0" applyFont="1" applyFill="1" applyBorder="1" applyAlignment="1">
      <alignment horizontal="center" vertical="center" wrapText="1" readingOrder="1"/>
    </xf>
    <xf numFmtId="0" fontId="0" fillId="0" borderId="4" xfId="0" applyBorder="1" applyAlignment="1">
      <alignment horizontal="center"/>
    </xf>
    <xf numFmtId="0" fontId="0" fillId="0" borderId="0" xfId="0" applyFill="1"/>
    <xf numFmtId="0" fontId="0" fillId="0" borderId="0" xfId="0" applyAlignment="1">
      <alignment horizontal="right"/>
    </xf>
    <xf numFmtId="0" fontId="12" fillId="0" borderId="0" xfId="0" applyFont="1" applyBorder="1" applyAlignment="1">
      <alignment vertical="top" wrapText="1"/>
    </xf>
    <xf numFmtId="0" fontId="0" fillId="4" borderId="0" xfId="0" applyFill="1"/>
    <xf numFmtId="0" fontId="15" fillId="0" borderId="43" xfId="0" applyFont="1" applyBorder="1" applyAlignment="1">
      <alignment horizontal="center" wrapText="1" readingOrder="1"/>
    </xf>
    <xf numFmtId="0" fontId="16" fillId="0" borderId="41" xfId="0" applyFont="1" applyBorder="1" applyAlignment="1">
      <alignment horizontal="center" wrapText="1" readingOrder="1"/>
    </xf>
    <xf numFmtId="0" fontId="18" fillId="0" borderId="4" xfId="0" applyFont="1" applyBorder="1" applyAlignment="1">
      <alignment horizontal="center" vertical="center" wrapText="1" readingOrder="1"/>
    </xf>
    <xf numFmtId="0" fontId="15" fillId="0" borderId="41" xfId="0" applyFont="1" applyBorder="1" applyAlignment="1">
      <alignment horizontal="center" wrapText="1" readingOrder="1"/>
    </xf>
    <xf numFmtId="0" fontId="15" fillId="0" borderId="4" xfId="0" applyFont="1" applyBorder="1" applyAlignment="1">
      <alignment horizontal="center" wrapText="1" readingOrder="1"/>
    </xf>
    <xf numFmtId="0" fontId="15" fillId="0" borderId="45" xfId="0" applyFont="1" applyBorder="1" applyAlignment="1">
      <alignment horizontal="center" wrapText="1" readingOrder="1"/>
    </xf>
    <xf numFmtId="0" fontId="0" fillId="0" borderId="47" xfId="0" applyBorder="1"/>
    <xf numFmtId="0" fontId="15" fillId="0" borderId="48" xfId="0" applyFont="1" applyBorder="1" applyAlignment="1">
      <alignment horizontal="center" wrapText="1" readingOrder="1"/>
    </xf>
    <xf numFmtId="0" fontId="16" fillId="0" borderId="4" xfId="0" applyFont="1" applyBorder="1" applyAlignment="1">
      <alignment horizontal="center" wrapText="1" readingOrder="1"/>
    </xf>
    <xf numFmtId="0" fontId="0" fillId="0" borderId="0" xfId="0" applyAlignment="1">
      <alignment wrapText="1"/>
    </xf>
    <xf numFmtId="0" fontId="15" fillId="4" borderId="43" xfId="0" applyFont="1" applyFill="1" applyBorder="1" applyAlignment="1">
      <alignment horizontal="center" wrapText="1" readingOrder="1"/>
    </xf>
    <xf numFmtId="0" fontId="15" fillId="4" borderId="44" xfId="0" applyFont="1" applyFill="1" applyBorder="1" applyAlignment="1">
      <alignment horizontal="center" wrapText="1" readingOrder="1"/>
    </xf>
    <xf numFmtId="0" fontId="15" fillId="4" borderId="41" xfId="0" applyFont="1" applyFill="1" applyBorder="1" applyAlignment="1">
      <alignment horizontal="center" wrapText="1" readingOrder="1"/>
    </xf>
    <xf numFmtId="0" fontId="15" fillId="4" borderId="4" xfId="0" applyFont="1" applyFill="1" applyBorder="1" applyAlignment="1">
      <alignment horizontal="center" wrapText="1" readingOrder="1"/>
    </xf>
    <xf numFmtId="0" fontId="0" fillId="0" borderId="0" xfId="0" applyAlignment="1">
      <alignment horizontal="left" vertical="top" wrapText="1"/>
    </xf>
    <xf numFmtId="0" fontId="19" fillId="17" borderId="4" xfId="0" applyFont="1" applyFill="1" applyBorder="1" applyAlignment="1">
      <alignment horizontal="center" vertical="center" textRotation="90" wrapText="1" readingOrder="1"/>
    </xf>
    <xf numFmtId="0" fontId="19" fillId="18" borderId="4" xfId="0" applyFont="1" applyFill="1" applyBorder="1" applyAlignment="1">
      <alignment horizontal="center" vertical="center" textRotation="90" wrapText="1" readingOrder="1"/>
    </xf>
    <xf numFmtId="0" fontId="0" fillId="0" borderId="4" xfId="0" applyBorder="1" applyAlignment="1">
      <alignment horizontal="left" vertical="top" wrapText="1"/>
    </xf>
    <xf numFmtId="0" fontId="19" fillId="16" borderId="4" xfId="0" applyFont="1" applyFill="1" applyBorder="1" applyAlignment="1">
      <alignment horizontal="center" vertical="center" wrapText="1" readingOrder="1"/>
    </xf>
    <xf numFmtId="164" fontId="0" fillId="4" borderId="4" xfId="0" applyNumberFormat="1" applyFill="1" applyBorder="1" applyAlignment="1">
      <alignment horizontal="center"/>
    </xf>
    <xf numFmtId="0" fontId="1" fillId="21" borderId="4" xfId="0" applyFont="1" applyFill="1" applyBorder="1" applyAlignment="1">
      <alignment horizontal="center"/>
    </xf>
    <xf numFmtId="0" fontId="0" fillId="0" borderId="0" xfId="0" applyAlignment="1">
      <alignment horizontal="left" vertical="top"/>
    </xf>
    <xf numFmtId="0" fontId="1" fillId="0" borderId="0" xfId="0" applyFont="1"/>
    <xf numFmtId="0" fontId="1" fillId="2" borderId="36" xfId="0" applyFont="1" applyFill="1" applyBorder="1" applyAlignment="1"/>
    <xf numFmtId="0" fontId="1" fillId="2" borderId="50" xfId="0" applyFont="1" applyFill="1" applyBorder="1" applyAlignment="1"/>
    <xf numFmtId="0" fontId="1" fillId="23" borderId="47" xfId="0" applyFont="1" applyFill="1" applyBorder="1" applyAlignment="1">
      <alignment horizontal="center" vertical="top"/>
    </xf>
    <xf numFmtId="0" fontId="21" fillId="4" borderId="4" xfId="0" applyFont="1" applyFill="1" applyBorder="1" applyAlignment="1">
      <alignment horizontal="center" vertical="top"/>
    </xf>
    <xf numFmtId="0" fontId="1" fillId="4" borderId="47" xfId="0" applyFont="1" applyFill="1" applyBorder="1" applyAlignment="1">
      <alignment horizontal="center" vertical="top"/>
    </xf>
    <xf numFmtId="0" fontId="9" fillId="0" borderId="0" xfId="0" applyFont="1" applyAlignment="1">
      <alignment horizontal="center" vertical="center"/>
    </xf>
    <xf numFmtId="0" fontId="9" fillId="13" borderId="4" xfId="0" applyFont="1" applyFill="1" applyBorder="1" applyAlignment="1">
      <alignment horizontal="center" vertical="center" wrapText="1"/>
    </xf>
    <xf numFmtId="0" fontId="9" fillId="13" borderId="4" xfId="0" applyFont="1" applyFill="1" applyBorder="1" applyAlignment="1">
      <alignment horizontal="center" vertical="center"/>
    </xf>
    <xf numFmtId="164" fontId="0" fillId="0" borderId="4" xfId="0" applyNumberFormat="1" applyBorder="1" applyAlignment="1">
      <alignment horizontal="center" vertical="center"/>
    </xf>
    <xf numFmtId="164" fontId="0" fillId="0" borderId="4" xfId="0" applyNumberFormat="1" applyBorder="1" applyAlignment="1">
      <alignment horizontal="center" vertical="center" wrapText="1"/>
    </xf>
    <xf numFmtId="164" fontId="0" fillId="0" borderId="0" xfId="0" applyNumberFormat="1" applyAlignment="1">
      <alignment horizontal="center" vertical="center"/>
    </xf>
    <xf numFmtId="164" fontId="9" fillId="4" borderId="4" xfId="0" applyNumberFormat="1" applyFont="1" applyFill="1" applyBorder="1" applyAlignment="1">
      <alignment horizontal="center" vertical="center" wrapText="1"/>
    </xf>
    <xf numFmtId="165" fontId="0" fillId="12" borderId="6" xfId="0" applyNumberFormat="1" applyFill="1" applyBorder="1" applyAlignment="1">
      <alignment horizontal="center"/>
    </xf>
    <xf numFmtId="0" fontId="9" fillId="0" borderId="4" xfId="0" applyFont="1" applyBorder="1"/>
    <xf numFmtId="0" fontId="0" fillId="0" borderId="4" xfId="0" applyFill="1" applyBorder="1"/>
    <xf numFmtId="0" fontId="1" fillId="23" borderId="1" xfId="0" applyFont="1" applyFill="1" applyBorder="1" applyAlignment="1">
      <alignment horizontal="center" vertical="top"/>
    </xf>
    <xf numFmtId="0" fontId="1" fillId="23" borderId="4" xfId="0" applyFont="1" applyFill="1" applyBorder="1" applyAlignment="1">
      <alignment horizontal="center" vertical="top"/>
    </xf>
    <xf numFmtId="0" fontId="13" fillId="0" borderId="4" xfId="0" applyFont="1" applyBorder="1"/>
    <xf numFmtId="0" fontId="23" fillId="0" borderId="4" xfId="0" applyFont="1" applyBorder="1"/>
    <xf numFmtId="0" fontId="24" fillId="0" borderId="4" xfId="0" applyFont="1" applyBorder="1"/>
    <xf numFmtId="0" fontId="25" fillId="0" borderId="4" xfId="0" applyFont="1" applyBorder="1"/>
    <xf numFmtId="0" fontId="26" fillId="0" borderId="4" xfId="0" applyFont="1" applyBorder="1"/>
    <xf numFmtId="0" fontId="22" fillId="0" borderId="53" xfId="0" applyFont="1" applyBorder="1"/>
    <xf numFmtId="0" fontId="0" fillId="24" borderId="54" xfId="0" applyFill="1" applyBorder="1"/>
    <xf numFmtId="0" fontId="0" fillId="15" borderId="56" xfId="0" applyFill="1" applyBorder="1"/>
    <xf numFmtId="0" fontId="0" fillId="12" borderId="56" xfId="0" applyFill="1" applyBorder="1"/>
    <xf numFmtId="0" fontId="0" fillId="10" borderId="56" xfId="0" applyFill="1" applyBorder="1"/>
    <xf numFmtId="0" fontId="0" fillId="11" borderId="56" xfId="0" applyFill="1" applyBorder="1"/>
    <xf numFmtId="0" fontId="0" fillId="20" borderId="56" xfId="0" applyFill="1" applyBorder="1"/>
    <xf numFmtId="0" fontId="0" fillId="25" borderId="56" xfId="0" applyFill="1" applyBorder="1"/>
    <xf numFmtId="0" fontId="30" fillId="0" borderId="58" xfId="0" applyFont="1" applyBorder="1"/>
    <xf numFmtId="0" fontId="0" fillId="26" borderId="59" xfId="0" applyFill="1" applyBorder="1"/>
    <xf numFmtId="0" fontId="21" fillId="0" borderId="4" xfId="0" applyFont="1" applyFill="1" applyBorder="1" applyAlignment="1">
      <alignment horizontal="center" vertical="top"/>
    </xf>
    <xf numFmtId="0" fontId="28" fillId="0" borderId="4" xfId="0" applyFont="1" applyFill="1" applyBorder="1" applyAlignment="1">
      <alignment horizontal="center" vertical="top"/>
    </xf>
    <xf numFmtId="0" fontId="27" fillId="0" borderId="51" xfId="0" applyFont="1" applyFill="1" applyBorder="1" applyAlignment="1">
      <alignment horizontal="center" vertical="top"/>
    </xf>
    <xf numFmtId="0" fontId="27" fillId="0" borderId="47" xfId="0" applyFont="1" applyFill="1" applyBorder="1" applyAlignment="1">
      <alignment horizontal="center" vertical="top"/>
    </xf>
    <xf numFmtId="0" fontId="29" fillId="0" borderId="51" xfId="0" applyFont="1" applyFill="1" applyBorder="1" applyAlignment="1">
      <alignment horizontal="center" vertical="top"/>
    </xf>
    <xf numFmtId="0" fontId="29" fillId="0" borderId="47" xfId="0" applyFont="1" applyFill="1" applyBorder="1" applyAlignment="1">
      <alignment horizontal="center" vertical="top"/>
    </xf>
    <xf numFmtId="0" fontId="29" fillId="0" borderId="3" xfId="0" applyFont="1" applyFill="1" applyBorder="1" applyAlignment="1">
      <alignment horizontal="center" vertical="top"/>
    </xf>
    <xf numFmtId="0" fontId="29" fillId="0" borderId="4" xfId="0" applyFont="1" applyFill="1" applyBorder="1" applyAlignment="1">
      <alignment horizontal="center" vertical="top"/>
    </xf>
    <xf numFmtId="0" fontId="21" fillId="0" borderId="3" xfId="0" applyFont="1" applyFill="1" applyBorder="1" applyAlignment="1">
      <alignment horizontal="center" vertical="top"/>
    </xf>
    <xf numFmtId="0" fontId="27" fillId="0" borderId="4" xfId="0" applyFont="1" applyFill="1" applyBorder="1" applyAlignment="1">
      <alignment horizontal="center" vertical="top"/>
    </xf>
    <xf numFmtId="0" fontId="31" fillId="0" borderId="4" xfId="0" applyFont="1" applyFill="1" applyBorder="1" applyAlignment="1">
      <alignment horizontal="center" vertical="top"/>
    </xf>
    <xf numFmtId="0" fontId="32" fillId="0" borderId="4" xfId="0" applyFont="1" applyFill="1" applyBorder="1" applyAlignment="1">
      <alignment horizontal="center" vertical="top"/>
    </xf>
    <xf numFmtId="0" fontId="27" fillId="0" borderId="3" xfId="0" applyFont="1" applyFill="1" applyBorder="1" applyAlignment="1">
      <alignment horizontal="center" vertical="top"/>
    </xf>
    <xf numFmtId="0" fontId="32" fillId="0" borderId="3" xfId="0" applyFont="1" applyFill="1" applyBorder="1" applyAlignment="1">
      <alignment horizontal="center" vertical="top"/>
    </xf>
    <xf numFmtId="0" fontId="33" fillId="0" borderId="4" xfId="0" applyFont="1" applyFill="1" applyBorder="1" applyAlignment="1">
      <alignment horizontal="center" vertical="top"/>
    </xf>
    <xf numFmtId="0" fontId="33" fillId="0" borderId="3" xfId="0" applyFont="1" applyFill="1" applyBorder="1" applyAlignment="1">
      <alignment horizontal="center" vertical="top"/>
    </xf>
    <xf numFmtId="0" fontId="34" fillId="0" borderId="4" xfId="0" applyFont="1" applyFill="1" applyBorder="1" applyAlignment="1">
      <alignment horizontal="center" vertical="top"/>
    </xf>
    <xf numFmtId="0" fontId="34" fillId="0" borderId="3" xfId="0" applyFont="1" applyFill="1" applyBorder="1" applyAlignment="1">
      <alignment horizontal="center" vertical="top"/>
    </xf>
    <xf numFmtId="0" fontId="9" fillId="13" borderId="39" xfId="0" applyFont="1" applyFill="1" applyBorder="1" applyAlignment="1">
      <alignment horizontal="center" vertical="center"/>
    </xf>
    <xf numFmtId="0" fontId="0" fillId="0" borderId="35" xfId="0" applyBorder="1"/>
    <xf numFmtId="0" fontId="0" fillId="4" borderId="4" xfId="0" applyFill="1" applyBorder="1" applyAlignment="1">
      <alignment horizontal="center"/>
    </xf>
    <xf numFmtId="0" fontId="0" fillId="4" borderId="4" xfId="0" applyFill="1" applyBorder="1" applyAlignment="1">
      <alignment wrapText="1"/>
    </xf>
    <xf numFmtId="0" fontId="8" fillId="0" borderId="4" xfId="0" applyFont="1" applyFill="1" applyBorder="1" applyAlignment="1"/>
    <xf numFmtId="0" fontId="8" fillId="0" borderId="3" xfId="0" applyFont="1" applyFill="1" applyBorder="1" applyAlignment="1"/>
    <xf numFmtId="0" fontId="7" fillId="0" borderId="0" xfId="0" applyFont="1" applyFill="1" applyBorder="1" applyAlignment="1"/>
    <xf numFmtId="0" fontId="7" fillId="0" borderId="47" xfId="0" applyFont="1" applyFill="1" applyBorder="1" applyAlignment="1"/>
    <xf numFmtId="0" fontId="7" fillId="27" borderId="51" xfId="0" applyFont="1" applyFill="1" applyBorder="1" applyAlignment="1"/>
    <xf numFmtId="0" fontId="7" fillId="0" borderId="39" xfId="0" applyFont="1" applyFill="1" applyBorder="1" applyAlignment="1"/>
    <xf numFmtId="0" fontId="7" fillId="27" borderId="60" xfId="0" applyFont="1" applyFill="1" applyBorder="1" applyAlignment="1"/>
    <xf numFmtId="0" fontId="7" fillId="0" borderId="61" xfId="0" applyFont="1" applyFill="1" applyBorder="1" applyAlignment="1"/>
    <xf numFmtId="0" fontId="7" fillId="0" borderId="62" xfId="0" applyFont="1" applyFill="1" applyBorder="1" applyAlignment="1"/>
    <xf numFmtId="0" fontId="7" fillId="0" borderId="63" xfId="0" applyFont="1" applyFill="1" applyBorder="1" applyAlignment="1"/>
    <xf numFmtId="0" fontId="7" fillId="0" borderId="64" xfId="0" applyFont="1" applyFill="1" applyBorder="1" applyAlignment="1"/>
    <xf numFmtId="0" fontId="7" fillId="0" borderId="65" xfId="0" applyFont="1" applyFill="1" applyBorder="1" applyAlignment="1"/>
    <xf numFmtId="0" fontId="7" fillId="0" borderId="66" xfId="0" applyFont="1" applyFill="1" applyBorder="1" applyAlignment="1"/>
    <xf numFmtId="0" fontId="7" fillId="0" borderId="67" xfId="0" applyFont="1" applyFill="1" applyBorder="1" applyAlignment="1"/>
    <xf numFmtId="0" fontId="7" fillId="0" borderId="68" xfId="0" applyFont="1" applyFill="1" applyBorder="1" applyAlignment="1"/>
    <xf numFmtId="0" fontId="7" fillId="0" borderId="69" xfId="0" applyFont="1" applyFill="1" applyBorder="1" applyAlignment="1"/>
    <xf numFmtId="0" fontId="20" fillId="28" borderId="49" xfId="0" applyFont="1" applyFill="1" applyBorder="1" applyAlignment="1">
      <alignment wrapText="1" readingOrder="1"/>
    </xf>
    <xf numFmtId="0" fontId="35" fillId="0" borderId="70" xfId="0" applyFont="1" applyFill="1" applyBorder="1" applyAlignment="1"/>
    <xf numFmtId="0" fontId="35" fillId="0" borderId="33" xfId="0" applyFont="1" applyFill="1" applyBorder="1" applyAlignment="1"/>
    <xf numFmtId="0" fontId="35" fillId="0" borderId="32" xfId="0" applyFont="1" applyFill="1" applyBorder="1" applyAlignment="1"/>
    <xf numFmtId="0" fontId="7" fillId="0" borderId="0" xfId="0" applyFont="1" applyFill="1" applyAlignment="1"/>
    <xf numFmtId="0" fontId="36" fillId="0" borderId="27" xfId="0" applyFont="1" applyFill="1" applyBorder="1" applyAlignment="1">
      <alignment wrapText="1"/>
    </xf>
    <xf numFmtId="0" fontId="7" fillId="30" borderId="32" xfId="0" applyFont="1" applyFill="1" applyBorder="1" applyAlignment="1"/>
    <xf numFmtId="0" fontId="7" fillId="30" borderId="33" xfId="0" applyFont="1" applyFill="1" applyBorder="1" applyAlignment="1"/>
    <xf numFmtId="0" fontId="0" fillId="30" borderId="0" xfId="0" applyFill="1"/>
    <xf numFmtId="0" fontId="0" fillId="30" borderId="34" xfId="0" applyFill="1" applyBorder="1"/>
    <xf numFmtId="0" fontId="7" fillId="30" borderId="27" xfId="0" applyFont="1" applyFill="1" applyBorder="1" applyAlignment="1"/>
    <xf numFmtId="0" fontId="7" fillId="30" borderId="0" xfId="0" applyFont="1" applyFill="1" applyAlignment="1"/>
    <xf numFmtId="0" fontId="7" fillId="30" borderId="34" xfId="0" applyFont="1" applyFill="1" applyBorder="1" applyAlignment="1"/>
    <xf numFmtId="0" fontId="0" fillId="30" borderId="27" xfId="0" applyFill="1" applyBorder="1"/>
    <xf numFmtId="0" fontId="0" fillId="30" borderId="30" xfId="0" applyFill="1" applyBorder="1"/>
    <xf numFmtId="0" fontId="0" fillId="30" borderId="35" xfId="0" applyFill="1" applyBorder="1"/>
    <xf numFmtId="0" fontId="35" fillId="0" borderId="72" xfId="0" applyFont="1" applyFill="1" applyBorder="1" applyAlignment="1"/>
    <xf numFmtId="0" fontId="35" fillId="0" borderId="24" xfId="0" applyFont="1" applyFill="1" applyBorder="1" applyAlignment="1"/>
    <xf numFmtId="0" fontId="35" fillId="0" borderId="6" xfId="0" applyFont="1" applyFill="1" applyBorder="1" applyAlignment="1"/>
    <xf numFmtId="0" fontId="36" fillId="0" borderId="73" xfId="0" applyFont="1" applyFill="1" applyBorder="1" applyAlignment="1">
      <alignment wrapText="1"/>
    </xf>
    <xf numFmtId="0" fontId="38" fillId="0" borderId="0" xfId="0" applyFont="1" applyFill="1" applyAlignment="1"/>
    <xf numFmtId="0" fontId="36" fillId="39" borderId="3" xfId="0" applyFont="1" applyFill="1" applyBorder="1" applyAlignment="1">
      <alignment wrapText="1"/>
    </xf>
    <xf numFmtId="0" fontId="14" fillId="14" borderId="42" xfId="0" applyFont="1" applyFill="1" applyBorder="1" applyAlignment="1">
      <alignment horizontal="center" vertical="center" wrapText="1" readingOrder="1"/>
    </xf>
    <xf numFmtId="0" fontId="14" fillId="14" borderId="41" xfId="0" applyFont="1" applyFill="1" applyBorder="1" applyAlignment="1">
      <alignment horizontal="center" vertical="center" wrapText="1" readingOrder="1"/>
    </xf>
    <xf numFmtId="0" fontId="19" fillId="0" borderId="0" xfId="0" applyFont="1" applyFill="1" applyBorder="1" applyAlignment="1">
      <alignment horizontal="center" vertical="center" textRotation="90" wrapText="1" readingOrder="1"/>
    </xf>
    <xf numFmtId="0" fontId="19" fillId="17" borderId="4" xfId="0" applyFont="1" applyFill="1" applyBorder="1" applyAlignment="1">
      <alignment horizontal="center" vertical="center" wrapText="1" readingOrder="1"/>
    </xf>
    <xf numFmtId="0" fontId="19" fillId="18" borderId="4" xfId="0" applyFont="1" applyFill="1" applyBorder="1" applyAlignment="1">
      <alignment horizontal="center" vertical="center" wrapText="1" readingOrder="1"/>
    </xf>
    <xf numFmtId="0" fontId="0" fillId="30" borderId="32" xfId="0" applyFont="1" applyFill="1" applyBorder="1"/>
    <xf numFmtId="0" fontId="0" fillId="30" borderId="33" xfId="0" applyFont="1" applyFill="1" applyBorder="1"/>
    <xf numFmtId="0" fontId="0" fillId="30" borderId="27" xfId="0" applyFont="1" applyFill="1" applyBorder="1"/>
    <xf numFmtId="0" fontId="0" fillId="30" borderId="0" xfId="0" applyFont="1" applyFill="1" applyBorder="1"/>
    <xf numFmtId="0" fontId="0" fillId="30" borderId="0" xfId="0" applyFill="1" applyBorder="1"/>
    <xf numFmtId="0" fontId="0" fillId="30" borderId="34" xfId="0" applyFont="1" applyFill="1" applyBorder="1"/>
    <xf numFmtId="0" fontId="0" fillId="30" borderId="30" xfId="0" applyFont="1" applyFill="1" applyBorder="1"/>
    <xf numFmtId="0" fontId="0" fillId="30" borderId="35" xfId="0" applyFont="1" applyFill="1" applyBorder="1"/>
    <xf numFmtId="0" fontId="36" fillId="0" borderId="7" xfId="0" applyFont="1" applyFill="1" applyBorder="1" applyAlignment="1">
      <alignment wrapText="1"/>
    </xf>
    <xf numFmtId="0" fontId="36" fillId="39" borderId="4" xfId="0" applyFont="1" applyFill="1" applyBorder="1" applyAlignment="1">
      <alignment wrapText="1"/>
    </xf>
    <xf numFmtId="0" fontId="39" fillId="0" borderId="47" xfId="0" applyFont="1" applyFill="1" applyBorder="1" applyAlignment="1">
      <alignment wrapText="1"/>
    </xf>
    <xf numFmtId="8" fontId="39" fillId="0" borderId="51" xfId="0" applyNumberFormat="1" applyFont="1" applyFill="1" applyBorder="1" applyAlignment="1">
      <alignment wrapText="1"/>
    </xf>
    <xf numFmtId="0" fontId="39" fillId="0" borderId="51" xfId="0" applyFont="1" applyFill="1" applyBorder="1" applyAlignment="1">
      <alignment wrapText="1"/>
    </xf>
    <xf numFmtId="0" fontId="40" fillId="0" borderId="0" xfId="0" applyFont="1" applyFill="1" applyAlignment="1">
      <alignment wrapText="1"/>
    </xf>
    <xf numFmtId="0" fontId="40" fillId="0" borderId="47" xfId="0" applyFont="1" applyFill="1" applyBorder="1" applyAlignment="1">
      <alignment wrapText="1"/>
    </xf>
    <xf numFmtId="8" fontId="41" fillId="27" borderId="51" xfId="0" applyNumberFormat="1" applyFont="1" applyFill="1" applyBorder="1" applyAlignment="1">
      <alignment wrapText="1"/>
    </xf>
    <xf numFmtId="0" fontId="37" fillId="0" borderId="71" xfId="0" applyFont="1" applyBorder="1" applyAlignment="1">
      <alignment wrapText="1"/>
    </xf>
    <xf numFmtId="0" fontId="37" fillId="0" borderId="30" xfId="0" applyFont="1" applyBorder="1" applyAlignment="1">
      <alignment wrapText="1"/>
    </xf>
    <xf numFmtId="0" fontId="7" fillId="0" borderId="0" xfId="0" applyFont="1" applyFill="1" applyAlignment="1">
      <alignment wrapText="1"/>
    </xf>
    <xf numFmtId="0" fontId="1" fillId="2" borderId="1" xfId="0" applyFont="1" applyFill="1" applyBorder="1" applyAlignment="1">
      <alignment horizontal="left" vertical="top"/>
    </xf>
    <xf numFmtId="0" fontId="1" fillId="2" borderId="0" xfId="0" applyFont="1" applyFill="1" applyBorder="1" applyAlignment="1">
      <alignment horizontal="left" vertical="top"/>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3" fillId="4" borderId="5" xfId="0" applyFont="1" applyFill="1" applyBorder="1" applyAlignment="1">
      <alignment horizontal="left" vertical="top"/>
    </xf>
    <xf numFmtId="2" fontId="1" fillId="2" borderId="2" xfId="0" applyNumberFormat="1" applyFont="1" applyFill="1" applyBorder="1" applyAlignment="1">
      <alignment horizontal="left" vertical="top"/>
    </xf>
    <xf numFmtId="2" fontId="1" fillId="2" borderId="3" xfId="0" applyNumberFormat="1" applyFont="1" applyFill="1" applyBorder="1" applyAlignment="1">
      <alignment horizontal="left" vertical="top"/>
    </xf>
    <xf numFmtId="0" fontId="5" fillId="7" borderId="0" xfId="0" applyFont="1" applyFill="1" applyAlignment="1">
      <alignment horizontal="left" vertical="top" wrapText="1"/>
    </xf>
    <xf numFmtId="0" fontId="2" fillId="7" borderId="0" xfId="0" applyFont="1" applyFill="1" applyAlignment="1">
      <alignment horizontal="left" vertical="top" wrapText="1"/>
    </xf>
    <xf numFmtId="49" fontId="1" fillId="0" borderId="2" xfId="0" applyNumberFormat="1" applyFont="1" applyFill="1" applyBorder="1" applyAlignment="1">
      <alignment horizontal="right" wrapText="1"/>
    </xf>
    <xf numFmtId="49" fontId="1" fillId="0" borderId="40" xfId="0" applyNumberFormat="1" applyFont="1" applyFill="1" applyBorder="1" applyAlignment="1">
      <alignment horizontal="right" wrapText="1"/>
    </xf>
    <xf numFmtId="49" fontId="1" fillId="0" borderId="3" xfId="0" applyNumberFormat="1" applyFont="1" applyFill="1" applyBorder="1" applyAlignment="1">
      <alignment horizontal="right" wrapText="1"/>
    </xf>
    <xf numFmtId="0" fontId="14" fillId="14" borderId="46" xfId="0" applyFont="1" applyFill="1" applyBorder="1" applyAlignment="1">
      <alignment horizontal="center" vertical="center" wrapText="1" readingOrder="1"/>
    </xf>
    <xf numFmtId="0" fontId="14" fillId="14" borderId="42" xfId="0" applyFont="1" applyFill="1" applyBorder="1" applyAlignment="1">
      <alignment horizontal="center" vertical="center" wrapText="1" readingOrder="1"/>
    </xf>
    <xf numFmtId="0" fontId="14" fillId="14" borderId="41" xfId="0" applyFont="1" applyFill="1" applyBorder="1" applyAlignment="1">
      <alignment horizontal="center" vertical="center" wrapText="1" readingOrder="1"/>
    </xf>
    <xf numFmtId="0" fontId="1" fillId="23" borderId="39" xfId="0" applyFont="1" applyFill="1" applyBorder="1" applyAlignment="1">
      <alignment horizontal="center" vertical="center"/>
    </xf>
    <xf numFmtId="0" fontId="1" fillId="23" borderId="39" xfId="0" applyFont="1" applyFill="1" applyBorder="1" applyAlignment="1">
      <alignment horizontal="center" vertical="center" wrapText="1"/>
    </xf>
    <xf numFmtId="0" fontId="1" fillId="22" borderId="4" xfId="0" applyFont="1" applyFill="1" applyBorder="1" applyAlignment="1">
      <alignment horizontal="center" vertical="top"/>
    </xf>
    <xf numFmtId="0" fontId="0" fillId="0" borderId="52" xfId="0" applyBorder="1" applyAlignment="1">
      <alignment horizontal="center" vertical="center" textRotation="255" wrapText="1"/>
    </xf>
    <xf numFmtId="0" fontId="0" fillId="0" borderId="55" xfId="0" applyBorder="1" applyAlignment="1">
      <alignment horizontal="center" vertical="center" textRotation="255" wrapText="1"/>
    </xf>
    <xf numFmtId="0" fontId="0" fillId="0" borderId="57" xfId="0" applyBorder="1" applyAlignment="1">
      <alignment horizontal="center" vertical="center" textRotation="255" wrapText="1"/>
    </xf>
    <xf numFmtId="0" fontId="1" fillId="22" borderId="4" xfId="0" applyFont="1" applyFill="1" applyBorder="1" applyAlignment="1">
      <alignment horizontal="center" vertical="top" wrapText="1"/>
    </xf>
    <xf numFmtId="0" fontId="7" fillId="32" borderId="0" xfId="0" applyFont="1" applyFill="1" applyAlignment="1">
      <alignment horizontal="center"/>
    </xf>
    <xf numFmtId="0" fontId="7" fillId="29" borderId="0" xfId="0" applyFont="1" applyFill="1" applyAlignment="1">
      <alignment horizontal="center"/>
    </xf>
    <xf numFmtId="0" fontId="7" fillId="31" borderId="0" xfId="0" applyFont="1" applyFill="1" applyAlignment="1">
      <alignment horizontal="center"/>
    </xf>
    <xf numFmtId="0" fontId="7" fillId="33" borderId="34" xfId="0" applyFont="1" applyFill="1" applyBorder="1" applyAlignment="1">
      <alignment horizontal="center"/>
    </xf>
    <xf numFmtId="0" fontId="7" fillId="33" borderId="28" xfId="0" applyFont="1" applyFill="1" applyBorder="1" applyAlignment="1">
      <alignment horizontal="center"/>
    </xf>
    <xf numFmtId="0" fontId="7" fillId="34" borderId="29" xfId="0" applyFont="1" applyFill="1" applyBorder="1" applyAlignment="1"/>
    <xf numFmtId="0" fontId="7" fillId="34" borderId="32" xfId="0" applyFont="1" applyFill="1" applyBorder="1" applyAlignment="1"/>
    <xf numFmtId="0" fontId="7" fillId="35" borderId="0" xfId="0" applyFont="1" applyFill="1" applyBorder="1" applyAlignment="1"/>
    <xf numFmtId="0" fontId="7" fillId="36" borderId="0" xfId="0" applyFont="1" applyFill="1" applyBorder="1" applyAlignment="1"/>
    <xf numFmtId="0" fontId="7" fillId="37" borderId="0" xfId="0" applyFont="1" applyFill="1" applyBorder="1" applyAlignment="1"/>
    <xf numFmtId="0" fontId="7" fillId="38" borderId="35" xfId="0" applyFont="1" applyFill="1" applyBorder="1" applyAlignment="1"/>
    <xf numFmtId="0" fontId="7" fillId="38" borderId="28" xfId="0" applyFont="1" applyFill="1" applyBorder="1" applyAlignment="1"/>
    <xf numFmtId="0" fontId="9" fillId="19" borderId="4" xfId="0" applyFont="1" applyFill="1" applyBorder="1" applyAlignment="1">
      <alignment horizontal="center" vertical="center" textRotation="90"/>
    </xf>
    <xf numFmtId="0" fontId="9" fillId="10" borderId="4" xfId="0" applyFont="1" applyFill="1" applyBorder="1" applyAlignment="1">
      <alignment horizontal="center" vertical="center" textRotation="90" wrapText="1"/>
    </xf>
    <xf numFmtId="0" fontId="9" fillId="11" borderId="4" xfId="0" applyFont="1" applyFill="1" applyBorder="1" applyAlignment="1">
      <alignment horizontal="center" vertical="center" textRotation="90" wrapText="1"/>
    </xf>
    <xf numFmtId="0" fontId="9" fillId="20" borderId="4" xfId="0" applyFont="1" applyFill="1" applyBorder="1" applyAlignment="1">
      <alignment horizontal="center" vertical="center" textRotation="90" wrapText="1"/>
    </xf>
    <xf numFmtId="0" fontId="9" fillId="12" borderId="4" xfId="0" applyFont="1" applyFill="1" applyBorder="1" applyAlignment="1">
      <alignment horizontal="center" vertical="center" textRotation="90"/>
    </xf>
    <xf numFmtId="0" fontId="9" fillId="4" borderId="36" xfId="0" applyFont="1" applyFill="1" applyBorder="1" applyAlignment="1">
      <alignment horizontal="left" vertical="center"/>
    </xf>
    <xf numFmtId="0" fontId="9" fillId="4" borderId="31" xfId="0" applyFont="1" applyFill="1" applyBorder="1" applyAlignment="1">
      <alignment horizontal="left" vertical="center"/>
    </xf>
    <xf numFmtId="0" fontId="0" fillId="0" borderId="29" xfId="0" applyFont="1" applyBorder="1" applyAlignment="1">
      <alignment horizontal="left" vertical="top" wrapText="1"/>
    </xf>
    <xf numFmtId="0" fontId="0" fillId="0" borderId="32" xfId="0" applyFont="1" applyBorder="1" applyAlignment="1">
      <alignment horizontal="left" vertical="top" wrapText="1"/>
    </xf>
    <xf numFmtId="0" fontId="0" fillId="0" borderId="33" xfId="0" applyFont="1" applyBorder="1" applyAlignment="1">
      <alignment horizontal="left" vertical="top" wrapText="1"/>
    </xf>
    <xf numFmtId="0" fontId="0" fillId="0" borderId="27" xfId="0" applyFont="1" applyBorder="1" applyAlignment="1">
      <alignment horizontal="left" vertical="top" wrapText="1"/>
    </xf>
    <xf numFmtId="0" fontId="0" fillId="0" borderId="0" xfId="0" applyFont="1" applyBorder="1" applyAlignment="1">
      <alignment horizontal="left" vertical="top" wrapText="1"/>
    </xf>
    <xf numFmtId="0" fontId="0" fillId="0" borderId="34" xfId="0" applyFont="1" applyBorder="1" applyAlignment="1">
      <alignment horizontal="left" vertical="top" wrapText="1"/>
    </xf>
    <xf numFmtId="0" fontId="0" fillId="0" borderId="30" xfId="0" applyFont="1" applyBorder="1" applyAlignment="1">
      <alignment horizontal="left" vertical="top" wrapText="1"/>
    </xf>
    <xf numFmtId="0" fontId="0" fillId="0" borderId="35" xfId="0" applyFont="1" applyBorder="1" applyAlignment="1">
      <alignment horizontal="left" vertical="top" wrapText="1"/>
    </xf>
    <xf numFmtId="0" fontId="0" fillId="0" borderId="28" xfId="0" applyFont="1" applyBorder="1" applyAlignment="1">
      <alignment horizontal="left" vertical="top" wrapText="1"/>
    </xf>
    <xf numFmtId="0" fontId="0" fillId="4" borderId="47" xfId="0"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
  <sheetViews>
    <sheetView workbookViewId="0"/>
  </sheetViews>
  <sheetFormatPr defaultColWidth="9.140625" defaultRowHeight="12.75" x14ac:dyDescent="0.25"/>
  <cols>
    <col min="1" max="1" width="24.42578125" style="1" bestFit="1" customWidth="1"/>
    <col min="2" max="2" width="15.85546875" style="1" bestFit="1" customWidth="1"/>
    <col min="3" max="3" width="15" style="1" bestFit="1" customWidth="1"/>
    <col min="4" max="4" width="27.28515625" style="1" bestFit="1" customWidth="1"/>
    <col min="5" max="5" width="9.7109375" style="1" bestFit="1" customWidth="1"/>
    <col min="6" max="6" width="12.28515625" style="1" bestFit="1" customWidth="1"/>
    <col min="7" max="7" width="6.28515625" style="1" bestFit="1" customWidth="1"/>
    <col min="8" max="8" width="11.42578125" style="1" bestFit="1" customWidth="1"/>
    <col min="9" max="9" width="11.7109375" style="1" bestFit="1" customWidth="1"/>
    <col min="10" max="10" width="12.85546875" style="1" bestFit="1" customWidth="1"/>
    <col min="11" max="11" width="3.7109375" style="1" bestFit="1" customWidth="1"/>
    <col min="12" max="12" width="18.140625" style="1" bestFit="1" customWidth="1"/>
    <col min="13" max="256" width="9.140625" style="1"/>
    <col min="257" max="257" width="21.85546875" style="1" bestFit="1" customWidth="1"/>
    <col min="258" max="258" width="26.140625" style="1" customWidth="1"/>
    <col min="259" max="259" width="18.5703125" style="1" customWidth="1"/>
    <col min="260" max="260" width="24.42578125" style="1" customWidth="1"/>
    <col min="261" max="263" width="9.140625" style="1"/>
    <col min="264" max="264" width="11.28515625" style="1" bestFit="1" customWidth="1"/>
    <col min="265" max="512" width="9.140625" style="1"/>
    <col min="513" max="513" width="21.85546875" style="1" bestFit="1" customWidth="1"/>
    <col min="514" max="514" width="26.140625" style="1" customWidth="1"/>
    <col min="515" max="515" width="18.5703125" style="1" customWidth="1"/>
    <col min="516" max="516" width="24.42578125" style="1" customWidth="1"/>
    <col min="517" max="519" width="9.140625" style="1"/>
    <col min="520" max="520" width="11.28515625" style="1" bestFit="1" customWidth="1"/>
    <col min="521" max="768" width="9.140625" style="1"/>
    <col min="769" max="769" width="21.85546875" style="1" bestFit="1" customWidth="1"/>
    <col min="770" max="770" width="26.140625" style="1" customWidth="1"/>
    <col min="771" max="771" width="18.5703125" style="1" customWidth="1"/>
    <col min="772" max="772" width="24.42578125" style="1" customWidth="1"/>
    <col min="773" max="775" width="9.140625" style="1"/>
    <col min="776" max="776" width="11.28515625" style="1" bestFit="1" customWidth="1"/>
    <col min="777" max="1024" width="9.140625" style="1"/>
    <col min="1025" max="1025" width="21.85546875" style="1" bestFit="1" customWidth="1"/>
    <col min="1026" max="1026" width="26.140625" style="1" customWidth="1"/>
    <col min="1027" max="1027" width="18.5703125" style="1" customWidth="1"/>
    <col min="1028" max="1028" width="24.42578125" style="1" customWidth="1"/>
    <col min="1029" max="1031" width="9.140625" style="1"/>
    <col min="1032" max="1032" width="11.28515625" style="1" bestFit="1" customWidth="1"/>
    <col min="1033" max="1280" width="9.140625" style="1"/>
    <col min="1281" max="1281" width="21.85546875" style="1" bestFit="1" customWidth="1"/>
    <col min="1282" max="1282" width="26.140625" style="1" customWidth="1"/>
    <col min="1283" max="1283" width="18.5703125" style="1" customWidth="1"/>
    <col min="1284" max="1284" width="24.42578125" style="1" customWidth="1"/>
    <col min="1285" max="1287" width="9.140625" style="1"/>
    <col min="1288" max="1288" width="11.28515625" style="1" bestFit="1" customWidth="1"/>
    <col min="1289" max="1536" width="9.140625" style="1"/>
    <col min="1537" max="1537" width="21.85546875" style="1" bestFit="1" customWidth="1"/>
    <col min="1538" max="1538" width="26.140625" style="1" customWidth="1"/>
    <col min="1539" max="1539" width="18.5703125" style="1" customWidth="1"/>
    <col min="1540" max="1540" width="24.42578125" style="1" customWidth="1"/>
    <col min="1541" max="1543" width="9.140625" style="1"/>
    <col min="1544" max="1544" width="11.28515625" style="1" bestFit="1" customWidth="1"/>
    <col min="1545" max="1792" width="9.140625" style="1"/>
    <col min="1793" max="1793" width="21.85546875" style="1" bestFit="1" customWidth="1"/>
    <col min="1794" max="1794" width="26.140625" style="1" customWidth="1"/>
    <col min="1795" max="1795" width="18.5703125" style="1" customWidth="1"/>
    <col min="1796" max="1796" width="24.42578125" style="1" customWidth="1"/>
    <col min="1797" max="1799" width="9.140625" style="1"/>
    <col min="1800" max="1800" width="11.28515625" style="1" bestFit="1" customWidth="1"/>
    <col min="1801" max="2048" width="9.140625" style="1"/>
    <col min="2049" max="2049" width="21.85546875" style="1" bestFit="1" customWidth="1"/>
    <col min="2050" max="2050" width="26.140625" style="1" customWidth="1"/>
    <col min="2051" max="2051" width="18.5703125" style="1" customWidth="1"/>
    <col min="2052" max="2052" width="24.42578125" style="1" customWidth="1"/>
    <col min="2053" max="2055" width="9.140625" style="1"/>
    <col min="2056" max="2056" width="11.28515625" style="1" bestFit="1" customWidth="1"/>
    <col min="2057" max="2304" width="9.140625" style="1"/>
    <col min="2305" max="2305" width="21.85546875" style="1" bestFit="1" customWidth="1"/>
    <col min="2306" max="2306" width="26.140625" style="1" customWidth="1"/>
    <col min="2307" max="2307" width="18.5703125" style="1" customWidth="1"/>
    <col min="2308" max="2308" width="24.42578125" style="1" customWidth="1"/>
    <col min="2309" max="2311" width="9.140625" style="1"/>
    <col min="2312" max="2312" width="11.28515625" style="1" bestFit="1" customWidth="1"/>
    <col min="2313" max="2560" width="9.140625" style="1"/>
    <col min="2561" max="2561" width="21.85546875" style="1" bestFit="1" customWidth="1"/>
    <col min="2562" max="2562" width="26.140625" style="1" customWidth="1"/>
    <col min="2563" max="2563" width="18.5703125" style="1" customWidth="1"/>
    <col min="2564" max="2564" width="24.42578125" style="1" customWidth="1"/>
    <col min="2565" max="2567" width="9.140625" style="1"/>
    <col min="2568" max="2568" width="11.28515625" style="1" bestFit="1" customWidth="1"/>
    <col min="2569" max="2816" width="9.140625" style="1"/>
    <col min="2817" max="2817" width="21.85546875" style="1" bestFit="1" customWidth="1"/>
    <col min="2818" max="2818" width="26.140625" style="1" customWidth="1"/>
    <col min="2819" max="2819" width="18.5703125" style="1" customWidth="1"/>
    <col min="2820" max="2820" width="24.42578125" style="1" customWidth="1"/>
    <col min="2821" max="2823" width="9.140625" style="1"/>
    <col min="2824" max="2824" width="11.28515625" style="1" bestFit="1" customWidth="1"/>
    <col min="2825" max="3072" width="9.140625" style="1"/>
    <col min="3073" max="3073" width="21.85546875" style="1" bestFit="1" customWidth="1"/>
    <col min="3074" max="3074" width="26.140625" style="1" customWidth="1"/>
    <col min="3075" max="3075" width="18.5703125" style="1" customWidth="1"/>
    <col min="3076" max="3076" width="24.42578125" style="1" customWidth="1"/>
    <col min="3077" max="3079" width="9.140625" style="1"/>
    <col min="3080" max="3080" width="11.28515625" style="1" bestFit="1" customWidth="1"/>
    <col min="3081" max="3328" width="9.140625" style="1"/>
    <col min="3329" max="3329" width="21.85546875" style="1" bestFit="1" customWidth="1"/>
    <col min="3330" max="3330" width="26.140625" style="1" customWidth="1"/>
    <col min="3331" max="3331" width="18.5703125" style="1" customWidth="1"/>
    <col min="3332" max="3332" width="24.42578125" style="1" customWidth="1"/>
    <col min="3333" max="3335" width="9.140625" style="1"/>
    <col min="3336" max="3336" width="11.28515625" style="1" bestFit="1" customWidth="1"/>
    <col min="3337" max="3584" width="9.140625" style="1"/>
    <col min="3585" max="3585" width="21.85546875" style="1" bestFit="1" customWidth="1"/>
    <col min="3586" max="3586" width="26.140625" style="1" customWidth="1"/>
    <col min="3587" max="3587" width="18.5703125" style="1" customWidth="1"/>
    <col min="3588" max="3588" width="24.42578125" style="1" customWidth="1"/>
    <col min="3589" max="3591" width="9.140625" style="1"/>
    <col min="3592" max="3592" width="11.28515625" style="1" bestFit="1" customWidth="1"/>
    <col min="3593" max="3840" width="9.140625" style="1"/>
    <col min="3841" max="3841" width="21.85546875" style="1" bestFit="1" customWidth="1"/>
    <col min="3842" max="3842" width="26.140625" style="1" customWidth="1"/>
    <col min="3843" max="3843" width="18.5703125" style="1" customWidth="1"/>
    <col min="3844" max="3844" width="24.42578125" style="1" customWidth="1"/>
    <col min="3845" max="3847" width="9.140625" style="1"/>
    <col min="3848" max="3848" width="11.28515625" style="1" bestFit="1" customWidth="1"/>
    <col min="3849" max="4096" width="9.140625" style="1"/>
    <col min="4097" max="4097" width="21.85546875" style="1" bestFit="1" customWidth="1"/>
    <col min="4098" max="4098" width="26.140625" style="1" customWidth="1"/>
    <col min="4099" max="4099" width="18.5703125" style="1" customWidth="1"/>
    <col min="4100" max="4100" width="24.42578125" style="1" customWidth="1"/>
    <col min="4101" max="4103" width="9.140625" style="1"/>
    <col min="4104" max="4104" width="11.28515625" style="1" bestFit="1" customWidth="1"/>
    <col min="4105" max="4352" width="9.140625" style="1"/>
    <col min="4353" max="4353" width="21.85546875" style="1" bestFit="1" customWidth="1"/>
    <col min="4354" max="4354" width="26.140625" style="1" customWidth="1"/>
    <col min="4355" max="4355" width="18.5703125" style="1" customWidth="1"/>
    <col min="4356" max="4356" width="24.42578125" style="1" customWidth="1"/>
    <col min="4357" max="4359" width="9.140625" style="1"/>
    <col min="4360" max="4360" width="11.28515625" style="1" bestFit="1" customWidth="1"/>
    <col min="4361" max="4608" width="9.140625" style="1"/>
    <col min="4609" max="4609" width="21.85546875" style="1" bestFit="1" customWidth="1"/>
    <col min="4610" max="4610" width="26.140625" style="1" customWidth="1"/>
    <col min="4611" max="4611" width="18.5703125" style="1" customWidth="1"/>
    <col min="4612" max="4612" width="24.42578125" style="1" customWidth="1"/>
    <col min="4613" max="4615" width="9.140625" style="1"/>
    <col min="4616" max="4616" width="11.28515625" style="1" bestFit="1" customWidth="1"/>
    <col min="4617" max="4864" width="9.140625" style="1"/>
    <col min="4865" max="4865" width="21.85546875" style="1" bestFit="1" customWidth="1"/>
    <col min="4866" max="4866" width="26.140625" style="1" customWidth="1"/>
    <col min="4867" max="4867" width="18.5703125" style="1" customWidth="1"/>
    <col min="4868" max="4868" width="24.42578125" style="1" customWidth="1"/>
    <col min="4869" max="4871" width="9.140625" style="1"/>
    <col min="4872" max="4872" width="11.28515625" style="1" bestFit="1" customWidth="1"/>
    <col min="4873" max="5120" width="9.140625" style="1"/>
    <col min="5121" max="5121" width="21.85546875" style="1" bestFit="1" customWidth="1"/>
    <col min="5122" max="5122" width="26.140625" style="1" customWidth="1"/>
    <col min="5123" max="5123" width="18.5703125" style="1" customWidth="1"/>
    <col min="5124" max="5124" width="24.42578125" style="1" customWidth="1"/>
    <col min="5125" max="5127" width="9.140625" style="1"/>
    <col min="5128" max="5128" width="11.28515625" style="1" bestFit="1" customWidth="1"/>
    <col min="5129" max="5376" width="9.140625" style="1"/>
    <col min="5377" max="5377" width="21.85546875" style="1" bestFit="1" customWidth="1"/>
    <col min="5378" max="5378" width="26.140625" style="1" customWidth="1"/>
    <col min="5379" max="5379" width="18.5703125" style="1" customWidth="1"/>
    <col min="5380" max="5380" width="24.42578125" style="1" customWidth="1"/>
    <col min="5381" max="5383" width="9.140625" style="1"/>
    <col min="5384" max="5384" width="11.28515625" style="1" bestFit="1" customWidth="1"/>
    <col min="5385" max="5632" width="9.140625" style="1"/>
    <col min="5633" max="5633" width="21.85546875" style="1" bestFit="1" customWidth="1"/>
    <col min="5634" max="5634" width="26.140625" style="1" customWidth="1"/>
    <col min="5635" max="5635" width="18.5703125" style="1" customWidth="1"/>
    <col min="5636" max="5636" width="24.42578125" style="1" customWidth="1"/>
    <col min="5637" max="5639" width="9.140625" style="1"/>
    <col min="5640" max="5640" width="11.28515625" style="1" bestFit="1" customWidth="1"/>
    <col min="5641" max="5888" width="9.140625" style="1"/>
    <col min="5889" max="5889" width="21.85546875" style="1" bestFit="1" customWidth="1"/>
    <col min="5890" max="5890" width="26.140625" style="1" customWidth="1"/>
    <col min="5891" max="5891" width="18.5703125" style="1" customWidth="1"/>
    <col min="5892" max="5892" width="24.42578125" style="1" customWidth="1"/>
    <col min="5893" max="5895" width="9.140625" style="1"/>
    <col min="5896" max="5896" width="11.28515625" style="1" bestFit="1" customWidth="1"/>
    <col min="5897" max="6144" width="9.140625" style="1"/>
    <col min="6145" max="6145" width="21.85546875" style="1" bestFit="1" customWidth="1"/>
    <col min="6146" max="6146" width="26.140625" style="1" customWidth="1"/>
    <col min="6147" max="6147" width="18.5703125" style="1" customWidth="1"/>
    <col min="6148" max="6148" width="24.42578125" style="1" customWidth="1"/>
    <col min="6149" max="6151" width="9.140625" style="1"/>
    <col min="6152" max="6152" width="11.28515625" style="1" bestFit="1" customWidth="1"/>
    <col min="6153" max="6400" width="9.140625" style="1"/>
    <col min="6401" max="6401" width="21.85546875" style="1" bestFit="1" customWidth="1"/>
    <col min="6402" max="6402" width="26.140625" style="1" customWidth="1"/>
    <col min="6403" max="6403" width="18.5703125" style="1" customWidth="1"/>
    <col min="6404" max="6404" width="24.42578125" style="1" customWidth="1"/>
    <col min="6405" max="6407" width="9.140625" style="1"/>
    <col min="6408" max="6408" width="11.28515625" style="1" bestFit="1" customWidth="1"/>
    <col min="6409" max="6656" width="9.140625" style="1"/>
    <col min="6657" max="6657" width="21.85546875" style="1" bestFit="1" customWidth="1"/>
    <col min="6658" max="6658" width="26.140625" style="1" customWidth="1"/>
    <col min="6659" max="6659" width="18.5703125" style="1" customWidth="1"/>
    <col min="6660" max="6660" width="24.42578125" style="1" customWidth="1"/>
    <col min="6661" max="6663" width="9.140625" style="1"/>
    <col min="6664" max="6664" width="11.28515625" style="1" bestFit="1" customWidth="1"/>
    <col min="6665" max="6912" width="9.140625" style="1"/>
    <col min="6913" max="6913" width="21.85546875" style="1" bestFit="1" customWidth="1"/>
    <col min="6914" max="6914" width="26.140625" style="1" customWidth="1"/>
    <col min="6915" max="6915" width="18.5703125" style="1" customWidth="1"/>
    <col min="6916" max="6916" width="24.42578125" style="1" customWidth="1"/>
    <col min="6917" max="6919" width="9.140625" style="1"/>
    <col min="6920" max="6920" width="11.28515625" style="1" bestFit="1" customWidth="1"/>
    <col min="6921" max="7168" width="9.140625" style="1"/>
    <col min="7169" max="7169" width="21.85546875" style="1" bestFit="1" customWidth="1"/>
    <col min="7170" max="7170" width="26.140625" style="1" customWidth="1"/>
    <col min="7171" max="7171" width="18.5703125" style="1" customWidth="1"/>
    <col min="7172" max="7172" width="24.42578125" style="1" customWidth="1"/>
    <col min="7173" max="7175" width="9.140625" style="1"/>
    <col min="7176" max="7176" width="11.28515625" style="1" bestFit="1" customWidth="1"/>
    <col min="7177" max="7424" width="9.140625" style="1"/>
    <col min="7425" max="7425" width="21.85546875" style="1" bestFit="1" customWidth="1"/>
    <col min="7426" max="7426" width="26.140625" style="1" customWidth="1"/>
    <col min="7427" max="7427" width="18.5703125" style="1" customWidth="1"/>
    <col min="7428" max="7428" width="24.42578125" style="1" customWidth="1"/>
    <col min="7429" max="7431" width="9.140625" style="1"/>
    <col min="7432" max="7432" width="11.28515625" style="1" bestFit="1" customWidth="1"/>
    <col min="7433" max="7680" width="9.140625" style="1"/>
    <col min="7681" max="7681" width="21.85546875" style="1" bestFit="1" customWidth="1"/>
    <col min="7682" max="7682" width="26.140625" style="1" customWidth="1"/>
    <col min="7683" max="7683" width="18.5703125" style="1" customWidth="1"/>
    <col min="7684" max="7684" width="24.42578125" style="1" customWidth="1"/>
    <col min="7685" max="7687" width="9.140625" style="1"/>
    <col min="7688" max="7688" width="11.28515625" style="1" bestFit="1" customWidth="1"/>
    <col min="7689" max="7936" width="9.140625" style="1"/>
    <col min="7937" max="7937" width="21.85546875" style="1" bestFit="1" customWidth="1"/>
    <col min="7938" max="7938" width="26.140625" style="1" customWidth="1"/>
    <col min="7939" max="7939" width="18.5703125" style="1" customWidth="1"/>
    <col min="7940" max="7940" width="24.42578125" style="1" customWidth="1"/>
    <col min="7941" max="7943" width="9.140625" style="1"/>
    <col min="7944" max="7944" width="11.28515625" style="1" bestFit="1" customWidth="1"/>
    <col min="7945" max="8192" width="9.140625" style="1"/>
    <col min="8193" max="8193" width="21.85546875" style="1" bestFit="1" customWidth="1"/>
    <col min="8194" max="8194" width="26.140625" style="1" customWidth="1"/>
    <col min="8195" max="8195" width="18.5703125" style="1" customWidth="1"/>
    <col min="8196" max="8196" width="24.42578125" style="1" customWidth="1"/>
    <col min="8197" max="8199" width="9.140625" style="1"/>
    <col min="8200" max="8200" width="11.28515625" style="1" bestFit="1" customWidth="1"/>
    <col min="8201" max="8448" width="9.140625" style="1"/>
    <col min="8449" max="8449" width="21.85546875" style="1" bestFit="1" customWidth="1"/>
    <col min="8450" max="8450" width="26.140625" style="1" customWidth="1"/>
    <col min="8451" max="8451" width="18.5703125" style="1" customWidth="1"/>
    <col min="8452" max="8452" width="24.42578125" style="1" customWidth="1"/>
    <col min="8453" max="8455" width="9.140625" style="1"/>
    <col min="8456" max="8456" width="11.28515625" style="1" bestFit="1" customWidth="1"/>
    <col min="8457" max="8704" width="9.140625" style="1"/>
    <col min="8705" max="8705" width="21.85546875" style="1" bestFit="1" customWidth="1"/>
    <col min="8706" max="8706" width="26.140625" style="1" customWidth="1"/>
    <col min="8707" max="8707" width="18.5703125" style="1" customWidth="1"/>
    <col min="8708" max="8708" width="24.42578125" style="1" customWidth="1"/>
    <col min="8709" max="8711" width="9.140625" style="1"/>
    <col min="8712" max="8712" width="11.28515625" style="1" bestFit="1" customWidth="1"/>
    <col min="8713" max="8960" width="9.140625" style="1"/>
    <col min="8961" max="8961" width="21.85546875" style="1" bestFit="1" customWidth="1"/>
    <col min="8962" max="8962" width="26.140625" style="1" customWidth="1"/>
    <col min="8963" max="8963" width="18.5703125" style="1" customWidth="1"/>
    <col min="8964" max="8964" width="24.42578125" style="1" customWidth="1"/>
    <col min="8965" max="8967" width="9.140625" style="1"/>
    <col min="8968" max="8968" width="11.28515625" style="1" bestFit="1" customWidth="1"/>
    <col min="8969" max="9216" width="9.140625" style="1"/>
    <col min="9217" max="9217" width="21.85546875" style="1" bestFit="1" customWidth="1"/>
    <col min="9218" max="9218" width="26.140625" style="1" customWidth="1"/>
    <col min="9219" max="9219" width="18.5703125" style="1" customWidth="1"/>
    <col min="9220" max="9220" width="24.42578125" style="1" customWidth="1"/>
    <col min="9221" max="9223" width="9.140625" style="1"/>
    <col min="9224" max="9224" width="11.28515625" style="1" bestFit="1" customWidth="1"/>
    <col min="9225" max="9472" width="9.140625" style="1"/>
    <col min="9473" max="9473" width="21.85546875" style="1" bestFit="1" customWidth="1"/>
    <col min="9474" max="9474" width="26.140625" style="1" customWidth="1"/>
    <col min="9475" max="9475" width="18.5703125" style="1" customWidth="1"/>
    <col min="9476" max="9476" width="24.42578125" style="1" customWidth="1"/>
    <col min="9477" max="9479" width="9.140625" style="1"/>
    <col min="9480" max="9480" width="11.28515625" style="1" bestFit="1" customWidth="1"/>
    <col min="9481" max="9728" width="9.140625" style="1"/>
    <col min="9729" max="9729" width="21.85546875" style="1" bestFit="1" customWidth="1"/>
    <col min="9730" max="9730" width="26.140625" style="1" customWidth="1"/>
    <col min="9731" max="9731" width="18.5703125" style="1" customWidth="1"/>
    <col min="9732" max="9732" width="24.42578125" style="1" customWidth="1"/>
    <col min="9733" max="9735" width="9.140625" style="1"/>
    <col min="9736" max="9736" width="11.28515625" style="1" bestFit="1" customWidth="1"/>
    <col min="9737" max="9984" width="9.140625" style="1"/>
    <col min="9985" max="9985" width="21.85546875" style="1" bestFit="1" customWidth="1"/>
    <col min="9986" max="9986" width="26.140625" style="1" customWidth="1"/>
    <col min="9987" max="9987" width="18.5703125" style="1" customWidth="1"/>
    <col min="9988" max="9988" width="24.42578125" style="1" customWidth="1"/>
    <col min="9989" max="9991" width="9.140625" style="1"/>
    <col min="9992" max="9992" width="11.28515625" style="1" bestFit="1" customWidth="1"/>
    <col min="9993" max="10240" width="9.140625" style="1"/>
    <col min="10241" max="10241" width="21.85546875" style="1" bestFit="1" customWidth="1"/>
    <col min="10242" max="10242" width="26.140625" style="1" customWidth="1"/>
    <col min="10243" max="10243" width="18.5703125" style="1" customWidth="1"/>
    <col min="10244" max="10244" width="24.42578125" style="1" customWidth="1"/>
    <col min="10245" max="10247" width="9.140625" style="1"/>
    <col min="10248" max="10248" width="11.28515625" style="1" bestFit="1" customWidth="1"/>
    <col min="10249" max="10496" width="9.140625" style="1"/>
    <col min="10497" max="10497" width="21.85546875" style="1" bestFit="1" customWidth="1"/>
    <col min="10498" max="10498" width="26.140625" style="1" customWidth="1"/>
    <col min="10499" max="10499" width="18.5703125" style="1" customWidth="1"/>
    <col min="10500" max="10500" width="24.42578125" style="1" customWidth="1"/>
    <col min="10501" max="10503" width="9.140625" style="1"/>
    <col min="10504" max="10504" width="11.28515625" style="1" bestFit="1" customWidth="1"/>
    <col min="10505" max="10752" width="9.140625" style="1"/>
    <col min="10753" max="10753" width="21.85546875" style="1" bestFit="1" customWidth="1"/>
    <col min="10754" max="10754" width="26.140625" style="1" customWidth="1"/>
    <col min="10755" max="10755" width="18.5703125" style="1" customWidth="1"/>
    <col min="10756" max="10756" width="24.42578125" style="1" customWidth="1"/>
    <col min="10757" max="10759" width="9.140625" style="1"/>
    <col min="10760" max="10760" width="11.28515625" style="1" bestFit="1" customWidth="1"/>
    <col min="10761" max="11008" width="9.140625" style="1"/>
    <col min="11009" max="11009" width="21.85546875" style="1" bestFit="1" customWidth="1"/>
    <col min="11010" max="11010" width="26.140625" style="1" customWidth="1"/>
    <col min="11011" max="11011" width="18.5703125" style="1" customWidth="1"/>
    <col min="11012" max="11012" width="24.42578125" style="1" customWidth="1"/>
    <col min="11013" max="11015" width="9.140625" style="1"/>
    <col min="11016" max="11016" width="11.28515625" style="1" bestFit="1" customWidth="1"/>
    <col min="11017" max="11264" width="9.140625" style="1"/>
    <col min="11265" max="11265" width="21.85546875" style="1" bestFit="1" customWidth="1"/>
    <col min="11266" max="11266" width="26.140625" style="1" customWidth="1"/>
    <col min="11267" max="11267" width="18.5703125" style="1" customWidth="1"/>
    <col min="11268" max="11268" width="24.42578125" style="1" customWidth="1"/>
    <col min="11269" max="11271" width="9.140625" style="1"/>
    <col min="11272" max="11272" width="11.28515625" style="1" bestFit="1" customWidth="1"/>
    <col min="11273" max="11520" width="9.140625" style="1"/>
    <col min="11521" max="11521" width="21.85546875" style="1" bestFit="1" customWidth="1"/>
    <col min="11522" max="11522" width="26.140625" style="1" customWidth="1"/>
    <col min="11523" max="11523" width="18.5703125" style="1" customWidth="1"/>
    <col min="11524" max="11524" width="24.42578125" style="1" customWidth="1"/>
    <col min="11525" max="11527" width="9.140625" style="1"/>
    <col min="11528" max="11528" width="11.28515625" style="1" bestFit="1" customWidth="1"/>
    <col min="11529" max="11776" width="9.140625" style="1"/>
    <col min="11777" max="11777" width="21.85546875" style="1" bestFit="1" customWidth="1"/>
    <col min="11778" max="11778" width="26.140625" style="1" customWidth="1"/>
    <col min="11779" max="11779" width="18.5703125" style="1" customWidth="1"/>
    <col min="11780" max="11780" width="24.42578125" style="1" customWidth="1"/>
    <col min="11781" max="11783" width="9.140625" style="1"/>
    <col min="11784" max="11784" width="11.28515625" style="1" bestFit="1" customWidth="1"/>
    <col min="11785" max="12032" width="9.140625" style="1"/>
    <col min="12033" max="12033" width="21.85546875" style="1" bestFit="1" customWidth="1"/>
    <col min="12034" max="12034" width="26.140625" style="1" customWidth="1"/>
    <col min="12035" max="12035" width="18.5703125" style="1" customWidth="1"/>
    <col min="12036" max="12036" width="24.42578125" style="1" customWidth="1"/>
    <col min="12037" max="12039" width="9.140625" style="1"/>
    <col min="12040" max="12040" width="11.28515625" style="1" bestFit="1" customWidth="1"/>
    <col min="12041" max="12288" width="9.140625" style="1"/>
    <col min="12289" max="12289" width="21.85546875" style="1" bestFit="1" customWidth="1"/>
    <col min="12290" max="12290" width="26.140625" style="1" customWidth="1"/>
    <col min="12291" max="12291" width="18.5703125" style="1" customWidth="1"/>
    <col min="12292" max="12292" width="24.42578125" style="1" customWidth="1"/>
    <col min="12293" max="12295" width="9.140625" style="1"/>
    <col min="12296" max="12296" width="11.28515625" style="1" bestFit="1" customWidth="1"/>
    <col min="12297" max="12544" width="9.140625" style="1"/>
    <col min="12545" max="12545" width="21.85546875" style="1" bestFit="1" customWidth="1"/>
    <col min="12546" max="12546" width="26.140625" style="1" customWidth="1"/>
    <col min="12547" max="12547" width="18.5703125" style="1" customWidth="1"/>
    <col min="12548" max="12548" width="24.42578125" style="1" customWidth="1"/>
    <col min="12549" max="12551" width="9.140625" style="1"/>
    <col min="12552" max="12552" width="11.28515625" style="1" bestFit="1" customWidth="1"/>
    <col min="12553" max="12800" width="9.140625" style="1"/>
    <col min="12801" max="12801" width="21.85546875" style="1" bestFit="1" customWidth="1"/>
    <col min="12802" max="12802" width="26.140625" style="1" customWidth="1"/>
    <col min="12803" max="12803" width="18.5703125" style="1" customWidth="1"/>
    <col min="12804" max="12804" width="24.42578125" style="1" customWidth="1"/>
    <col min="12805" max="12807" width="9.140625" style="1"/>
    <col min="12808" max="12808" width="11.28515625" style="1" bestFit="1" customWidth="1"/>
    <col min="12809" max="13056" width="9.140625" style="1"/>
    <col min="13057" max="13057" width="21.85546875" style="1" bestFit="1" customWidth="1"/>
    <col min="13058" max="13058" width="26.140625" style="1" customWidth="1"/>
    <col min="13059" max="13059" width="18.5703125" style="1" customWidth="1"/>
    <col min="13060" max="13060" width="24.42578125" style="1" customWidth="1"/>
    <col min="13061" max="13063" width="9.140625" style="1"/>
    <col min="13064" max="13064" width="11.28515625" style="1" bestFit="1" customWidth="1"/>
    <col min="13065" max="13312" width="9.140625" style="1"/>
    <col min="13313" max="13313" width="21.85546875" style="1" bestFit="1" customWidth="1"/>
    <col min="13314" max="13314" width="26.140625" style="1" customWidth="1"/>
    <col min="13315" max="13315" width="18.5703125" style="1" customWidth="1"/>
    <col min="13316" max="13316" width="24.42578125" style="1" customWidth="1"/>
    <col min="13317" max="13319" width="9.140625" style="1"/>
    <col min="13320" max="13320" width="11.28515625" style="1" bestFit="1" customWidth="1"/>
    <col min="13321" max="13568" width="9.140625" style="1"/>
    <col min="13569" max="13569" width="21.85546875" style="1" bestFit="1" customWidth="1"/>
    <col min="13570" max="13570" width="26.140625" style="1" customWidth="1"/>
    <col min="13571" max="13571" width="18.5703125" style="1" customWidth="1"/>
    <col min="13572" max="13572" width="24.42578125" style="1" customWidth="1"/>
    <col min="13573" max="13575" width="9.140625" style="1"/>
    <col min="13576" max="13576" width="11.28515625" style="1" bestFit="1" customWidth="1"/>
    <col min="13577" max="13824" width="9.140625" style="1"/>
    <col min="13825" max="13825" width="21.85546875" style="1" bestFit="1" customWidth="1"/>
    <col min="13826" max="13826" width="26.140625" style="1" customWidth="1"/>
    <col min="13827" max="13827" width="18.5703125" style="1" customWidth="1"/>
    <col min="13828" max="13828" width="24.42578125" style="1" customWidth="1"/>
    <col min="13829" max="13831" width="9.140625" style="1"/>
    <col min="13832" max="13832" width="11.28515625" style="1" bestFit="1" customWidth="1"/>
    <col min="13833" max="14080" width="9.140625" style="1"/>
    <col min="14081" max="14081" width="21.85546875" style="1" bestFit="1" customWidth="1"/>
    <col min="14082" max="14082" width="26.140625" style="1" customWidth="1"/>
    <col min="14083" max="14083" width="18.5703125" style="1" customWidth="1"/>
    <col min="14084" max="14084" width="24.42578125" style="1" customWidth="1"/>
    <col min="14085" max="14087" width="9.140625" style="1"/>
    <col min="14088" max="14088" width="11.28515625" style="1" bestFit="1" customWidth="1"/>
    <col min="14089" max="14336" width="9.140625" style="1"/>
    <col min="14337" max="14337" width="21.85546875" style="1" bestFit="1" customWidth="1"/>
    <col min="14338" max="14338" width="26.140625" style="1" customWidth="1"/>
    <col min="14339" max="14339" width="18.5703125" style="1" customWidth="1"/>
    <col min="14340" max="14340" width="24.42578125" style="1" customWidth="1"/>
    <col min="14341" max="14343" width="9.140625" style="1"/>
    <col min="14344" max="14344" width="11.28515625" style="1" bestFit="1" customWidth="1"/>
    <col min="14345" max="14592" width="9.140625" style="1"/>
    <col min="14593" max="14593" width="21.85546875" style="1" bestFit="1" customWidth="1"/>
    <col min="14594" max="14594" width="26.140625" style="1" customWidth="1"/>
    <col min="14595" max="14595" width="18.5703125" style="1" customWidth="1"/>
    <col min="14596" max="14596" width="24.42578125" style="1" customWidth="1"/>
    <col min="14597" max="14599" width="9.140625" style="1"/>
    <col min="14600" max="14600" width="11.28515625" style="1" bestFit="1" customWidth="1"/>
    <col min="14601" max="14848" width="9.140625" style="1"/>
    <col min="14849" max="14849" width="21.85546875" style="1" bestFit="1" customWidth="1"/>
    <col min="14850" max="14850" width="26.140625" style="1" customWidth="1"/>
    <col min="14851" max="14851" width="18.5703125" style="1" customWidth="1"/>
    <col min="14852" max="14852" width="24.42578125" style="1" customWidth="1"/>
    <col min="14853" max="14855" width="9.140625" style="1"/>
    <col min="14856" max="14856" width="11.28515625" style="1" bestFit="1" customWidth="1"/>
    <col min="14857" max="15104" width="9.140625" style="1"/>
    <col min="15105" max="15105" width="21.85546875" style="1" bestFit="1" customWidth="1"/>
    <col min="15106" max="15106" width="26.140625" style="1" customWidth="1"/>
    <col min="15107" max="15107" width="18.5703125" style="1" customWidth="1"/>
    <col min="15108" max="15108" width="24.42578125" style="1" customWidth="1"/>
    <col min="15109" max="15111" width="9.140625" style="1"/>
    <col min="15112" max="15112" width="11.28515625" style="1" bestFit="1" customWidth="1"/>
    <col min="15113" max="15360" width="9.140625" style="1"/>
    <col min="15361" max="15361" width="21.85546875" style="1" bestFit="1" customWidth="1"/>
    <col min="15362" max="15362" width="26.140625" style="1" customWidth="1"/>
    <col min="15363" max="15363" width="18.5703125" style="1" customWidth="1"/>
    <col min="15364" max="15364" width="24.42578125" style="1" customWidth="1"/>
    <col min="15365" max="15367" width="9.140625" style="1"/>
    <col min="15368" max="15368" width="11.28515625" style="1" bestFit="1" customWidth="1"/>
    <col min="15369" max="15616" width="9.140625" style="1"/>
    <col min="15617" max="15617" width="21.85546875" style="1" bestFit="1" customWidth="1"/>
    <col min="15618" max="15618" width="26.140625" style="1" customWidth="1"/>
    <col min="15619" max="15619" width="18.5703125" style="1" customWidth="1"/>
    <col min="15620" max="15620" width="24.42578125" style="1" customWidth="1"/>
    <col min="15621" max="15623" width="9.140625" style="1"/>
    <col min="15624" max="15624" width="11.28515625" style="1" bestFit="1" customWidth="1"/>
    <col min="15625" max="15872" width="9.140625" style="1"/>
    <col min="15873" max="15873" width="21.85546875" style="1" bestFit="1" customWidth="1"/>
    <col min="15874" max="15874" width="26.140625" style="1" customWidth="1"/>
    <col min="15875" max="15875" width="18.5703125" style="1" customWidth="1"/>
    <col min="15876" max="15876" width="24.42578125" style="1" customWidth="1"/>
    <col min="15877" max="15879" width="9.140625" style="1"/>
    <col min="15880" max="15880" width="11.28515625" style="1" bestFit="1" customWidth="1"/>
    <col min="15881" max="16128" width="9.140625" style="1"/>
    <col min="16129" max="16129" width="21.85546875" style="1" bestFit="1" customWidth="1"/>
    <col min="16130" max="16130" width="26.140625" style="1" customWidth="1"/>
    <col min="16131" max="16131" width="18.5703125" style="1" customWidth="1"/>
    <col min="16132" max="16132" width="24.42578125" style="1" customWidth="1"/>
    <col min="16133" max="16135" width="9.140625" style="1"/>
    <col min="16136" max="16136" width="11.28515625" style="1" bestFit="1" customWidth="1"/>
    <col min="16137" max="16384" width="9.140625" style="1"/>
  </cols>
  <sheetData>
    <row r="1" spans="1:13" x14ac:dyDescent="0.25">
      <c r="A1" s="45" t="s">
        <v>0</v>
      </c>
      <c r="B1" s="46">
        <v>9</v>
      </c>
      <c r="F1" s="14"/>
      <c r="G1" s="14"/>
      <c r="H1" s="14"/>
      <c r="I1" s="14"/>
      <c r="J1" s="14"/>
      <c r="K1" s="14"/>
      <c r="L1" s="14"/>
      <c r="M1" s="14"/>
    </row>
    <row r="2" spans="1:13" ht="15" customHeight="1" x14ac:dyDescent="0.25">
      <c r="A2" s="206" t="s">
        <v>1</v>
      </c>
      <c r="B2" s="207"/>
      <c r="C2" s="207"/>
      <c r="D2" s="207"/>
      <c r="F2" s="14"/>
      <c r="G2" s="14"/>
      <c r="H2" s="14"/>
      <c r="I2" s="14"/>
      <c r="J2" s="14"/>
      <c r="K2" s="14"/>
      <c r="L2" s="14"/>
      <c r="M2" s="14"/>
    </row>
    <row r="3" spans="1:13" ht="15" customHeight="1" x14ac:dyDescent="0.25">
      <c r="A3" s="206"/>
      <c r="B3" s="207"/>
      <c r="C3" s="207"/>
      <c r="D3" s="207"/>
      <c r="F3" s="6"/>
      <c r="G3" s="6"/>
      <c r="H3" s="6"/>
      <c r="I3" s="6"/>
      <c r="J3" s="6"/>
      <c r="K3" s="6"/>
      <c r="L3" s="6"/>
      <c r="M3" s="14"/>
    </row>
    <row r="4" spans="1:13" ht="15" x14ac:dyDescent="0.25">
      <c r="A4" s="208" t="s">
        <v>2</v>
      </c>
      <c r="B4" s="209"/>
      <c r="C4" s="2" t="s">
        <v>3</v>
      </c>
      <c r="D4" s="2" t="s">
        <v>4</v>
      </c>
      <c r="F4" s="15"/>
      <c r="G4" s="15"/>
      <c r="H4" s="15"/>
      <c r="I4" s="15"/>
      <c r="J4" s="15"/>
      <c r="K4" s="15"/>
      <c r="L4" s="15"/>
      <c r="M4" s="14"/>
    </row>
    <row r="5" spans="1:13" ht="38.25" x14ac:dyDescent="0.25">
      <c r="A5" s="3" t="s">
        <v>5</v>
      </c>
      <c r="B5" s="3" t="s">
        <v>6</v>
      </c>
      <c r="C5" s="4">
        <f>7*$B$1</f>
        <v>63</v>
      </c>
      <c r="D5" s="5" t="s">
        <v>7</v>
      </c>
      <c r="F5" s="6"/>
      <c r="G5" s="6"/>
      <c r="H5" s="6"/>
      <c r="I5" s="6"/>
      <c r="J5" s="6"/>
      <c r="K5" s="6"/>
      <c r="L5" s="6"/>
      <c r="M5" s="14"/>
    </row>
    <row r="6" spans="1:13" ht="38.25" x14ac:dyDescent="0.25">
      <c r="A6" s="3" t="s">
        <v>8</v>
      </c>
      <c r="B6" s="3" t="s">
        <v>8</v>
      </c>
      <c r="C6" s="4">
        <f>6*$B$1</f>
        <v>54</v>
      </c>
      <c r="D6" s="5" t="s">
        <v>9</v>
      </c>
      <c r="F6" s="6"/>
      <c r="G6" s="16"/>
      <c r="H6" s="6"/>
      <c r="I6" s="16"/>
      <c r="J6" s="16"/>
      <c r="K6" s="16"/>
      <c r="L6" s="16"/>
    </row>
    <row r="7" spans="1:13" ht="42.75" customHeight="1" x14ac:dyDescent="0.25">
      <c r="A7" s="3" t="s">
        <v>10</v>
      </c>
      <c r="B7" s="3" t="s">
        <v>11</v>
      </c>
      <c r="C7" s="4">
        <f>5*$B$1</f>
        <v>45</v>
      </c>
      <c r="D7" s="5" t="s">
        <v>12</v>
      </c>
      <c r="F7" s="6"/>
      <c r="G7" s="16"/>
      <c r="H7" s="6"/>
      <c r="I7" s="16"/>
      <c r="J7" s="16"/>
      <c r="K7" s="16"/>
      <c r="L7" s="16"/>
    </row>
    <row r="8" spans="1:13" ht="42.75" customHeight="1" x14ac:dyDescent="0.25">
      <c r="A8" s="3" t="s">
        <v>13</v>
      </c>
      <c r="B8" s="3" t="s">
        <v>13</v>
      </c>
      <c r="C8" s="4">
        <f>4*$B$1</f>
        <v>36</v>
      </c>
      <c r="D8" s="5" t="s">
        <v>14</v>
      </c>
      <c r="F8" s="6"/>
      <c r="G8" s="16"/>
      <c r="H8" s="6"/>
      <c r="I8" s="16"/>
      <c r="J8" s="16"/>
      <c r="K8" s="16"/>
      <c r="L8" s="16"/>
    </row>
    <row r="9" spans="1:13" ht="37.5" customHeight="1" x14ac:dyDescent="0.25">
      <c r="A9" s="3" t="s">
        <v>15</v>
      </c>
      <c r="B9" s="3" t="s">
        <v>16</v>
      </c>
      <c r="C9" s="4">
        <f>3*$B$1</f>
        <v>27</v>
      </c>
      <c r="D9" s="5" t="s">
        <v>17</v>
      </c>
      <c r="F9" s="6"/>
      <c r="G9" s="16"/>
      <c r="H9" s="6"/>
      <c r="I9" s="16"/>
      <c r="J9" s="16"/>
      <c r="K9" s="16"/>
      <c r="L9" s="16"/>
    </row>
    <row r="10" spans="1:13" x14ac:dyDescent="0.25">
      <c r="F10" s="16"/>
      <c r="G10" s="16"/>
      <c r="H10" s="16"/>
      <c r="I10" s="16"/>
      <c r="J10" s="16"/>
      <c r="K10" s="16"/>
      <c r="L10" s="16"/>
    </row>
    <row r="11" spans="1:13" x14ac:dyDescent="0.25">
      <c r="F11" s="16"/>
      <c r="G11" s="16"/>
      <c r="H11" s="16"/>
      <c r="I11" s="16"/>
      <c r="J11" s="16"/>
      <c r="K11" s="16"/>
      <c r="L11" s="16"/>
    </row>
    <row r="12" spans="1:13" x14ac:dyDescent="0.25">
      <c r="B12" s="6"/>
      <c r="C12" s="6"/>
      <c r="F12" s="16"/>
      <c r="G12" s="16"/>
      <c r="H12" s="16"/>
      <c r="I12" s="16"/>
      <c r="J12" s="16"/>
      <c r="K12" s="16"/>
      <c r="L12" s="16"/>
    </row>
    <row r="13" spans="1:13" ht="15.75" x14ac:dyDescent="0.25">
      <c r="A13" s="210" t="s">
        <v>18</v>
      </c>
      <c r="B13" s="210"/>
      <c r="C13" s="6"/>
      <c r="F13" s="16"/>
      <c r="G13" s="16"/>
      <c r="H13" s="16"/>
      <c r="I13" s="16"/>
      <c r="J13" s="16"/>
      <c r="K13" s="16"/>
      <c r="L13" s="16"/>
    </row>
    <row r="14" spans="1:13" x14ac:dyDescent="0.25">
      <c r="A14" s="211" t="s">
        <v>19</v>
      </c>
      <c r="B14" s="212"/>
      <c r="C14" s="6"/>
      <c r="F14" s="16"/>
      <c r="G14" s="16"/>
      <c r="H14" s="16"/>
      <c r="I14" s="16"/>
      <c r="J14" s="16"/>
      <c r="K14" s="16"/>
      <c r="L14" s="16"/>
    </row>
    <row r="15" spans="1:13" x14ac:dyDescent="0.25">
      <c r="A15" s="7" t="s">
        <v>20</v>
      </c>
      <c r="B15" s="7" t="s">
        <v>21</v>
      </c>
      <c r="F15" s="16"/>
      <c r="G15" s="16"/>
      <c r="H15" s="16"/>
      <c r="I15" s="16"/>
      <c r="J15" s="16"/>
      <c r="K15" s="16"/>
      <c r="L15" s="16"/>
    </row>
    <row r="16" spans="1:13" ht="15" x14ac:dyDescent="0.25">
      <c r="A16" s="8" t="s">
        <v>22</v>
      </c>
      <c r="B16" s="9">
        <v>10</v>
      </c>
      <c r="F16" s="16"/>
      <c r="G16" s="16"/>
      <c r="H16" s="16"/>
      <c r="I16" s="16"/>
      <c r="J16" s="16"/>
      <c r="K16" s="16"/>
      <c r="L16" s="16"/>
    </row>
    <row r="17" spans="1:12" ht="15" x14ac:dyDescent="0.25">
      <c r="A17" s="8" t="s">
        <v>23</v>
      </c>
      <c r="B17" s="9">
        <v>15</v>
      </c>
      <c r="F17" s="16"/>
      <c r="G17" s="16"/>
      <c r="H17" s="16"/>
      <c r="I17" s="16"/>
      <c r="J17" s="16"/>
      <c r="K17" s="16"/>
      <c r="L17" s="16"/>
    </row>
    <row r="18" spans="1:12" ht="15" x14ac:dyDescent="0.25">
      <c r="A18" s="8" t="s">
        <v>24</v>
      </c>
      <c r="B18" s="9">
        <v>45</v>
      </c>
    </row>
    <row r="19" spans="1:12" ht="15" x14ac:dyDescent="0.25">
      <c r="A19" s="8" t="s">
        <v>25</v>
      </c>
      <c r="B19" s="9">
        <v>20</v>
      </c>
    </row>
    <row r="20" spans="1:12" ht="15" x14ac:dyDescent="0.25">
      <c r="A20" s="8" t="s">
        <v>26</v>
      </c>
      <c r="B20" s="9">
        <v>10</v>
      </c>
    </row>
    <row r="21" spans="1:12" x14ac:dyDescent="0.25">
      <c r="A21" s="10" t="s">
        <v>27</v>
      </c>
      <c r="B21" s="11">
        <f>SUM(B16:B20)</f>
        <v>100</v>
      </c>
      <c r="C21" s="6"/>
    </row>
    <row r="22" spans="1:12" x14ac:dyDescent="0.25">
      <c r="B22" s="6"/>
      <c r="C22" s="6"/>
    </row>
    <row r="23" spans="1:12" x14ac:dyDescent="0.25">
      <c r="B23" s="6"/>
      <c r="C23" s="6"/>
    </row>
    <row r="24" spans="1:12" x14ac:dyDescent="0.25">
      <c r="A24" s="213" t="s">
        <v>28</v>
      </c>
      <c r="B24" s="214"/>
    </row>
    <row r="25" spans="1:12" x14ac:dyDescent="0.25">
      <c r="A25" s="214"/>
      <c r="B25" s="214"/>
    </row>
    <row r="26" spans="1:12" x14ac:dyDescent="0.25">
      <c r="A26" s="214"/>
      <c r="B26" s="214"/>
    </row>
    <row r="27" spans="1:12" x14ac:dyDescent="0.25">
      <c r="A27" s="214"/>
      <c r="B27" s="214"/>
    </row>
    <row r="28" spans="1:12" x14ac:dyDescent="0.25">
      <c r="A28" s="214"/>
      <c r="B28" s="214"/>
    </row>
    <row r="29" spans="1:12" x14ac:dyDescent="0.25">
      <c r="A29" s="214"/>
      <c r="B29" s="214"/>
    </row>
    <row r="30" spans="1:12" x14ac:dyDescent="0.25">
      <c r="A30" s="214"/>
      <c r="B30" s="214"/>
    </row>
  </sheetData>
  <mergeCells count="5">
    <mergeCell ref="A2:D3"/>
    <mergeCell ref="A4:B4"/>
    <mergeCell ref="A13:B13"/>
    <mergeCell ref="A14:B14"/>
    <mergeCell ref="A24:B30"/>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
  <sheetViews>
    <sheetView workbookViewId="0">
      <selection sqref="A1:J7"/>
    </sheetView>
  </sheetViews>
  <sheetFormatPr defaultRowHeight="15" x14ac:dyDescent="0.25"/>
  <cols>
    <col min="1" max="1" width="8.42578125" bestFit="1" customWidth="1"/>
    <col min="2" max="2" width="21.5703125" customWidth="1"/>
    <col min="3" max="3" width="39.5703125" customWidth="1"/>
  </cols>
  <sheetData>
    <row r="1" spans="1:15" ht="76.5" x14ac:dyDescent="0.25">
      <c r="A1" s="2" t="s">
        <v>3</v>
      </c>
      <c r="B1" s="2" t="s">
        <v>2</v>
      </c>
      <c r="C1" s="2" t="s">
        <v>4</v>
      </c>
      <c r="D1" s="2" t="s">
        <v>29</v>
      </c>
      <c r="E1" s="2" t="s">
        <v>30</v>
      </c>
      <c r="F1" s="2" t="s">
        <v>31</v>
      </c>
      <c r="G1" s="2" t="s">
        <v>32</v>
      </c>
      <c r="H1" s="2" t="s">
        <v>33</v>
      </c>
      <c r="I1" s="2" t="s">
        <v>34</v>
      </c>
      <c r="J1" s="2" t="s">
        <v>35</v>
      </c>
    </row>
    <row r="2" spans="1:15" ht="27" customHeight="1" x14ac:dyDescent="0.25">
      <c r="A2" s="4">
        <v>63</v>
      </c>
      <c r="B2" s="4" t="s">
        <v>6</v>
      </c>
      <c r="C2" s="5" t="s">
        <v>36</v>
      </c>
      <c r="D2" s="36">
        <v>14</v>
      </c>
      <c r="E2" s="36">
        <f>14*D2</f>
        <v>196</v>
      </c>
      <c r="F2" s="36">
        <f>21*D2</f>
        <v>294</v>
      </c>
      <c r="G2" s="36">
        <f>63*D2</f>
        <v>882</v>
      </c>
      <c r="H2" s="36">
        <f>28*D2</f>
        <v>392</v>
      </c>
      <c r="I2" s="36">
        <f>14*D2</f>
        <v>196</v>
      </c>
      <c r="J2" s="57">
        <f t="shared" ref="J2:J5" si="0">SUM(E2:I2)</f>
        <v>1960</v>
      </c>
    </row>
    <row r="3" spans="1:15" ht="38.25" x14ac:dyDescent="0.25">
      <c r="A3" s="4">
        <v>54</v>
      </c>
      <c r="B3" s="4" t="s">
        <v>8</v>
      </c>
      <c r="C3" s="5" t="s">
        <v>37</v>
      </c>
      <c r="D3" s="36">
        <v>2</v>
      </c>
      <c r="E3" s="36">
        <f>12*D3</f>
        <v>24</v>
      </c>
      <c r="F3" s="36">
        <f>18*D3</f>
        <v>36</v>
      </c>
      <c r="G3" s="36">
        <f>54*D3</f>
        <v>108</v>
      </c>
      <c r="H3" s="36">
        <f>24*D3</f>
        <v>48</v>
      </c>
      <c r="I3" s="36">
        <f>12*D3</f>
        <v>24</v>
      </c>
      <c r="J3" s="57">
        <f t="shared" si="0"/>
        <v>240</v>
      </c>
    </row>
    <row r="4" spans="1:15" ht="38.25" x14ac:dyDescent="0.25">
      <c r="A4" s="4">
        <v>45</v>
      </c>
      <c r="B4" s="4" t="s">
        <v>11</v>
      </c>
      <c r="C4" s="5" t="s">
        <v>38</v>
      </c>
      <c r="D4" s="36">
        <v>4</v>
      </c>
      <c r="E4" s="36">
        <f>10*D4</f>
        <v>40</v>
      </c>
      <c r="F4" s="36">
        <f>15*D4</f>
        <v>60</v>
      </c>
      <c r="G4" s="36">
        <f>45*D4</f>
        <v>180</v>
      </c>
      <c r="H4" s="36">
        <f>20*D4</f>
        <v>80</v>
      </c>
      <c r="I4" s="36">
        <f>10*D4</f>
        <v>40</v>
      </c>
      <c r="J4" s="57">
        <f t="shared" si="0"/>
        <v>400</v>
      </c>
    </row>
    <row r="5" spans="1:15" ht="25.5" x14ac:dyDescent="0.25">
      <c r="A5" s="4">
        <v>36</v>
      </c>
      <c r="B5" s="4" t="s">
        <v>13</v>
      </c>
      <c r="C5" s="5" t="s">
        <v>39</v>
      </c>
      <c r="D5" s="36">
        <v>19</v>
      </c>
      <c r="E5" s="36">
        <f>8*D5</f>
        <v>152</v>
      </c>
      <c r="F5" s="36">
        <f>12*D5</f>
        <v>228</v>
      </c>
      <c r="G5" s="36">
        <f>36*D5</f>
        <v>684</v>
      </c>
      <c r="H5" s="36">
        <f>16*D5</f>
        <v>304</v>
      </c>
      <c r="I5" s="36">
        <f>8*D5</f>
        <v>152</v>
      </c>
      <c r="J5" s="57">
        <f t="shared" si="0"/>
        <v>1520</v>
      </c>
      <c r="O5" s="63"/>
    </row>
    <row r="6" spans="1:15" ht="25.5" x14ac:dyDescent="0.25">
      <c r="A6" s="4">
        <v>27</v>
      </c>
      <c r="B6" s="4" t="s">
        <v>16</v>
      </c>
      <c r="C6" s="5" t="s">
        <v>40</v>
      </c>
      <c r="D6" s="36">
        <v>20</v>
      </c>
      <c r="E6" s="36">
        <v>144</v>
      </c>
      <c r="F6" s="36">
        <v>216</v>
      </c>
      <c r="G6" s="36">
        <v>648</v>
      </c>
      <c r="H6" s="36">
        <v>288</v>
      </c>
      <c r="I6" s="36">
        <v>144</v>
      </c>
      <c r="J6" s="57">
        <f>SUM(E6:I6)</f>
        <v>1440</v>
      </c>
      <c r="O6" s="63"/>
    </row>
    <row r="7" spans="1:15" x14ac:dyDescent="0.25">
      <c r="A7" s="215" t="s">
        <v>41</v>
      </c>
      <c r="B7" s="216"/>
      <c r="C7" s="217"/>
      <c r="D7" s="36">
        <f>SUM(D2:D6)</f>
        <v>59</v>
      </c>
      <c r="E7" s="57">
        <f>SUM(E2:E6)</f>
        <v>556</v>
      </c>
      <c r="F7" s="57">
        <f>SUM(F2:F6)</f>
        <v>834</v>
      </c>
      <c r="G7" s="57">
        <f t="shared" ref="G7:I7" si="1">SUM(G2:G6)</f>
        <v>2502</v>
      </c>
      <c r="H7" s="57">
        <f t="shared" si="1"/>
        <v>1112</v>
      </c>
      <c r="I7" s="57">
        <f t="shared" si="1"/>
        <v>556</v>
      </c>
      <c r="J7" s="57">
        <v>6280</v>
      </c>
      <c r="O7" s="63"/>
    </row>
  </sheetData>
  <mergeCells count="1">
    <mergeCell ref="A7:C7"/>
  </mergeCells>
  <pageMargins left="0.7" right="0.7" top="0.75" bottom="0.75" header="0.3" footer="0.3"/>
  <ignoredErrors>
    <ignoredError sqref="J6"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61"/>
  <sheetViews>
    <sheetView workbookViewId="0">
      <pane ySplit="1" topLeftCell="A2" activePane="bottomLeft" state="frozen"/>
      <selection activeCell="C1" sqref="C1"/>
      <selection pane="bottomLeft" sqref="A1:I2"/>
    </sheetView>
  </sheetViews>
  <sheetFormatPr defaultColWidth="28.85546875" defaultRowHeight="15" x14ac:dyDescent="0.25"/>
  <cols>
    <col min="1" max="1" width="11.28515625" style="34" bestFit="1" customWidth="1"/>
    <col min="2" max="2" width="35.28515625" bestFit="1" customWidth="1"/>
    <col min="3" max="3" width="14" style="34" bestFit="1" customWidth="1"/>
    <col min="4" max="4" width="14.5703125" style="34" customWidth="1"/>
    <col min="5" max="5" width="22.5703125" style="34" customWidth="1"/>
    <col min="6" max="6" width="11.42578125" style="34" customWidth="1"/>
    <col min="7" max="8" width="13" style="34" bestFit="1" customWidth="1"/>
    <col min="9" max="9" width="16.85546875" style="34" bestFit="1" customWidth="1"/>
    <col min="10" max="10" width="17.7109375" style="34" bestFit="1" customWidth="1"/>
    <col min="11" max="11" width="11.42578125" style="34" bestFit="1" customWidth="1"/>
    <col min="12" max="12" width="16.85546875" style="34" bestFit="1" customWidth="1"/>
    <col min="13" max="13" width="16.140625" style="34" bestFit="1" customWidth="1"/>
    <col min="14" max="14" width="19.5703125" style="34" bestFit="1" customWidth="1"/>
    <col min="15" max="15" width="14.28515625" style="34" bestFit="1" customWidth="1"/>
  </cols>
  <sheetData>
    <row r="1" spans="1:15" s="35" customFormat="1" ht="51" x14ac:dyDescent="0.25">
      <c r="A1" s="53" t="s">
        <v>42</v>
      </c>
      <c r="B1" s="61" t="s">
        <v>43</v>
      </c>
      <c r="C1" s="54" t="s">
        <v>44</v>
      </c>
      <c r="D1" s="47" t="s">
        <v>45</v>
      </c>
      <c r="E1" s="47" t="s">
        <v>46</v>
      </c>
      <c r="F1" s="47" t="s">
        <v>47</v>
      </c>
      <c r="G1" s="47" t="s">
        <v>48</v>
      </c>
      <c r="H1" s="47" t="s">
        <v>49</v>
      </c>
      <c r="I1" s="47" t="s">
        <v>2</v>
      </c>
      <c r="J1" s="47" t="s">
        <v>50</v>
      </c>
      <c r="K1" s="47" t="s">
        <v>51</v>
      </c>
      <c r="L1" s="47" t="s">
        <v>52</v>
      </c>
      <c r="M1" s="47" t="s">
        <v>53</v>
      </c>
      <c r="N1" s="47" t="s">
        <v>54</v>
      </c>
      <c r="O1" s="47" t="s">
        <v>55</v>
      </c>
    </row>
    <row r="2" spans="1:15" s="12" customFormat="1" ht="30" x14ac:dyDescent="0.25">
      <c r="A2" s="62">
        <v>1</v>
      </c>
      <c r="B2" s="59" t="s">
        <v>56</v>
      </c>
      <c r="C2" s="59" t="s">
        <v>57</v>
      </c>
      <c r="D2" s="59" t="s">
        <v>58</v>
      </c>
      <c r="E2" s="59" t="s">
        <v>59</v>
      </c>
      <c r="F2" s="59" t="s">
        <v>60</v>
      </c>
      <c r="G2" s="62"/>
      <c r="H2" s="62"/>
      <c r="I2" s="62" t="str">
        <f>VLOOKUP(L2,'Complexity Breaddown'!A:C,2,FALSE)</f>
        <v>Simple</v>
      </c>
      <c r="J2" s="62">
        <f>($L2/0.45)*('Baseline v2'!$B$16/100)</f>
        <v>6</v>
      </c>
      <c r="K2" s="62">
        <f>($L2/0.45)*('Baseline v2'!$B$17/100)</f>
        <v>9</v>
      </c>
      <c r="L2" s="62">
        <v>27</v>
      </c>
      <c r="M2" s="62">
        <f>($L2/0.45)*('Baseline v2'!$B$19/100)</f>
        <v>12</v>
      </c>
      <c r="N2" s="62">
        <f>($L2/0.45)*('Baseline v2'!$B$20/100)</f>
        <v>6</v>
      </c>
      <c r="O2" s="62">
        <f>SUM(J2:N2)</f>
        <v>60</v>
      </c>
    </row>
    <row r="3" spans="1:15" s="12" customFormat="1" ht="30" x14ac:dyDescent="0.25">
      <c r="A3" s="62">
        <v>2</v>
      </c>
      <c r="B3" s="59" t="s">
        <v>61</v>
      </c>
      <c r="C3" s="59" t="s">
        <v>57</v>
      </c>
      <c r="D3" s="59" t="s">
        <v>58</v>
      </c>
      <c r="E3" s="59" t="s">
        <v>62</v>
      </c>
      <c r="F3" s="59" t="s">
        <v>60</v>
      </c>
      <c r="G3" s="62"/>
      <c r="H3" s="62"/>
      <c r="I3" s="62" t="str">
        <f>VLOOKUP(L3,'Complexity Breaddown'!A:C,2,FALSE)</f>
        <v>Simple</v>
      </c>
      <c r="J3" s="62">
        <f>($L3/0.45)*('Baseline v2'!$B$16/100)</f>
        <v>6</v>
      </c>
      <c r="K3" s="62">
        <f>($L3/0.45)*('Baseline v2'!$B$17/100)</f>
        <v>9</v>
      </c>
      <c r="L3" s="62">
        <v>27</v>
      </c>
      <c r="M3" s="62">
        <f>($L3/0.45)*('Baseline v2'!$B$19/100)</f>
        <v>12</v>
      </c>
      <c r="N3" s="62">
        <f>($L3/0.45)*('Baseline v2'!$B$20/100)</f>
        <v>6</v>
      </c>
      <c r="O3" s="62">
        <f t="shared" ref="O3:O40" si="0">SUM(J3:N3)</f>
        <v>60</v>
      </c>
    </row>
    <row r="4" spans="1:15" x14ac:dyDescent="0.25">
      <c r="A4" s="62">
        <v>3</v>
      </c>
      <c r="B4" s="59" t="s">
        <v>63</v>
      </c>
      <c r="C4" s="59" t="s">
        <v>64</v>
      </c>
      <c r="D4" s="59" t="s">
        <v>57</v>
      </c>
      <c r="E4" s="59" t="s">
        <v>65</v>
      </c>
      <c r="F4" s="59" t="s">
        <v>60</v>
      </c>
      <c r="G4" s="62"/>
      <c r="H4" s="62"/>
      <c r="I4" s="62" t="str">
        <f>VLOOKUP(L4,'Complexity Breaddown'!A:C,2,FALSE)</f>
        <v>Simple</v>
      </c>
      <c r="J4" s="62">
        <f>($L4/0.45)*('Baseline v2'!$B$16/100)</f>
        <v>6</v>
      </c>
      <c r="K4" s="62">
        <f>($L4/0.45)*('Baseline v2'!$B$17/100)</f>
        <v>9</v>
      </c>
      <c r="L4" s="62">
        <v>27</v>
      </c>
      <c r="M4" s="62">
        <f>($L4/0.45)*('Baseline v2'!$B$19/100)</f>
        <v>12</v>
      </c>
      <c r="N4" s="62">
        <f>($L4/0.45)*('Baseline v2'!$B$20/100)</f>
        <v>6</v>
      </c>
      <c r="O4" s="62">
        <f t="shared" si="0"/>
        <v>60</v>
      </c>
    </row>
    <row r="5" spans="1:15" ht="30" x14ac:dyDescent="0.25">
      <c r="A5" s="62">
        <v>4</v>
      </c>
      <c r="B5" s="59" t="s">
        <v>66</v>
      </c>
      <c r="C5" s="59" t="s">
        <v>57</v>
      </c>
      <c r="D5" s="59" t="s">
        <v>64</v>
      </c>
      <c r="E5" s="59" t="s">
        <v>59</v>
      </c>
      <c r="F5" s="59" t="s">
        <v>67</v>
      </c>
      <c r="G5" s="62"/>
      <c r="H5" s="62"/>
      <c r="I5" s="62" t="str">
        <f>VLOOKUP(L5,'Complexity Breaddown'!A:C,2,FALSE)</f>
        <v>Simple</v>
      </c>
      <c r="J5" s="62">
        <f>($L5/0.45)*('Baseline v2'!$B$16/100)</f>
        <v>6</v>
      </c>
      <c r="K5" s="62">
        <f>($L5/0.45)*('Baseline v2'!$B$17/100)</f>
        <v>9</v>
      </c>
      <c r="L5" s="62">
        <v>27</v>
      </c>
      <c r="M5" s="62">
        <f>($L5/0.45)*('Baseline v2'!$B$19/100)</f>
        <v>12</v>
      </c>
      <c r="N5" s="62">
        <f>($L5/0.45)*('Baseline v2'!$B$20/100)</f>
        <v>6</v>
      </c>
      <c r="O5" s="62">
        <f t="shared" si="0"/>
        <v>60</v>
      </c>
    </row>
    <row r="6" spans="1:15" ht="30" x14ac:dyDescent="0.25">
      <c r="A6" s="62">
        <v>5</v>
      </c>
      <c r="B6" s="59" t="s">
        <v>68</v>
      </c>
      <c r="C6" s="59" t="s">
        <v>57</v>
      </c>
      <c r="D6" s="59" t="s">
        <v>64</v>
      </c>
      <c r="E6" s="59" t="s">
        <v>59</v>
      </c>
      <c r="F6" s="59" t="s">
        <v>67</v>
      </c>
      <c r="G6" s="62"/>
      <c r="H6" s="62"/>
      <c r="I6" s="62" t="str">
        <f>VLOOKUP(L6,'Complexity Breaddown'!A:C,2,FALSE)</f>
        <v>Simple</v>
      </c>
      <c r="J6" s="62">
        <f>($L6/0.45)*('Baseline v2'!$B$16/100)</f>
        <v>6</v>
      </c>
      <c r="K6" s="62">
        <f>($L6/0.45)*('Baseline v2'!$B$17/100)</f>
        <v>9</v>
      </c>
      <c r="L6" s="62">
        <v>27</v>
      </c>
      <c r="M6" s="62">
        <f>($L6/0.45)*('Baseline v2'!$B$19/100)</f>
        <v>12</v>
      </c>
      <c r="N6" s="62">
        <f>($L6/0.45)*('Baseline v2'!$B$20/100)</f>
        <v>6</v>
      </c>
      <c r="O6" s="62">
        <f t="shared" si="0"/>
        <v>60</v>
      </c>
    </row>
    <row r="7" spans="1:15" x14ac:dyDescent="0.25">
      <c r="A7" s="62">
        <v>6</v>
      </c>
      <c r="B7" s="59" t="s">
        <v>69</v>
      </c>
      <c r="C7" s="59" t="s">
        <v>58</v>
      </c>
      <c r="D7" s="59" t="s">
        <v>70</v>
      </c>
      <c r="E7" s="59" t="s">
        <v>71</v>
      </c>
      <c r="F7" s="59" t="s">
        <v>60</v>
      </c>
      <c r="G7" s="62"/>
      <c r="H7" s="62"/>
      <c r="I7" s="62" t="str">
        <f>VLOOKUP(L7,'Complexity Breaddown'!A:C,2,FALSE)</f>
        <v>Complex</v>
      </c>
      <c r="J7" s="62">
        <f>($L7/0.45)*('Baseline v2'!$B$16/100)</f>
        <v>14</v>
      </c>
      <c r="K7" s="62">
        <f>($L7/0.45)*('Baseline v2'!$B$17/100)</f>
        <v>21</v>
      </c>
      <c r="L7" s="62">
        <v>63</v>
      </c>
      <c r="M7" s="62">
        <f>($L7/0.45)*('Baseline v2'!$B$19/100)</f>
        <v>28</v>
      </c>
      <c r="N7" s="62">
        <f>($L7/0.45)*('Baseline v2'!$B$20/100)</f>
        <v>14</v>
      </c>
      <c r="O7" s="62">
        <f t="shared" si="0"/>
        <v>140</v>
      </c>
    </row>
    <row r="8" spans="1:15" s="66" customFormat="1" x14ac:dyDescent="0.25">
      <c r="A8" s="62">
        <v>7</v>
      </c>
      <c r="B8" s="143" t="s">
        <v>72</v>
      </c>
      <c r="C8" s="143" t="s">
        <v>73</v>
      </c>
      <c r="D8" s="143" t="s">
        <v>73</v>
      </c>
      <c r="E8" s="143" t="s">
        <v>59</v>
      </c>
      <c r="F8" s="143" t="s">
        <v>60</v>
      </c>
      <c r="G8" s="142"/>
      <c r="H8" s="142"/>
      <c r="I8" s="62" t="str">
        <f>VLOOKUP(L8,'Complexity Breaddown'!A:C,2,FALSE)</f>
        <v>Simple</v>
      </c>
      <c r="J8" s="142">
        <f>($L8/0.45)*('Baseline v2'!$B$16/100)</f>
        <v>6</v>
      </c>
      <c r="K8" s="142">
        <f>($L8/0.45)*('Baseline v2'!$B$17/100)</f>
        <v>9</v>
      </c>
      <c r="L8" s="142">
        <v>27</v>
      </c>
      <c r="M8" s="142">
        <f>($L8/0.45)*('Baseline v2'!$B$19/100)</f>
        <v>12</v>
      </c>
      <c r="N8" s="142">
        <f>($L8/0.45)*('Baseline v2'!$B$20/100)</f>
        <v>6</v>
      </c>
      <c r="O8" s="142">
        <f t="shared" si="0"/>
        <v>60</v>
      </c>
    </row>
    <row r="9" spans="1:15" ht="30" x14ac:dyDescent="0.25">
      <c r="A9" s="62">
        <v>8</v>
      </c>
      <c r="B9" s="59" t="s">
        <v>74</v>
      </c>
      <c r="C9" s="59" t="s">
        <v>57</v>
      </c>
      <c r="D9" s="59" t="s">
        <v>70</v>
      </c>
      <c r="E9" s="59" t="s">
        <v>65</v>
      </c>
      <c r="F9" s="59" t="s">
        <v>67</v>
      </c>
      <c r="G9" s="62"/>
      <c r="H9" s="62"/>
      <c r="I9" s="62" t="str">
        <f>VLOOKUP(L9,'Complexity Breaddown'!A:C,2,FALSE)</f>
        <v>Simple Medium</v>
      </c>
      <c r="J9" s="62">
        <f>($L9/0.45)*('Baseline v2'!$B$16/100)</f>
        <v>8</v>
      </c>
      <c r="K9" s="62">
        <f>($L9/0.45)*('Baseline v2'!$B$17/100)</f>
        <v>12</v>
      </c>
      <c r="L9" s="62">
        <v>36</v>
      </c>
      <c r="M9" s="62">
        <f>($L9/0.45)*('Baseline v2'!$B$19/100)</f>
        <v>16</v>
      </c>
      <c r="N9" s="62">
        <f>($L9/0.45)*('Baseline v2'!$B$20/100)</f>
        <v>8</v>
      </c>
      <c r="O9" s="62">
        <f t="shared" si="0"/>
        <v>80</v>
      </c>
    </row>
    <row r="10" spans="1:15" ht="30" x14ac:dyDescent="0.25">
      <c r="A10" s="62">
        <v>9</v>
      </c>
      <c r="B10" s="59" t="s">
        <v>75</v>
      </c>
      <c r="C10" s="59" t="s">
        <v>57</v>
      </c>
      <c r="D10" s="59" t="s">
        <v>70</v>
      </c>
      <c r="E10" s="59" t="s">
        <v>65</v>
      </c>
      <c r="F10" s="59" t="s">
        <v>67</v>
      </c>
      <c r="G10" s="62"/>
      <c r="H10" s="62"/>
      <c r="I10" s="62" t="str">
        <f>VLOOKUP(L10,'Complexity Breaddown'!A:C,2,FALSE)</f>
        <v>Simple Medium</v>
      </c>
      <c r="J10" s="62">
        <f>($L10/0.45)*('Baseline v2'!$B$16/100)</f>
        <v>8</v>
      </c>
      <c r="K10" s="62">
        <f>($L10/0.45)*('Baseline v2'!$B$17/100)</f>
        <v>12</v>
      </c>
      <c r="L10" s="62">
        <v>36</v>
      </c>
      <c r="M10" s="62">
        <f>($L10/0.45)*('Baseline v2'!$B$19/100)</f>
        <v>16</v>
      </c>
      <c r="N10" s="62">
        <f>($L10/0.45)*('Baseline v2'!$B$20/100)</f>
        <v>8</v>
      </c>
      <c r="O10" s="62">
        <f t="shared" si="0"/>
        <v>80</v>
      </c>
    </row>
    <row r="11" spans="1:15" ht="30" x14ac:dyDescent="0.25">
      <c r="A11" s="62">
        <v>10</v>
      </c>
      <c r="B11" s="59" t="s">
        <v>76</v>
      </c>
      <c r="C11" s="59" t="s">
        <v>57</v>
      </c>
      <c r="D11" s="59" t="s">
        <v>70</v>
      </c>
      <c r="E11" s="59" t="s">
        <v>65</v>
      </c>
      <c r="F11" s="59" t="s">
        <v>67</v>
      </c>
      <c r="G11" s="62"/>
      <c r="H11" s="62"/>
      <c r="I11" s="62" t="str">
        <f>VLOOKUP(L11,'Complexity Breaddown'!A:C,2,FALSE)</f>
        <v>Simple Medium</v>
      </c>
      <c r="J11" s="62">
        <f>($L11/0.45)*('Baseline v2'!$B$16/100)</f>
        <v>8</v>
      </c>
      <c r="K11" s="62">
        <f>($L11/0.45)*('Baseline v2'!$B$17/100)</f>
        <v>12</v>
      </c>
      <c r="L11" s="62">
        <v>36</v>
      </c>
      <c r="M11" s="62">
        <f>($L11/0.45)*('Baseline v2'!$B$19/100)</f>
        <v>16</v>
      </c>
      <c r="N11" s="62">
        <f>($L11/0.45)*('Baseline v2'!$B$20/100)</f>
        <v>8</v>
      </c>
      <c r="O11" s="62">
        <f t="shared" si="0"/>
        <v>80</v>
      </c>
    </row>
    <row r="12" spans="1:15" ht="30" x14ac:dyDescent="0.25">
      <c r="A12" s="62">
        <v>11</v>
      </c>
      <c r="B12" s="59" t="s">
        <v>77</v>
      </c>
      <c r="C12" s="59" t="s">
        <v>57</v>
      </c>
      <c r="D12" s="59" t="s">
        <v>70</v>
      </c>
      <c r="E12" s="59" t="s">
        <v>59</v>
      </c>
      <c r="F12" s="59" t="s">
        <v>67</v>
      </c>
      <c r="G12" s="62"/>
      <c r="H12" s="62"/>
      <c r="I12" s="62" t="str">
        <f>VLOOKUP(L12,'Complexity Breaddown'!A:C,2,FALSE)</f>
        <v>Simple Medium</v>
      </c>
      <c r="J12" s="62">
        <f>($L12/0.45)*('Baseline v2'!$B$16/100)</f>
        <v>8</v>
      </c>
      <c r="K12" s="62">
        <f>($L12/0.45)*('Baseline v2'!$B$17/100)</f>
        <v>12</v>
      </c>
      <c r="L12" s="62">
        <v>36</v>
      </c>
      <c r="M12" s="62">
        <f>($L12/0.45)*('Baseline v2'!$B$19/100)</f>
        <v>16</v>
      </c>
      <c r="N12" s="62">
        <f>($L12/0.45)*('Baseline v2'!$B$20/100)</f>
        <v>8</v>
      </c>
      <c r="O12" s="62">
        <f t="shared" si="0"/>
        <v>80</v>
      </c>
    </row>
    <row r="13" spans="1:15" s="66" customFormat="1" ht="30" x14ac:dyDescent="0.25">
      <c r="A13" s="62">
        <v>12</v>
      </c>
      <c r="B13" s="143" t="s">
        <v>78</v>
      </c>
      <c r="C13" s="143" t="s">
        <v>57</v>
      </c>
      <c r="D13" s="143" t="s">
        <v>70</v>
      </c>
      <c r="E13" s="143" t="s">
        <v>59</v>
      </c>
      <c r="F13" s="143" t="s">
        <v>67</v>
      </c>
      <c r="G13" s="142"/>
      <c r="H13" s="142"/>
      <c r="I13" s="62" t="str">
        <f>VLOOKUP(L13,'Complexity Breaddown'!A:C,2,FALSE)</f>
        <v>Simple Medium</v>
      </c>
      <c r="J13" s="142">
        <f>($L13/0.45)*('Baseline v2'!$B$16/100)</f>
        <v>8</v>
      </c>
      <c r="K13" s="142">
        <f>($L13/0.45)*('Baseline v2'!$B$17/100)</f>
        <v>12</v>
      </c>
      <c r="L13" s="142">
        <v>36</v>
      </c>
      <c r="M13" s="142">
        <f>($L13/0.45)*('Baseline v2'!$B$19/100)</f>
        <v>16</v>
      </c>
      <c r="N13" s="142">
        <f>($L13/0.45)*('Baseline v2'!$B$20/100)</f>
        <v>8</v>
      </c>
      <c r="O13" s="142">
        <f t="shared" si="0"/>
        <v>80</v>
      </c>
    </row>
    <row r="14" spans="1:15" ht="30" x14ac:dyDescent="0.25">
      <c r="A14" s="62">
        <v>13</v>
      </c>
      <c r="B14" s="59" t="s">
        <v>79</v>
      </c>
      <c r="C14" s="59" t="s">
        <v>57</v>
      </c>
      <c r="D14" s="59" t="s">
        <v>70</v>
      </c>
      <c r="E14" s="59" t="s">
        <v>65</v>
      </c>
      <c r="F14" s="59" t="s">
        <v>60</v>
      </c>
      <c r="G14" s="62"/>
      <c r="H14" s="62"/>
      <c r="I14" s="62" t="str">
        <f>VLOOKUP(L14,'Complexity Breaddown'!A:C,2,FALSE)</f>
        <v>Complex</v>
      </c>
      <c r="J14" s="62">
        <f>($L14/0.45)*('Baseline v2'!$B$16/100)</f>
        <v>14</v>
      </c>
      <c r="K14" s="62">
        <f>($L14/0.45)*('Baseline v2'!$B$17/100)</f>
        <v>21</v>
      </c>
      <c r="L14" s="62">
        <v>63</v>
      </c>
      <c r="M14" s="62">
        <f>($L14/0.45)*('Baseline v2'!$B$19/100)</f>
        <v>28</v>
      </c>
      <c r="N14" s="62">
        <f>($L14/0.45)*('Baseline v2'!$B$20/100)</f>
        <v>14</v>
      </c>
      <c r="O14" s="62">
        <f t="shared" si="0"/>
        <v>140</v>
      </c>
    </row>
    <row r="15" spans="1:15" ht="30" x14ac:dyDescent="0.25">
      <c r="A15" s="62">
        <v>14</v>
      </c>
      <c r="B15" s="59" t="s">
        <v>80</v>
      </c>
      <c r="C15" s="59" t="s">
        <v>57</v>
      </c>
      <c r="D15" s="59" t="s">
        <v>70</v>
      </c>
      <c r="E15" s="59" t="s">
        <v>65</v>
      </c>
      <c r="F15" s="59" t="s">
        <v>67</v>
      </c>
      <c r="G15" s="62"/>
      <c r="H15" s="62"/>
      <c r="I15" s="62" t="str">
        <f>VLOOKUP(L15,'Complexity Breaddown'!A:C,2,FALSE)</f>
        <v>Simple Medium</v>
      </c>
      <c r="J15" s="62">
        <f>($L15/0.45)*('Baseline v2'!$B$16/100)</f>
        <v>8</v>
      </c>
      <c r="K15" s="62">
        <f>($L15/0.45)*('Baseline v2'!$B$17/100)</f>
        <v>12</v>
      </c>
      <c r="L15" s="62">
        <v>36</v>
      </c>
      <c r="M15" s="62">
        <f>($L15/0.45)*('Baseline v2'!$B$19/100)</f>
        <v>16</v>
      </c>
      <c r="N15" s="62">
        <f>($L15/0.45)*('Baseline v2'!$B$20/100)</f>
        <v>8</v>
      </c>
      <c r="O15" s="62">
        <f t="shared" si="0"/>
        <v>80</v>
      </c>
    </row>
    <row r="16" spans="1:15" ht="30" x14ac:dyDescent="0.25">
      <c r="A16" s="62">
        <v>15</v>
      </c>
      <c r="B16" s="59" t="s">
        <v>81</v>
      </c>
      <c r="C16" s="59" t="s">
        <v>57</v>
      </c>
      <c r="D16" s="59" t="s">
        <v>70</v>
      </c>
      <c r="E16" s="59" t="s">
        <v>65</v>
      </c>
      <c r="F16" s="59" t="s">
        <v>67</v>
      </c>
      <c r="G16" s="62"/>
      <c r="H16" s="62"/>
      <c r="I16" s="62" t="str">
        <f>VLOOKUP(L16,'Complexity Breaddown'!A:C,2,FALSE)</f>
        <v>Simple Medium</v>
      </c>
      <c r="J16" s="62">
        <f>($L16/0.45)*('Baseline v2'!$B$16/100)</f>
        <v>8</v>
      </c>
      <c r="K16" s="62">
        <f>($L16/0.45)*('Baseline v2'!$B$17/100)</f>
        <v>12</v>
      </c>
      <c r="L16" s="62">
        <v>36</v>
      </c>
      <c r="M16" s="62">
        <f>($L16/0.45)*('Baseline v2'!$B$19/100)</f>
        <v>16</v>
      </c>
      <c r="N16" s="62">
        <f>($L16/0.45)*('Baseline v2'!$B$20/100)</f>
        <v>8</v>
      </c>
      <c r="O16" s="62">
        <f t="shared" si="0"/>
        <v>80</v>
      </c>
    </row>
    <row r="17" spans="1:15" x14ac:dyDescent="0.25">
      <c r="A17" s="62">
        <v>16</v>
      </c>
      <c r="B17" s="59" t="s">
        <v>82</v>
      </c>
      <c r="C17" s="59" t="s">
        <v>70</v>
      </c>
      <c r="D17" s="59" t="s">
        <v>57</v>
      </c>
      <c r="E17" s="59" t="s">
        <v>59</v>
      </c>
      <c r="F17" s="59"/>
      <c r="G17" s="62"/>
      <c r="H17" s="62"/>
      <c r="I17" s="62" t="str">
        <f>VLOOKUP(L17,'Complexity Breaddown'!A:C,2,FALSE)</f>
        <v>Simple Medium</v>
      </c>
      <c r="J17" s="62">
        <f>($L17/0.45)*('Baseline v2'!$B$16/100)</f>
        <v>8</v>
      </c>
      <c r="K17" s="62">
        <f>($L17/0.45)*('Baseline v2'!$B$17/100)</f>
        <v>12</v>
      </c>
      <c r="L17" s="62">
        <v>36</v>
      </c>
      <c r="M17" s="62">
        <f>($L17/0.45)*('Baseline v2'!$B$19/100)</f>
        <v>16</v>
      </c>
      <c r="N17" s="62">
        <f>($L17/0.45)*('Baseline v2'!$B$20/100)</f>
        <v>8</v>
      </c>
      <c r="O17" s="62">
        <f t="shared" si="0"/>
        <v>80</v>
      </c>
    </row>
    <row r="18" spans="1:15" x14ac:dyDescent="0.25">
      <c r="A18" s="62">
        <v>17</v>
      </c>
      <c r="B18" s="59" t="s">
        <v>83</v>
      </c>
      <c r="C18" s="59" t="s">
        <v>70</v>
      </c>
      <c r="D18" s="59" t="s">
        <v>57</v>
      </c>
      <c r="E18" s="59" t="s">
        <v>65</v>
      </c>
      <c r="F18" s="59" t="s">
        <v>60</v>
      </c>
      <c r="G18" s="62"/>
      <c r="H18" s="62"/>
      <c r="I18" s="62" t="str">
        <f>VLOOKUP(L18,'Complexity Breaddown'!A:C,2,FALSE)</f>
        <v>Simple Medium</v>
      </c>
      <c r="J18" s="62">
        <f>($L18/0.45)*('Baseline v2'!$B$16/100)</f>
        <v>8</v>
      </c>
      <c r="K18" s="62">
        <f>($L18/0.45)*('Baseline v2'!$B$17/100)</f>
        <v>12</v>
      </c>
      <c r="L18" s="62">
        <v>36</v>
      </c>
      <c r="M18" s="62">
        <f>($L18/0.45)*('Baseline v2'!$B$19/100)</f>
        <v>16</v>
      </c>
      <c r="N18" s="62">
        <f>($L18/0.45)*('Baseline v2'!$B$20/100)</f>
        <v>8</v>
      </c>
      <c r="O18" s="62">
        <f t="shared" si="0"/>
        <v>80</v>
      </c>
    </row>
    <row r="19" spans="1:15" x14ac:dyDescent="0.25">
      <c r="A19" s="62">
        <v>18</v>
      </c>
      <c r="B19" s="59" t="s">
        <v>84</v>
      </c>
      <c r="C19" s="59" t="s">
        <v>70</v>
      </c>
      <c r="D19" s="59" t="s">
        <v>57</v>
      </c>
      <c r="E19" s="59" t="s">
        <v>65</v>
      </c>
      <c r="F19" s="59" t="s">
        <v>60</v>
      </c>
      <c r="G19" s="62"/>
      <c r="H19" s="62"/>
      <c r="I19" s="62" t="str">
        <f>VLOOKUP(L19,'Complexity Breaddown'!A:C,2,FALSE)</f>
        <v>Simple Medium</v>
      </c>
      <c r="J19" s="62">
        <f>($L19/0.45)*('Baseline v2'!$B$16/100)</f>
        <v>8</v>
      </c>
      <c r="K19" s="62">
        <f>($L19/0.45)*('Baseline v2'!$B$17/100)</f>
        <v>12</v>
      </c>
      <c r="L19" s="62">
        <v>36</v>
      </c>
      <c r="M19" s="62">
        <f>($L19/0.45)*('Baseline v2'!$B$19/100)</f>
        <v>16</v>
      </c>
      <c r="N19" s="62">
        <f>($L19/0.45)*('Baseline v2'!$B$20/100)</f>
        <v>8</v>
      </c>
      <c r="O19" s="62">
        <f t="shared" si="0"/>
        <v>80</v>
      </c>
    </row>
    <row r="20" spans="1:15" x14ac:dyDescent="0.25">
      <c r="A20" s="62">
        <v>19</v>
      </c>
      <c r="B20" s="59" t="s">
        <v>85</v>
      </c>
      <c r="C20" s="59" t="s">
        <v>70</v>
      </c>
      <c r="D20" s="59" t="s">
        <v>57</v>
      </c>
      <c r="E20" s="59" t="s">
        <v>65</v>
      </c>
      <c r="F20" s="59" t="s">
        <v>60</v>
      </c>
      <c r="G20" s="62"/>
      <c r="H20" s="62"/>
      <c r="I20" s="62" t="str">
        <f>VLOOKUP(L20,'Complexity Breaddown'!A:C,2,FALSE)</f>
        <v>Simple Medium</v>
      </c>
      <c r="J20" s="62">
        <f>($L20/0.45)*('Baseline v2'!$B$16/100)</f>
        <v>8</v>
      </c>
      <c r="K20" s="62">
        <f>($L20/0.45)*('Baseline v2'!$B$17/100)</f>
        <v>12</v>
      </c>
      <c r="L20" s="62">
        <v>36</v>
      </c>
      <c r="M20" s="62">
        <f>($L20/0.45)*('Baseline v2'!$B$19/100)</f>
        <v>16</v>
      </c>
      <c r="N20" s="62">
        <f>($L20/0.45)*('Baseline v2'!$B$20/100)</f>
        <v>8</v>
      </c>
      <c r="O20" s="62">
        <f t="shared" si="0"/>
        <v>80</v>
      </c>
    </row>
    <row r="21" spans="1:15" x14ac:dyDescent="0.25">
      <c r="A21" s="62">
        <v>20</v>
      </c>
      <c r="B21" s="59" t="s">
        <v>86</v>
      </c>
      <c r="C21" s="59" t="s">
        <v>70</v>
      </c>
      <c r="D21" s="59" t="s">
        <v>57</v>
      </c>
      <c r="E21" s="59" t="s">
        <v>65</v>
      </c>
      <c r="F21" s="59" t="s">
        <v>60</v>
      </c>
      <c r="G21" s="62"/>
      <c r="H21" s="62"/>
      <c r="I21" s="62" t="str">
        <f>VLOOKUP(L21,'Complexity Breaddown'!A:C,2,FALSE)</f>
        <v>Simple Medium</v>
      </c>
      <c r="J21" s="62">
        <f>($L21/0.45)*('Baseline v2'!$B$16/100)</f>
        <v>8</v>
      </c>
      <c r="K21" s="62">
        <f>($L21/0.45)*('Baseline v2'!$B$17/100)</f>
        <v>12</v>
      </c>
      <c r="L21" s="62">
        <v>36</v>
      </c>
      <c r="M21" s="62">
        <f>($L21/0.45)*('Baseline v2'!$B$19/100)</f>
        <v>16</v>
      </c>
      <c r="N21" s="62">
        <f>($L21/0.45)*('Baseline v2'!$B$20/100)</f>
        <v>8</v>
      </c>
      <c r="O21" s="62">
        <f t="shared" si="0"/>
        <v>80</v>
      </c>
    </row>
    <row r="22" spans="1:15" x14ac:dyDescent="0.25">
      <c r="A22" s="62">
        <v>21</v>
      </c>
      <c r="B22" s="59" t="s">
        <v>87</v>
      </c>
      <c r="C22" s="59" t="s">
        <v>70</v>
      </c>
      <c r="D22" s="59" t="s">
        <v>57</v>
      </c>
      <c r="E22" s="59" t="s">
        <v>65</v>
      </c>
      <c r="F22" s="59" t="s">
        <v>60</v>
      </c>
      <c r="G22" s="62"/>
      <c r="H22" s="62"/>
      <c r="I22" s="62" t="str">
        <f>VLOOKUP(L22,'Complexity Breaddown'!A:C,2,FALSE)</f>
        <v>Simple Medium</v>
      </c>
      <c r="J22" s="62">
        <f>($L22/0.45)*('Baseline v2'!$B$16/100)</f>
        <v>8</v>
      </c>
      <c r="K22" s="62">
        <f>($L22/0.45)*('Baseline v2'!$B$17/100)</f>
        <v>12</v>
      </c>
      <c r="L22" s="62">
        <v>36</v>
      </c>
      <c r="M22" s="62">
        <f>($L22/0.45)*('Baseline v2'!$B$19/100)</f>
        <v>16</v>
      </c>
      <c r="N22" s="62">
        <f>($L22/0.45)*('Baseline v2'!$B$20/100)</f>
        <v>8</v>
      </c>
      <c r="O22" s="62">
        <f t="shared" si="0"/>
        <v>80</v>
      </c>
    </row>
    <row r="23" spans="1:15" ht="30" x14ac:dyDescent="0.25">
      <c r="A23" s="62">
        <v>22</v>
      </c>
      <c r="B23" s="59" t="s">
        <v>88</v>
      </c>
      <c r="C23" s="59" t="s">
        <v>57</v>
      </c>
      <c r="D23" s="59" t="s">
        <v>89</v>
      </c>
      <c r="E23" s="59" t="s">
        <v>59</v>
      </c>
      <c r="F23" s="59" t="s">
        <v>67</v>
      </c>
      <c r="G23" s="62"/>
      <c r="H23" s="62"/>
      <c r="I23" s="62" t="str">
        <f>VLOOKUP(L23,'Complexity Breaddown'!A:C,2,FALSE)</f>
        <v>Simple</v>
      </c>
      <c r="J23" s="62">
        <f>($L23/0.45)*('Baseline v2'!$B$16/100)</f>
        <v>6</v>
      </c>
      <c r="K23" s="62">
        <f>($L23/0.45)*('Baseline v2'!$B$17/100)</f>
        <v>9</v>
      </c>
      <c r="L23" s="62">
        <v>27</v>
      </c>
      <c r="M23" s="62">
        <f>($L23/0.45)*('Baseline v2'!$B$19/100)</f>
        <v>12</v>
      </c>
      <c r="N23" s="62">
        <f>($L23/0.45)*('Baseline v2'!$B$20/100)</f>
        <v>6</v>
      </c>
      <c r="O23" s="62">
        <f t="shared" si="0"/>
        <v>60</v>
      </c>
    </row>
    <row r="24" spans="1:15" x14ac:dyDescent="0.25">
      <c r="A24" s="62">
        <v>23</v>
      </c>
      <c r="B24" s="59" t="s">
        <v>89</v>
      </c>
      <c r="C24" s="59" t="s">
        <v>89</v>
      </c>
      <c r="D24" s="59" t="s">
        <v>70</v>
      </c>
      <c r="E24" s="59" t="s">
        <v>65</v>
      </c>
      <c r="F24" s="59" t="s">
        <v>67</v>
      </c>
      <c r="G24" s="62"/>
      <c r="H24" s="62"/>
      <c r="I24" s="62" t="str">
        <f>VLOOKUP(L24,'Complexity Breaddown'!A:C,2,FALSE)</f>
        <v>Simple Medium</v>
      </c>
      <c r="J24" s="62">
        <f>($L24/0.45)*('Baseline v2'!$B$16/100)</f>
        <v>8</v>
      </c>
      <c r="K24" s="62">
        <f>($L24/0.45)*('Baseline v2'!$B$17/100)</f>
        <v>12</v>
      </c>
      <c r="L24" s="62">
        <v>36</v>
      </c>
      <c r="M24" s="62">
        <f>($L24/0.45)*('Baseline v2'!$B$19/100)</f>
        <v>16</v>
      </c>
      <c r="N24" s="62">
        <f>($L24/0.45)*('Baseline v2'!$B$20/100)</f>
        <v>8</v>
      </c>
      <c r="O24" s="62">
        <f t="shared" si="0"/>
        <v>80</v>
      </c>
    </row>
    <row r="25" spans="1:15" x14ac:dyDescent="0.25">
      <c r="A25" s="62">
        <v>24</v>
      </c>
      <c r="B25" s="59" t="s">
        <v>90</v>
      </c>
      <c r="C25" s="59" t="s">
        <v>70</v>
      </c>
      <c r="D25" s="59" t="s">
        <v>89</v>
      </c>
      <c r="E25" s="59" t="s">
        <v>65</v>
      </c>
      <c r="F25" s="59" t="s">
        <v>60</v>
      </c>
      <c r="G25" s="62"/>
      <c r="H25" s="62"/>
      <c r="I25" s="62" t="str">
        <f>VLOOKUP(L25,'Complexity Breaddown'!A:C,2,FALSE)</f>
        <v>Simple Medium</v>
      </c>
      <c r="J25" s="62">
        <f>($L25/0.45)*('Baseline v2'!$B$16/100)</f>
        <v>8</v>
      </c>
      <c r="K25" s="62">
        <f>($L25/0.45)*('Baseline v2'!$B$17/100)</f>
        <v>12</v>
      </c>
      <c r="L25" s="62">
        <v>36</v>
      </c>
      <c r="M25" s="62">
        <f>($L25/0.45)*('Baseline v2'!$B$19/100)</f>
        <v>16</v>
      </c>
      <c r="N25" s="62">
        <f>($L25/0.45)*('Baseline v2'!$B$20/100)</f>
        <v>8</v>
      </c>
      <c r="O25" s="62">
        <f t="shared" si="0"/>
        <v>80</v>
      </c>
    </row>
    <row r="26" spans="1:15" x14ac:dyDescent="0.25">
      <c r="A26" s="62">
        <v>25</v>
      </c>
      <c r="B26" s="59" t="s">
        <v>91</v>
      </c>
      <c r="C26" s="59" t="s">
        <v>70</v>
      </c>
      <c r="D26" s="59" t="s">
        <v>92</v>
      </c>
      <c r="E26" s="59" t="s">
        <v>59</v>
      </c>
      <c r="F26" s="59" t="s">
        <v>67</v>
      </c>
      <c r="G26" s="62"/>
      <c r="H26" s="62"/>
      <c r="I26" s="62" t="str">
        <f>VLOOKUP(L26,'Complexity Breaddown'!A:C,2,FALSE)</f>
        <v>Simple Medium</v>
      </c>
      <c r="J26" s="62">
        <f>($L26/0.45)*('Baseline v2'!$B$16/100)</f>
        <v>8</v>
      </c>
      <c r="K26" s="62">
        <f>($L26/0.45)*('Baseline v2'!$B$17/100)</f>
        <v>12</v>
      </c>
      <c r="L26" s="62">
        <v>36</v>
      </c>
      <c r="M26" s="62">
        <f>($L26/0.45)*('Baseline v2'!$B$19/100)</f>
        <v>16</v>
      </c>
      <c r="N26" s="62">
        <f>($L26/0.45)*('Baseline v2'!$B$20/100)</f>
        <v>8</v>
      </c>
      <c r="O26" s="62">
        <f t="shared" si="0"/>
        <v>80</v>
      </c>
    </row>
    <row r="27" spans="1:15" ht="30" x14ac:dyDescent="0.25">
      <c r="A27" s="62">
        <v>26</v>
      </c>
      <c r="B27" s="59" t="s">
        <v>93</v>
      </c>
      <c r="C27" s="59" t="s">
        <v>94</v>
      </c>
      <c r="D27" s="59" t="s">
        <v>95</v>
      </c>
      <c r="E27" s="59" t="s">
        <v>59</v>
      </c>
      <c r="F27" s="59" t="s">
        <v>67</v>
      </c>
      <c r="G27" s="62"/>
      <c r="H27" s="62"/>
      <c r="I27" s="62" t="str">
        <f>VLOOKUP(L27,'Complexity Breaddown'!A:C,2,FALSE)</f>
        <v>Simple</v>
      </c>
      <c r="J27" s="62">
        <f>($L27/0.45)*('Baseline v2'!$B$16/100)</f>
        <v>6</v>
      </c>
      <c r="K27" s="62">
        <f>($L27/0.45)*('Baseline v2'!$B$17/100)</f>
        <v>9</v>
      </c>
      <c r="L27" s="62">
        <v>27</v>
      </c>
      <c r="M27" s="62">
        <f>($L27/0.45)*('Baseline v2'!$B$19/100)</f>
        <v>12</v>
      </c>
      <c r="N27" s="62">
        <f>($L27/0.45)*('Baseline v2'!$B$20/100)</f>
        <v>6</v>
      </c>
      <c r="O27" s="62">
        <f t="shared" si="0"/>
        <v>60</v>
      </c>
    </row>
    <row r="28" spans="1:15" x14ac:dyDescent="0.25">
      <c r="A28" s="62">
        <v>27</v>
      </c>
      <c r="B28" s="59" t="s">
        <v>96</v>
      </c>
      <c r="C28" s="59" t="s">
        <v>95</v>
      </c>
      <c r="D28" s="59" t="s">
        <v>97</v>
      </c>
      <c r="E28" s="59" t="s">
        <v>59</v>
      </c>
      <c r="F28" s="59" t="s">
        <v>67</v>
      </c>
      <c r="G28" s="62"/>
      <c r="H28" s="62"/>
      <c r="I28" s="62" t="str">
        <f>VLOOKUP(L28,'Complexity Breaddown'!A:C,2,FALSE)</f>
        <v>Simple</v>
      </c>
      <c r="J28" s="62">
        <f>($L28/0.45)*('Baseline v2'!$B$16/100)</f>
        <v>6</v>
      </c>
      <c r="K28" s="62">
        <f>($L28/0.45)*('Baseline v2'!$B$17/100)</f>
        <v>9</v>
      </c>
      <c r="L28" s="62">
        <v>27</v>
      </c>
      <c r="M28" s="62">
        <f>($L28/0.45)*('Baseline v2'!$B$19/100)</f>
        <v>12</v>
      </c>
      <c r="N28" s="62">
        <f>($L28/0.45)*('Baseline v2'!$B$20/100)</f>
        <v>6</v>
      </c>
      <c r="O28" s="62">
        <f t="shared" si="0"/>
        <v>60</v>
      </c>
    </row>
    <row r="29" spans="1:15" s="66" customFormat="1" x14ac:dyDescent="0.25">
      <c r="A29" s="62">
        <v>28</v>
      </c>
      <c r="B29" s="143" t="s">
        <v>98</v>
      </c>
      <c r="C29" s="143" t="s">
        <v>99</v>
      </c>
      <c r="D29" s="143" t="s">
        <v>100</v>
      </c>
      <c r="E29" s="143" t="s">
        <v>59</v>
      </c>
      <c r="F29" s="143" t="s">
        <v>67</v>
      </c>
      <c r="G29" s="142"/>
      <c r="H29" s="142"/>
      <c r="I29" s="62" t="str">
        <f>VLOOKUP(L29,'Complexity Breaddown'!A:C,2,FALSE)</f>
        <v>Simple</v>
      </c>
      <c r="J29" s="142">
        <f>($L29/0.45)*('Baseline v2'!$B$16/100)</f>
        <v>6</v>
      </c>
      <c r="K29" s="142">
        <f>($L29/0.45)*('Baseline v2'!$B$17/100)</f>
        <v>9</v>
      </c>
      <c r="L29" s="142">
        <v>27</v>
      </c>
      <c r="M29" s="142">
        <f>($L29/0.45)*('Baseline v2'!$B$19/100)</f>
        <v>12</v>
      </c>
      <c r="N29" s="142">
        <f>($L29/0.45)*('Baseline v2'!$B$20/100)</f>
        <v>6</v>
      </c>
      <c r="O29" s="142">
        <f t="shared" si="0"/>
        <v>60</v>
      </c>
    </row>
    <row r="30" spans="1:15" s="66" customFormat="1" x14ac:dyDescent="0.25">
      <c r="A30" s="62">
        <v>29</v>
      </c>
      <c r="B30" s="143" t="s">
        <v>101</v>
      </c>
      <c r="C30" s="143" t="s">
        <v>100</v>
      </c>
      <c r="D30" s="143" t="s">
        <v>99</v>
      </c>
      <c r="E30" s="143" t="s">
        <v>59</v>
      </c>
      <c r="F30" s="143" t="s">
        <v>67</v>
      </c>
      <c r="G30" s="142"/>
      <c r="H30" s="142"/>
      <c r="I30" s="62" t="str">
        <f>VLOOKUP(L30,'Complexity Breaddown'!A:C,2,FALSE)</f>
        <v>Simple</v>
      </c>
      <c r="J30" s="142">
        <f>($L30/0.45)*('Baseline v2'!$B$16/100)</f>
        <v>6</v>
      </c>
      <c r="K30" s="142">
        <f>($L30/0.45)*('Baseline v2'!$B$17/100)</f>
        <v>9</v>
      </c>
      <c r="L30" s="142">
        <v>27</v>
      </c>
      <c r="M30" s="142">
        <f>($L30/0.45)*('Baseline v2'!$B$19/100)</f>
        <v>12</v>
      </c>
      <c r="N30" s="142">
        <f>($L30/0.45)*('Baseline v2'!$B$20/100)</f>
        <v>6</v>
      </c>
      <c r="O30" s="142">
        <f t="shared" si="0"/>
        <v>60</v>
      </c>
    </row>
    <row r="31" spans="1:15" s="66" customFormat="1" x14ac:dyDescent="0.25">
      <c r="A31" s="62">
        <v>30</v>
      </c>
      <c r="B31" s="143" t="s">
        <v>102</v>
      </c>
      <c r="C31" s="143" t="s">
        <v>99</v>
      </c>
      <c r="D31" s="143" t="s">
        <v>100</v>
      </c>
      <c r="E31" s="143" t="s">
        <v>59</v>
      </c>
      <c r="F31" s="143" t="s">
        <v>67</v>
      </c>
      <c r="G31" s="142"/>
      <c r="H31" s="142"/>
      <c r="I31" s="62" t="str">
        <f>VLOOKUP(L31,'Complexity Breaddown'!A:C,2,FALSE)</f>
        <v>Simple</v>
      </c>
      <c r="J31" s="142">
        <f>($L31/0.45)*('Baseline v2'!$B$16/100)</f>
        <v>6</v>
      </c>
      <c r="K31" s="142">
        <f>($L31/0.45)*('Baseline v2'!$B$17/100)</f>
        <v>9</v>
      </c>
      <c r="L31" s="142">
        <v>27</v>
      </c>
      <c r="M31" s="142">
        <f>($L31/0.45)*('Baseline v2'!$B$19/100)</f>
        <v>12</v>
      </c>
      <c r="N31" s="142">
        <f>($L31/0.45)*('Baseline v2'!$B$20/100)</f>
        <v>6</v>
      </c>
      <c r="O31" s="142">
        <f t="shared" si="0"/>
        <v>60</v>
      </c>
    </row>
    <row r="32" spans="1:15" x14ac:dyDescent="0.25">
      <c r="A32" s="62">
        <v>31</v>
      </c>
      <c r="B32" s="59" t="s">
        <v>103</v>
      </c>
      <c r="C32" s="59" t="s">
        <v>104</v>
      </c>
      <c r="D32" s="59" t="s">
        <v>99</v>
      </c>
      <c r="E32" s="59" t="s">
        <v>59</v>
      </c>
      <c r="F32" s="59"/>
      <c r="G32" s="62"/>
      <c r="H32" s="62"/>
      <c r="I32" s="62" t="str">
        <f>VLOOKUP(L32,'Complexity Breaddown'!A:C,2,FALSE)</f>
        <v>Simple</v>
      </c>
      <c r="J32" s="62">
        <f>($L32/0.45)*('Baseline v2'!$B$16/100)</f>
        <v>6</v>
      </c>
      <c r="K32" s="62">
        <f>($L32/0.45)*('Baseline v2'!$B$17/100)</f>
        <v>9</v>
      </c>
      <c r="L32" s="62">
        <v>27</v>
      </c>
      <c r="M32" s="62">
        <f>($L32/0.45)*('Baseline v2'!$B$19/100)</f>
        <v>12</v>
      </c>
      <c r="N32" s="62">
        <f>($L32/0.45)*('Baseline v2'!$B$20/100)</f>
        <v>6</v>
      </c>
      <c r="O32" s="62">
        <f t="shared" si="0"/>
        <v>60</v>
      </c>
    </row>
    <row r="33" spans="1:15" ht="30" x14ac:dyDescent="0.25">
      <c r="A33" s="62">
        <v>32</v>
      </c>
      <c r="B33" s="59" t="s">
        <v>105</v>
      </c>
      <c r="C33" s="59" t="s">
        <v>99</v>
      </c>
      <c r="D33" s="59" t="s">
        <v>106</v>
      </c>
      <c r="E33" s="59" t="s">
        <v>59</v>
      </c>
      <c r="F33" s="59"/>
      <c r="G33" s="62"/>
      <c r="H33" s="62"/>
      <c r="I33" s="62" t="str">
        <f>VLOOKUP(L33,'Complexity Breaddown'!A:C,2,FALSE)</f>
        <v>Simple</v>
      </c>
      <c r="J33" s="62">
        <f>($L33/0.45)*('Baseline v2'!$B$16/100)</f>
        <v>6</v>
      </c>
      <c r="K33" s="62">
        <f>($L33/0.45)*('Baseline v2'!$B$17/100)</f>
        <v>9</v>
      </c>
      <c r="L33" s="62">
        <v>27</v>
      </c>
      <c r="M33" s="62">
        <f>($L33/0.45)*('Baseline v2'!$B$19/100)</f>
        <v>12</v>
      </c>
      <c r="N33" s="62">
        <f>($L33/0.45)*('Baseline v2'!$B$20/100)</f>
        <v>6</v>
      </c>
      <c r="O33" s="62">
        <f t="shared" si="0"/>
        <v>60</v>
      </c>
    </row>
    <row r="34" spans="1:15" s="66" customFormat="1" x14ac:dyDescent="0.25">
      <c r="A34" s="62">
        <v>33</v>
      </c>
      <c r="B34" s="143" t="s">
        <v>107</v>
      </c>
      <c r="C34" s="143" t="s">
        <v>99</v>
      </c>
      <c r="D34" s="143" t="s">
        <v>108</v>
      </c>
      <c r="E34" s="143" t="s">
        <v>59</v>
      </c>
      <c r="F34" s="143"/>
      <c r="G34" s="142"/>
      <c r="H34" s="142"/>
      <c r="I34" s="62" t="str">
        <f>VLOOKUP(L34,'Complexity Breaddown'!A:C,2,FALSE)</f>
        <v>Simple</v>
      </c>
      <c r="J34" s="142">
        <f>($L34/0.45)*('Baseline v2'!$B$16/100)</f>
        <v>6</v>
      </c>
      <c r="K34" s="142">
        <f>($L34/0.45)*('Baseline v2'!$B$17/100)</f>
        <v>9</v>
      </c>
      <c r="L34" s="142">
        <v>27</v>
      </c>
      <c r="M34" s="142">
        <f>($L34/0.45)*('Baseline v2'!$B$19/100)</f>
        <v>12</v>
      </c>
      <c r="N34" s="142">
        <f>($L34/0.45)*('Baseline v2'!$B$20/100)</f>
        <v>6</v>
      </c>
      <c r="O34" s="142">
        <f t="shared" si="0"/>
        <v>60</v>
      </c>
    </row>
    <row r="35" spans="1:15" ht="60" x14ac:dyDescent="0.25">
      <c r="A35" s="62">
        <v>34</v>
      </c>
      <c r="B35" s="60" t="s">
        <v>109</v>
      </c>
      <c r="C35" s="60" t="s">
        <v>110</v>
      </c>
      <c r="D35" s="60" t="s">
        <v>92</v>
      </c>
      <c r="E35" s="59" t="s">
        <v>65</v>
      </c>
      <c r="F35" s="59"/>
      <c r="G35" s="62"/>
      <c r="H35" s="62"/>
      <c r="I35" s="62" t="str">
        <f>VLOOKUP(L35,'Complexity Breaddown'!A:C,2,FALSE)</f>
        <v>Complex</v>
      </c>
      <c r="J35" s="62">
        <f>($L35/0.45)*('Baseline v2'!$B$16/100)</f>
        <v>14</v>
      </c>
      <c r="K35" s="62">
        <f>($L35/0.45)*('Baseline v2'!$B$17/100)</f>
        <v>21</v>
      </c>
      <c r="L35" s="62">
        <v>63</v>
      </c>
      <c r="M35" s="62">
        <f>($L35/0.45)*('Baseline v2'!$B$19/100)</f>
        <v>28</v>
      </c>
      <c r="N35" s="62">
        <f>($L35/0.45)*('Baseline v2'!$B$20/100)</f>
        <v>14</v>
      </c>
      <c r="O35" s="62">
        <f t="shared" si="0"/>
        <v>140</v>
      </c>
    </row>
    <row r="36" spans="1:15" ht="45" x14ac:dyDescent="0.25">
      <c r="A36" s="62">
        <v>35</v>
      </c>
      <c r="B36" s="60" t="s">
        <v>111</v>
      </c>
      <c r="C36" s="60" t="s">
        <v>112</v>
      </c>
      <c r="D36" s="60" t="s">
        <v>113</v>
      </c>
      <c r="E36" s="59" t="s">
        <v>65</v>
      </c>
      <c r="F36" s="59"/>
      <c r="G36" s="62"/>
      <c r="H36" s="62"/>
      <c r="I36" s="62" t="str">
        <f>VLOOKUP(L36,'Complexity Breaddown'!A:C,2,FALSE)</f>
        <v>Complex</v>
      </c>
      <c r="J36" s="62">
        <f>($L36/0.45)*('Baseline v2'!$B$16/100)</f>
        <v>14</v>
      </c>
      <c r="K36" s="62">
        <f>($L36/0.45)*('Baseline v2'!$B$17/100)</f>
        <v>21</v>
      </c>
      <c r="L36" s="62">
        <v>63</v>
      </c>
      <c r="M36" s="62">
        <f>($L36/0.45)*('Baseline v2'!$B$19/100)</f>
        <v>28</v>
      </c>
      <c r="N36" s="62">
        <f>($L36/0.45)*('Baseline v2'!$B$20/100)</f>
        <v>14</v>
      </c>
      <c r="O36" s="62">
        <f t="shared" si="0"/>
        <v>140</v>
      </c>
    </row>
    <row r="37" spans="1:15" ht="45" x14ac:dyDescent="0.25">
      <c r="A37" s="62">
        <v>36</v>
      </c>
      <c r="B37" s="60" t="s">
        <v>114</v>
      </c>
      <c r="C37" s="60" t="s">
        <v>115</v>
      </c>
      <c r="D37" s="60" t="s">
        <v>116</v>
      </c>
      <c r="E37" s="59" t="s">
        <v>65</v>
      </c>
      <c r="F37" s="59"/>
      <c r="G37" s="62"/>
      <c r="H37" s="62"/>
      <c r="I37" s="62" t="str">
        <f>VLOOKUP(L37,'Complexity Breaddown'!A:C,2,FALSE)</f>
        <v>Complex</v>
      </c>
      <c r="J37" s="62">
        <f>($L37/0.45)*('Baseline v2'!$B$16/100)</f>
        <v>14</v>
      </c>
      <c r="K37" s="62">
        <f>($L37/0.45)*('Baseline v2'!$B$17/100)</f>
        <v>21</v>
      </c>
      <c r="L37" s="62">
        <v>63</v>
      </c>
      <c r="M37" s="62">
        <f>($L37/0.45)*('Baseline v2'!$B$19/100)</f>
        <v>28</v>
      </c>
      <c r="N37" s="62">
        <f>($L37/0.45)*('Baseline v2'!$B$20/100)</f>
        <v>14</v>
      </c>
      <c r="O37" s="62">
        <f t="shared" si="0"/>
        <v>140</v>
      </c>
    </row>
    <row r="38" spans="1:15" ht="60" x14ac:dyDescent="0.25">
      <c r="A38" s="62">
        <v>37</v>
      </c>
      <c r="B38" s="60" t="s">
        <v>117</v>
      </c>
      <c r="C38" s="60" t="s">
        <v>118</v>
      </c>
      <c r="D38" s="60" t="s">
        <v>119</v>
      </c>
      <c r="E38" s="59" t="s">
        <v>59</v>
      </c>
      <c r="F38" s="59"/>
      <c r="G38" s="62"/>
      <c r="H38" s="62"/>
      <c r="I38" s="62" t="str">
        <f>VLOOKUP(L38,'Complexity Breaddown'!A:C,2,FALSE)</f>
        <v>Medium Complex</v>
      </c>
      <c r="J38" s="62">
        <f>($L38/0.45)*('Baseline v2'!$B$16/100)</f>
        <v>12</v>
      </c>
      <c r="K38" s="62">
        <f>($L38/0.45)*('Baseline v2'!$B$17/100)</f>
        <v>18</v>
      </c>
      <c r="L38" s="62">
        <v>54</v>
      </c>
      <c r="M38" s="62">
        <f>($L38/0.45)*('Baseline v2'!$B$19/100)</f>
        <v>24</v>
      </c>
      <c r="N38" s="62">
        <f>($L38/0.45)*('Baseline v2'!$B$20/100)</f>
        <v>12</v>
      </c>
      <c r="O38" s="62">
        <f t="shared" si="0"/>
        <v>120</v>
      </c>
    </row>
    <row r="39" spans="1:15" ht="45" x14ac:dyDescent="0.25">
      <c r="A39" s="62">
        <v>38</v>
      </c>
      <c r="B39" s="60" t="s">
        <v>120</v>
      </c>
      <c r="C39" s="60" t="s">
        <v>121</v>
      </c>
      <c r="D39" s="60" t="s">
        <v>122</v>
      </c>
      <c r="E39" s="59" t="s">
        <v>71</v>
      </c>
      <c r="F39" s="59"/>
      <c r="G39" s="62"/>
      <c r="H39" s="62"/>
      <c r="I39" s="62" t="str">
        <f>VLOOKUP(L39,'Complexity Breaddown'!A:C,2,FALSE)</f>
        <v>Medium</v>
      </c>
      <c r="J39" s="62">
        <f>($L39/0.45)*('Baseline v2'!$B$16/100)</f>
        <v>10</v>
      </c>
      <c r="K39" s="62">
        <f>($L39/0.45)*('Baseline v2'!$B$17/100)</f>
        <v>15</v>
      </c>
      <c r="L39" s="62">
        <v>45</v>
      </c>
      <c r="M39" s="62">
        <f>($L39/0.45)*('Baseline v2'!$B$19/100)</f>
        <v>20</v>
      </c>
      <c r="N39" s="62">
        <f>($L39/0.45)*('Baseline v2'!$B$20/100)</f>
        <v>10</v>
      </c>
      <c r="O39" s="62">
        <f t="shared" si="0"/>
        <v>100</v>
      </c>
    </row>
    <row r="40" spans="1:15" ht="45" x14ac:dyDescent="0.25">
      <c r="A40" s="62">
        <v>39</v>
      </c>
      <c r="B40" s="60" t="s">
        <v>123</v>
      </c>
      <c r="C40" s="60" t="s">
        <v>115</v>
      </c>
      <c r="D40" s="60" t="s">
        <v>124</v>
      </c>
      <c r="E40" s="59" t="s">
        <v>65</v>
      </c>
      <c r="F40" s="59"/>
      <c r="G40" s="62"/>
      <c r="H40" s="62"/>
      <c r="I40" s="62" t="str">
        <f>VLOOKUP(L40,'Complexity Breaddown'!A:C,2,FALSE)</f>
        <v>Medium</v>
      </c>
      <c r="J40" s="62">
        <f>($L40/0.45)*('Baseline v2'!$B$16/100)</f>
        <v>10</v>
      </c>
      <c r="K40" s="62">
        <f>($L40/0.45)*('Baseline v2'!$B$17/100)</f>
        <v>15</v>
      </c>
      <c r="L40" s="62">
        <v>45</v>
      </c>
      <c r="M40" s="62">
        <f>($L40/0.45)*('Baseline v2'!$B$19/100)</f>
        <v>20</v>
      </c>
      <c r="N40" s="62">
        <f>($L40/0.45)*('Baseline v2'!$B$20/100)</f>
        <v>10</v>
      </c>
      <c r="O40" s="62">
        <f t="shared" si="0"/>
        <v>100</v>
      </c>
    </row>
    <row r="41" spans="1:15" ht="60" x14ac:dyDescent="0.25">
      <c r="A41" s="62">
        <v>40</v>
      </c>
      <c r="B41" s="60" t="s">
        <v>102</v>
      </c>
      <c r="C41" s="60" t="s">
        <v>125</v>
      </c>
      <c r="D41" s="60" t="s">
        <v>106</v>
      </c>
      <c r="E41" s="59" t="s">
        <v>65</v>
      </c>
      <c r="F41" s="59"/>
      <c r="G41" s="62"/>
      <c r="H41" s="62"/>
      <c r="I41" s="62" t="str">
        <f>VLOOKUP(L41,'Complexity Breaddown'!A:C,2,FALSE)</f>
        <v>Medium</v>
      </c>
      <c r="J41" s="62">
        <f>($L41/0.45)*('Baseline v2'!$B$16/100)</f>
        <v>10</v>
      </c>
      <c r="K41" s="62">
        <f>($L41/0.45)*('Baseline v2'!$B$17/100)</f>
        <v>15</v>
      </c>
      <c r="L41" s="62">
        <v>45</v>
      </c>
      <c r="M41" s="62">
        <f>($L41/0.45)*('Baseline v2'!$B$19/100)</f>
        <v>20</v>
      </c>
      <c r="N41" s="62">
        <f>($L41/0.45)*('Baseline v2'!$B$20/100)</f>
        <v>10</v>
      </c>
      <c r="O41" s="62">
        <f t="shared" ref="O41:O60" si="1">SUM(J41:N41)</f>
        <v>100</v>
      </c>
    </row>
    <row r="42" spans="1:15" ht="45" x14ac:dyDescent="0.25">
      <c r="A42" s="62">
        <v>41</v>
      </c>
      <c r="B42" s="60" t="s">
        <v>126</v>
      </c>
      <c r="C42" s="60" t="s">
        <v>115</v>
      </c>
      <c r="D42" s="60" t="s">
        <v>127</v>
      </c>
      <c r="E42" s="59" t="s">
        <v>65</v>
      </c>
      <c r="F42" s="59"/>
      <c r="G42" s="62"/>
      <c r="H42" s="62"/>
      <c r="I42" s="62" t="str">
        <f>VLOOKUP(L42,'Complexity Breaddown'!A:C,2,FALSE)</f>
        <v>Medium</v>
      </c>
      <c r="J42" s="62">
        <f>($L42/0.45)*('Baseline v2'!$B$16/100)</f>
        <v>10</v>
      </c>
      <c r="K42" s="62">
        <f>($L42/0.45)*('Baseline v2'!$B$17/100)</f>
        <v>15</v>
      </c>
      <c r="L42" s="62">
        <v>45</v>
      </c>
      <c r="M42" s="62">
        <f>($L42/0.45)*('Baseline v2'!$B$19/100)</f>
        <v>20</v>
      </c>
      <c r="N42" s="62">
        <f>($L42/0.45)*('Baseline v2'!$B$20/100)</f>
        <v>10</v>
      </c>
      <c r="O42" s="62">
        <f t="shared" si="1"/>
        <v>100</v>
      </c>
    </row>
    <row r="43" spans="1:15" ht="75" x14ac:dyDescent="0.25">
      <c r="A43" s="62">
        <v>42</v>
      </c>
      <c r="B43" s="60" t="s">
        <v>128</v>
      </c>
      <c r="C43" s="60" t="s">
        <v>129</v>
      </c>
      <c r="D43" s="60" t="s">
        <v>130</v>
      </c>
      <c r="E43" s="59" t="s">
        <v>65</v>
      </c>
      <c r="F43" s="59"/>
      <c r="G43" s="62"/>
      <c r="H43" s="62"/>
      <c r="I43" s="62" t="str">
        <f>VLOOKUP(L43,'Complexity Breaddown'!A:C,2,FALSE)</f>
        <v>Medium Complex</v>
      </c>
      <c r="J43" s="62">
        <f>($L43/0.45)*('Baseline v2'!$B$16/100)</f>
        <v>12</v>
      </c>
      <c r="K43" s="62">
        <f>($L43/0.45)*('Baseline v2'!$B$17/100)</f>
        <v>18</v>
      </c>
      <c r="L43" s="62">
        <v>54</v>
      </c>
      <c r="M43" s="62">
        <f>($L43/0.45)*('Baseline v2'!$B$19/100)</f>
        <v>24</v>
      </c>
      <c r="N43" s="62">
        <f>($L43/0.45)*('Baseline v2'!$B$20/100)</f>
        <v>12</v>
      </c>
      <c r="O43" s="62">
        <f t="shared" si="1"/>
        <v>120</v>
      </c>
    </row>
    <row r="44" spans="1:15" ht="75" x14ac:dyDescent="0.25">
      <c r="A44" s="62">
        <v>43</v>
      </c>
      <c r="B44" s="60" t="s">
        <v>131</v>
      </c>
      <c r="C44" s="60" t="s">
        <v>132</v>
      </c>
      <c r="D44" s="60" t="s">
        <v>130</v>
      </c>
      <c r="E44" s="60" t="s">
        <v>65</v>
      </c>
      <c r="F44" s="60"/>
      <c r="G44" s="62"/>
      <c r="H44" s="62"/>
      <c r="I44" s="62" t="str">
        <f>VLOOKUP(L44,'Complexity Breaddown'!A:C,2,FALSE)</f>
        <v>Complex</v>
      </c>
      <c r="J44" s="62">
        <f>($L44/0.45)*('Baseline v2'!$B$16/100)</f>
        <v>14</v>
      </c>
      <c r="K44" s="62">
        <f>($L44/0.45)*('Baseline v2'!$B$17/100)</f>
        <v>21</v>
      </c>
      <c r="L44" s="62">
        <v>63</v>
      </c>
      <c r="M44" s="62">
        <f>($L44/0.45)*('Baseline v2'!$B$19/100)</f>
        <v>28</v>
      </c>
      <c r="N44" s="62">
        <f>($L44/0.45)*('Baseline v2'!$B$20/100)</f>
        <v>14</v>
      </c>
      <c r="O44" s="62">
        <f t="shared" si="1"/>
        <v>140</v>
      </c>
    </row>
    <row r="45" spans="1:15" ht="135" x14ac:dyDescent="0.25">
      <c r="A45" s="62">
        <v>44</v>
      </c>
      <c r="B45" s="60" t="s">
        <v>133</v>
      </c>
      <c r="C45" s="60" t="s">
        <v>134</v>
      </c>
      <c r="D45" s="60" t="s">
        <v>133</v>
      </c>
      <c r="E45" s="59" t="s">
        <v>59</v>
      </c>
      <c r="F45" s="59"/>
      <c r="G45" s="62"/>
      <c r="H45" s="62"/>
      <c r="I45" s="62" t="str">
        <f>VLOOKUP(L45,'Complexity Breaddown'!A:C,2,FALSE)</f>
        <v>Complex</v>
      </c>
      <c r="J45" s="62">
        <f>($L45/0.45)*('Baseline v2'!$B$16/100)</f>
        <v>14</v>
      </c>
      <c r="K45" s="62">
        <f>($L45/0.45)*('Baseline v2'!$B$17/100)</f>
        <v>21</v>
      </c>
      <c r="L45" s="62">
        <v>63</v>
      </c>
      <c r="M45" s="62">
        <f>($L45/0.45)*('Baseline v2'!$B$19/100)</f>
        <v>28</v>
      </c>
      <c r="N45" s="62">
        <f>($L45/0.45)*('Baseline v2'!$B$20/100)</f>
        <v>14</v>
      </c>
      <c r="O45" s="62">
        <f t="shared" si="1"/>
        <v>140</v>
      </c>
    </row>
    <row r="46" spans="1:15" x14ac:dyDescent="0.25">
      <c r="A46" s="62">
        <v>45</v>
      </c>
      <c r="B46" s="60" t="s">
        <v>133</v>
      </c>
      <c r="C46" s="60" t="s">
        <v>133</v>
      </c>
      <c r="D46" s="60" t="s">
        <v>135</v>
      </c>
      <c r="E46" s="59" t="s">
        <v>59</v>
      </c>
      <c r="F46" s="59"/>
      <c r="G46" s="62"/>
      <c r="H46" s="62"/>
      <c r="I46" s="62" t="str">
        <f>VLOOKUP(L46,'Complexity Breaddown'!A:C,2,FALSE)</f>
        <v>Simple</v>
      </c>
      <c r="J46" s="62">
        <f>($L46/0.45)*('Baseline v2'!$B$16/100)</f>
        <v>6</v>
      </c>
      <c r="K46" s="62">
        <f>($L46/0.45)*('Baseline v2'!$B$17/100)</f>
        <v>9</v>
      </c>
      <c r="L46" s="62">
        <v>27</v>
      </c>
      <c r="M46" s="62">
        <f>($L46/0.45)*('Baseline v2'!$B$19/100)</f>
        <v>12</v>
      </c>
      <c r="N46" s="62">
        <f>($L46/0.45)*('Baseline v2'!$B$20/100)</f>
        <v>6</v>
      </c>
      <c r="O46" s="62">
        <f t="shared" si="1"/>
        <v>60</v>
      </c>
    </row>
    <row r="47" spans="1:15" ht="45" x14ac:dyDescent="0.25">
      <c r="A47" s="62">
        <v>46</v>
      </c>
      <c r="B47" s="60" t="s">
        <v>136</v>
      </c>
      <c r="C47" s="60" t="s">
        <v>95</v>
      </c>
      <c r="D47" s="60" t="s">
        <v>137</v>
      </c>
      <c r="E47" s="59" t="s">
        <v>65</v>
      </c>
      <c r="F47" s="59"/>
      <c r="G47" s="62"/>
      <c r="H47" s="62"/>
      <c r="I47" s="62" t="str">
        <f>VLOOKUP(L47,'Complexity Breaddown'!A:C,2,FALSE)</f>
        <v>Simple</v>
      </c>
      <c r="J47" s="62">
        <f>($L47/0.45)*('Baseline v2'!$B$16/100)</f>
        <v>6</v>
      </c>
      <c r="K47" s="62">
        <f>($L47/0.45)*('Baseline v2'!$B$17/100)</f>
        <v>9</v>
      </c>
      <c r="L47" s="62">
        <v>27</v>
      </c>
      <c r="M47" s="62">
        <f>($L47/0.45)*('Baseline v2'!$B$19/100)</f>
        <v>12</v>
      </c>
      <c r="N47" s="62">
        <f>($L47/0.45)*('Baseline v2'!$B$20/100)</f>
        <v>6</v>
      </c>
      <c r="O47" s="62">
        <f t="shared" si="1"/>
        <v>60</v>
      </c>
    </row>
    <row r="48" spans="1:15" x14ac:dyDescent="0.25">
      <c r="A48" s="62">
        <v>47</v>
      </c>
      <c r="B48" s="60" t="s">
        <v>138</v>
      </c>
      <c r="C48" s="60" t="s">
        <v>73</v>
      </c>
      <c r="D48" s="60" t="s">
        <v>139</v>
      </c>
      <c r="E48" s="59" t="s">
        <v>59</v>
      </c>
      <c r="F48" s="59"/>
      <c r="G48" s="62"/>
      <c r="H48" s="62"/>
      <c r="I48" s="62" t="str">
        <f>VLOOKUP(L48,'Complexity Breaddown'!A:C,2,FALSE)</f>
        <v>Simple</v>
      </c>
      <c r="J48" s="62">
        <f>($L48/0.45)*('Baseline v2'!$B$16/100)</f>
        <v>6</v>
      </c>
      <c r="K48" s="62">
        <f>($L48/0.45)*('Baseline v2'!$B$17/100)</f>
        <v>9</v>
      </c>
      <c r="L48" s="62">
        <v>27</v>
      </c>
      <c r="M48" s="62">
        <f>($L48/0.45)*('Baseline v2'!$B$19/100)</f>
        <v>12</v>
      </c>
      <c r="N48" s="62">
        <f>($L48/0.45)*('Baseline v2'!$B$20/100)</f>
        <v>6</v>
      </c>
      <c r="O48" s="62">
        <f t="shared" si="1"/>
        <v>60</v>
      </c>
    </row>
    <row r="49" spans="1:16" x14ac:dyDescent="0.25">
      <c r="A49" s="62">
        <v>48</v>
      </c>
      <c r="B49" s="60" t="s">
        <v>138</v>
      </c>
      <c r="C49" s="60" t="s">
        <v>73</v>
      </c>
      <c r="D49" s="60" t="s">
        <v>140</v>
      </c>
      <c r="E49" s="59" t="s">
        <v>59</v>
      </c>
      <c r="F49" s="59"/>
      <c r="G49" s="62"/>
      <c r="H49" s="62"/>
      <c r="I49" s="62" t="str">
        <f>VLOOKUP(L49,'Complexity Breaddown'!A:C,2,FALSE)</f>
        <v>Simple</v>
      </c>
      <c r="J49" s="62">
        <f>($L49/0.45)*('Baseline v2'!$B$16/100)</f>
        <v>6</v>
      </c>
      <c r="K49" s="62">
        <f>($L49/0.45)*('Baseline v2'!$B$17/100)</f>
        <v>9</v>
      </c>
      <c r="L49" s="62">
        <v>27</v>
      </c>
      <c r="M49" s="62">
        <f>($L49/0.45)*('Baseline v2'!$B$19/100)</f>
        <v>12</v>
      </c>
      <c r="N49" s="62">
        <f>($L49/0.45)*('Baseline v2'!$B$20/100)</f>
        <v>6</v>
      </c>
      <c r="O49" s="62">
        <f t="shared" si="1"/>
        <v>60</v>
      </c>
    </row>
    <row r="50" spans="1:16" x14ac:dyDescent="0.25">
      <c r="A50" s="62">
        <v>49</v>
      </c>
      <c r="B50" s="60" t="s">
        <v>141</v>
      </c>
      <c r="C50" s="60" t="s">
        <v>130</v>
      </c>
      <c r="D50" s="60" t="s">
        <v>73</v>
      </c>
      <c r="E50" s="59" t="s">
        <v>65</v>
      </c>
      <c r="F50" s="59"/>
      <c r="G50" s="62"/>
      <c r="H50" s="62"/>
      <c r="I50" s="62" t="str">
        <f>VLOOKUP(L50,'Complexity Breaddown'!A:C,2,FALSE)</f>
        <v>Simple</v>
      </c>
      <c r="J50" s="62">
        <f>($L50/0.45)*('Baseline v2'!$B$16/100)</f>
        <v>6</v>
      </c>
      <c r="K50" s="62">
        <f>($L50/0.45)*('Baseline v2'!$B$17/100)</f>
        <v>9</v>
      </c>
      <c r="L50" s="62">
        <v>27</v>
      </c>
      <c r="M50" s="62">
        <f>($L50/0.45)*('Baseline v2'!$B$19/100)</f>
        <v>12</v>
      </c>
      <c r="N50" s="62">
        <f>($L50/0.45)*('Baseline v2'!$B$20/100)</f>
        <v>6</v>
      </c>
      <c r="O50" s="62">
        <f t="shared" si="1"/>
        <v>60</v>
      </c>
    </row>
    <row r="51" spans="1:16" ht="30" x14ac:dyDescent="0.25">
      <c r="A51" s="62">
        <v>50</v>
      </c>
      <c r="B51" s="60" t="s">
        <v>142</v>
      </c>
      <c r="C51" s="60" t="s">
        <v>143</v>
      </c>
      <c r="D51" s="60" t="s">
        <v>144</v>
      </c>
      <c r="E51" s="59" t="s">
        <v>145</v>
      </c>
      <c r="F51" s="59"/>
      <c r="G51" s="62"/>
      <c r="H51" s="62"/>
      <c r="I51" s="62" t="str">
        <f>VLOOKUP(L51,'Complexity Breaddown'!A:C,2,FALSE)</f>
        <v>Simple Medium</v>
      </c>
      <c r="J51" s="62">
        <f>($L51/0.45)*('Baseline v2'!$B$16/100)</f>
        <v>8</v>
      </c>
      <c r="K51" s="62">
        <f>($L51/0.45)*('Baseline v2'!$B$17/100)</f>
        <v>12</v>
      </c>
      <c r="L51" s="62">
        <v>36</v>
      </c>
      <c r="M51" s="62">
        <f>($L51/0.45)*('Baseline v2'!$B$19/100)</f>
        <v>16</v>
      </c>
      <c r="N51" s="62">
        <f>($L51/0.45)*('Baseline v2'!$B$20/100)</f>
        <v>8</v>
      </c>
      <c r="O51" s="62">
        <f t="shared" si="1"/>
        <v>80</v>
      </c>
    </row>
    <row r="52" spans="1:16" ht="30" x14ac:dyDescent="0.25">
      <c r="A52" s="62">
        <v>51</v>
      </c>
      <c r="B52" s="60" t="s">
        <v>146</v>
      </c>
      <c r="C52" s="60" t="s">
        <v>143</v>
      </c>
      <c r="D52" s="60" t="s">
        <v>147</v>
      </c>
      <c r="E52" s="59" t="s">
        <v>145</v>
      </c>
      <c r="F52" s="59"/>
      <c r="G52" s="62"/>
      <c r="H52" s="62"/>
      <c r="I52" s="62" t="str">
        <f>VLOOKUP(L52,'Complexity Breaddown'!A:C,2,FALSE)</f>
        <v>Simple Medium</v>
      </c>
      <c r="J52" s="62">
        <f>($L52/0.45)*('Baseline v2'!$B$16/100)</f>
        <v>8</v>
      </c>
      <c r="K52" s="62">
        <f>($L52/0.45)*('Baseline v2'!$B$17/100)</f>
        <v>12</v>
      </c>
      <c r="L52" s="62">
        <v>36</v>
      </c>
      <c r="M52" s="62">
        <f>($L52/0.45)*('Baseline v2'!$B$19/100)</f>
        <v>16</v>
      </c>
      <c r="N52" s="62">
        <f>($L52/0.45)*('Baseline v2'!$B$20/100)</f>
        <v>8</v>
      </c>
      <c r="O52" s="62">
        <f t="shared" si="1"/>
        <v>80</v>
      </c>
    </row>
    <row r="53" spans="1:16" ht="30" x14ac:dyDescent="0.25">
      <c r="A53" s="62">
        <v>52</v>
      </c>
      <c r="B53" s="60" t="s">
        <v>148</v>
      </c>
      <c r="C53" s="60" t="s">
        <v>143</v>
      </c>
      <c r="D53" s="60" t="s">
        <v>148</v>
      </c>
      <c r="E53" s="59" t="s">
        <v>145</v>
      </c>
      <c r="F53" s="59"/>
      <c r="G53" s="62"/>
      <c r="H53" s="62"/>
      <c r="I53" s="62" t="str">
        <f>VLOOKUP(L53,'Complexity Breaddown'!A:C,2,FALSE)</f>
        <v>Simple Medium</v>
      </c>
      <c r="J53" s="62">
        <f>($L53/0.45)*('Baseline v2'!$B$16/100)</f>
        <v>8</v>
      </c>
      <c r="K53" s="62">
        <f>($L53/0.45)*('Baseline v2'!$B$17/100)</f>
        <v>12</v>
      </c>
      <c r="L53" s="62">
        <v>36</v>
      </c>
      <c r="M53" s="62">
        <f>($L53/0.45)*('Baseline v2'!$B$19/100)</f>
        <v>16</v>
      </c>
      <c r="N53" s="62">
        <f>($L53/0.45)*('Baseline v2'!$B$20/100)</f>
        <v>8</v>
      </c>
      <c r="O53" s="62">
        <f t="shared" ref="O53" si="2">SUM(J53:N53)</f>
        <v>80</v>
      </c>
    </row>
    <row r="54" spans="1:16" x14ac:dyDescent="0.25">
      <c r="A54" s="62">
        <v>53</v>
      </c>
      <c r="B54" s="60" t="s">
        <v>149</v>
      </c>
      <c r="C54" s="60"/>
      <c r="D54" s="60"/>
      <c r="E54" s="59"/>
      <c r="F54" s="59"/>
      <c r="G54" s="62"/>
      <c r="H54" s="62"/>
      <c r="I54" s="62" t="str">
        <f>VLOOKUP(L54,'Complexity Breaddown'!A:C,2,FALSE)</f>
        <v>Complex</v>
      </c>
      <c r="J54" s="62">
        <f>($L54/0.45)*('Baseline v2'!$B$16/100)</f>
        <v>14</v>
      </c>
      <c r="K54" s="62">
        <f>($L54/0.45)*('Baseline v2'!$B$17/100)</f>
        <v>21</v>
      </c>
      <c r="L54" s="62">
        <v>63</v>
      </c>
      <c r="M54" s="62">
        <f>($L54/0.45)*('Baseline v2'!$B$19/100)</f>
        <v>28</v>
      </c>
      <c r="N54" s="62">
        <f>($L54/0.45)*('Baseline v2'!$B$20/100)</f>
        <v>14</v>
      </c>
      <c r="O54" s="62">
        <f t="shared" ref="O54:O55" si="3">SUM(J54:N54)</f>
        <v>140</v>
      </c>
    </row>
    <row r="55" spans="1:16" x14ac:dyDescent="0.25">
      <c r="A55" s="62">
        <v>54</v>
      </c>
      <c r="B55" s="60" t="s">
        <v>150</v>
      </c>
      <c r="C55" s="60"/>
      <c r="D55" s="60"/>
      <c r="E55" s="59"/>
      <c r="F55" s="59"/>
      <c r="G55" s="62"/>
      <c r="H55" s="62"/>
      <c r="I55" s="62" t="str">
        <f>VLOOKUP(L55,'Complexity Breaddown'!A:C,2,FALSE)</f>
        <v>Complex</v>
      </c>
      <c r="J55" s="62">
        <f>($L55/0.45)*('Baseline v2'!$B$16/100)</f>
        <v>14</v>
      </c>
      <c r="K55" s="62">
        <f>($L55/0.45)*('Baseline v2'!$B$17/100)</f>
        <v>21</v>
      </c>
      <c r="L55" s="62">
        <v>63</v>
      </c>
      <c r="M55" s="62">
        <f>($L55/0.45)*('Baseline v2'!$B$19/100)</f>
        <v>28</v>
      </c>
      <c r="N55" s="62">
        <f>($L55/0.45)*('Baseline v2'!$B$20/100)</f>
        <v>14</v>
      </c>
      <c r="O55" s="62">
        <f t="shared" si="3"/>
        <v>140</v>
      </c>
    </row>
    <row r="56" spans="1:16" x14ac:dyDescent="0.25">
      <c r="A56" s="62">
        <v>55</v>
      </c>
      <c r="B56" s="60" t="s">
        <v>151</v>
      </c>
      <c r="C56" s="60"/>
      <c r="D56" s="60"/>
      <c r="E56" s="59"/>
      <c r="F56" s="59"/>
      <c r="G56" s="62"/>
      <c r="H56" s="62"/>
      <c r="I56" s="62" t="str">
        <f>VLOOKUP(L56,'Complexity Breaddown'!A:C,2,FALSE)</f>
        <v>Complex</v>
      </c>
      <c r="J56" s="62">
        <f>($L56/0.45)*('Baseline v2'!$B$16/100)</f>
        <v>14</v>
      </c>
      <c r="K56" s="62">
        <f>($L56/0.45)*('Baseline v2'!$B$17/100)</f>
        <v>21</v>
      </c>
      <c r="L56" s="62">
        <v>63</v>
      </c>
      <c r="M56" s="62">
        <f>($L56/0.45)*('Baseline v2'!$B$19/100)</f>
        <v>28</v>
      </c>
      <c r="N56" s="62">
        <f>($L56/0.45)*('Baseline v2'!$B$20/100)</f>
        <v>14</v>
      </c>
      <c r="O56" s="62">
        <f t="shared" ref="O56:O57" si="4">SUM(J56:N56)</f>
        <v>140</v>
      </c>
    </row>
    <row r="57" spans="1:16" x14ac:dyDescent="0.25">
      <c r="A57" s="62">
        <v>56</v>
      </c>
      <c r="B57" s="60" t="s">
        <v>152</v>
      </c>
      <c r="C57" s="60"/>
      <c r="D57" s="60"/>
      <c r="E57" s="59"/>
      <c r="F57" s="59"/>
      <c r="G57" s="62"/>
      <c r="H57" s="62"/>
      <c r="I57" s="62" t="str">
        <f>VLOOKUP(L57,'Complexity Breaddown'!A:C,2,FALSE)</f>
        <v>Complex</v>
      </c>
      <c r="J57" s="62">
        <f>($L57/0.45)*('Baseline v2'!$B$16/100)</f>
        <v>14</v>
      </c>
      <c r="K57" s="62">
        <f>($L57/0.45)*('Baseline v2'!$B$17/100)</f>
        <v>21</v>
      </c>
      <c r="L57" s="62">
        <v>63</v>
      </c>
      <c r="M57" s="62">
        <f>($L57/0.45)*('Baseline v2'!$B$19/100)</f>
        <v>28</v>
      </c>
      <c r="N57" s="62">
        <f>($L57/0.45)*('Baseline v2'!$B$20/100)</f>
        <v>14</v>
      </c>
      <c r="O57" s="62">
        <f t="shared" si="4"/>
        <v>140</v>
      </c>
    </row>
    <row r="58" spans="1:16" x14ac:dyDescent="0.25">
      <c r="A58" s="62">
        <v>57</v>
      </c>
      <c r="B58" s="60" t="s">
        <v>153</v>
      </c>
      <c r="C58" s="60"/>
      <c r="D58" s="60"/>
      <c r="E58" s="59"/>
      <c r="F58" s="59"/>
      <c r="G58" s="62"/>
      <c r="H58" s="62"/>
      <c r="I58" s="62" t="str">
        <f>VLOOKUP(L58,'Complexity Breaddown'!A:C,2,FALSE)</f>
        <v>Complex</v>
      </c>
      <c r="J58" s="62">
        <f>($L58/0.45)*('Baseline v2'!$B$16/100)</f>
        <v>14</v>
      </c>
      <c r="K58" s="62">
        <f>($L58/0.45)*('Baseline v2'!$B$17/100)</f>
        <v>21</v>
      </c>
      <c r="L58" s="62">
        <v>63</v>
      </c>
      <c r="M58" s="62">
        <f>($L58/0.45)*('Baseline v2'!$B$19/100)</f>
        <v>28</v>
      </c>
      <c r="N58" s="62">
        <f>($L58/0.45)*('Baseline v2'!$B$20/100)</f>
        <v>14</v>
      </c>
      <c r="O58" s="62">
        <f t="shared" ref="O58:O59" si="5">SUM(J58:N58)</f>
        <v>140</v>
      </c>
    </row>
    <row r="59" spans="1:16" x14ac:dyDescent="0.25">
      <c r="A59" s="62">
        <v>58</v>
      </c>
      <c r="B59" s="60" t="s">
        <v>154</v>
      </c>
      <c r="C59" s="60"/>
      <c r="D59" s="60"/>
      <c r="E59" s="59"/>
      <c r="F59" s="59"/>
      <c r="G59" s="62"/>
      <c r="H59" s="62"/>
      <c r="I59" s="62" t="str">
        <f>VLOOKUP(L59,'Complexity Breaddown'!A:C,2,FALSE)</f>
        <v>Complex</v>
      </c>
      <c r="J59" s="62">
        <f>($L59/0.45)*('Baseline v2'!$B$16/100)</f>
        <v>14</v>
      </c>
      <c r="K59" s="62">
        <f>($L59/0.45)*('Baseline v2'!$B$17/100)</f>
        <v>21</v>
      </c>
      <c r="L59" s="62">
        <v>63</v>
      </c>
      <c r="M59" s="62">
        <f>($L59/0.45)*('Baseline v2'!$B$19/100)</f>
        <v>28</v>
      </c>
      <c r="N59" s="62">
        <f>($L59/0.45)*('Baseline v2'!$B$20/100)</f>
        <v>14</v>
      </c>
      <c r="O59" s="62">
        <f t="shared" si="5"/>
        <v>140</v>
      </c>
    </row>
    <row r="60" spans="1:16" x14ac:dyDescent="0.25">
      <c r="A60" s="62">
        <v>59</v>
      </c>
      <c r="B60" s="60" t="s">
        <v>155</v>
      </c>
      <c r="C60" s="60"/>
      <c r="D60" s="60"/>
      <c r="E60" s="59"/>
      <c r="F60" s="59"/>
      <c r="G60" s="62"/>
      <c r="H60" s="62"/>
      <c r="I60" s="62" t="str">
        <f>VLOOKUP(L60,'Complexity Breaddown'!A:C,2,FALSE)</f>
        <v>Complex</v>
      </c>
      <c r="J60" s="62">
        <f>($L60/0.45)*('Baseline v2'!$B$16/100)</f>
        <v>14</v>
      </c>
      <c r="K60" s="62">
        <f>($L60/0.45)*('Baseline v2'!$B$17/100)</f>
        <v>21</v>
      </c>
      <c r="L60" s="62">
        <v>63</v>
      </c>
      <c r="M60" s="62">
        <f>($L60/0.45)*('Baseline v2'!$B$19/100)</f>
        <v>28</v>
      </c>
      <c r="N60" s="62">
        <f>($L60/0.45)*('Baseline v2'!$B$20/100)</f>
        <v>14</v>
      </c>
      <c r="O60" s="62">
        <f t="shared" si="1"/>
        <v>140</v>
      </c>
    </row>
    <row r="61" spans="1:16" x14ac:dyDescent="0.25">
      <c r="J61" s="34">
        <f>SUM(J2:J60)</f>
        <v>532</v>
      </c>
      <c r="K61" s="34">
        <f t="shared" ref="K61:O61" si="6">SUM(K2:K60)</f>
        <v>798</v>
      </c>
      <c r="L61" s="34">
        <f t="shared" si="6"/>
        <v>2394</v>
      </c>
      <c r="M61" s="34">
        <f t="shared" si="6"/>
        <v>1064</v>
      </c>
      <c r="N61" s="34">
        <f t="shared" si="6"/>
        <v>532</v>
      </c>
      <c r="O61" s="34">
        <f t="shared" si="6"/>
        <v>5320</v>
      </c>
      <c r="P61" s="34">
        <f>O61/160</f>
        <v>33.25</v>
      </c>
    </row>
  </sheetData>
  <autoFilter ref="A1:P61" xr:uid="{00000000-0009-0000-0000-000002000000}"/>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G24"/>
  <sheetViews>
    <sheetView workbookViewId="0">
      <selection activeCell="G26" sqref="G26"/>
    </sheetView>
  </sheetViews>
  <sheetFormatPr defaultColWidth="16.7109375" defaultRowHeight="15" x14ac:dyDescent="0.25"/>
  <cols>
    <col min="1" max="1" width="16.7109375" customWidth="1"/>
    <col min="2" max="2" width="37.42578125" bestFit="1" customWidth="1"/>
    <col min="3" max="3" width="10.7109375" bestFit="1" customWidth="1"/>
    <col min="4" max="4" width="11.42578125" bestFit="1" customWidth="1"/>
    <col min="6" max="6" width="18" bestFit="1" customWidth="1"/>
    <col min="7" max="7" width="13.42578125" bestFit="1" customWidth="1"/>
    <col min="10" max="10" width="15.7109375" bestFit="1" customWidth="1"/>
    <col min="11" max="11" width="11.42578125" bestFit="1" customWidth="1"/>
  </cols>
  <sheetData>
    <row r="2" spans="2:7" x14ac:dyDescent="0.25">
      <c r="F2" s="38" t="s">
        <v>156</v>
      </c>
      <c r="G2" s="40" t="s">
        <v>157</v>
      </c>
    </row>
    <row r="3" spans="2:7" x14ac:dyDescent="0.25">
      <c r="F3" t="s">
        <v>158</v>
      </c>
      <c r="G3" s="86">
        <v>38</v>
      </c>
    </row>
    <row r="4" spans="2:7" ht="15.75" thickBot="1" x14ac:dyDescent="0.3">
      <c r="F4" t="s">
        <v>159</v>
      </c>
      <c r="G4" s="86">
        <v>35</v>
      </c>
    </row>
    <row r="5" spans="2:7" ht="15.75" thickBot="1" x14ac:dyDescent="0.3">
      <c r="B5" s="17" t="s">
        <v>160</v>
      </c>
      <c r="F5" s="36" t="s">
        <v>161</v>
      </c>
      <c r="G5" s="86">
        <v>32</v>
      </c>
    </row>
    <row r="6" spans="2:7" ht="15.75" thickBot="1" x14ac:dyDescent="0.3">
      <c r="B6" s="17" t="s">
        <v>162</v>
      </c>
      <c r="C6" s="17" t="s">
        <v>163</v>
      </c>
      <c r="F6" s="36" t="s">
        <v>164</v>
      </c>
      <c r="G6" s="86">
        <v>40</v>
      </c>
    </row>
    <row r="7" spans="2:7" ht="15.75" thickBot="1" x14ac:dyDescent="0.3">
      <c r="B7" s="18" t="s">
        <v>165</v>
      </c>
      <c r="C7" s="19">
        <v>40</v>
      </c>
      <c r="F7" s="36" t="s">
        <v>166</v>
      </c>
      <c r="G7" s="86">
        <v>30</v>
      </c>
    </row>
    <row r="8" spans="2:7" ht="15.75" thickBot="1" x14ac:dyDescent="0.3">
      <c r="B8" s="23" t="s">
        <v>167</v>
      </c>
      <c r="C8" s="24">
        <v>40</v>
      </c>
    </row>
    <row r="9" spans="2:7" ht="15.75" thickBot="1" x14ac:dyDescent="0.3">
      <c r="B9" s="22" t="s">
        <v>168</v>
      </c>
      <c r="C9" s="26">
        <v>40</v>
      </c>
      <c r="F9" s="40" t="s">
        <v>169</v>
      </c>
      <c r="G9" s="40" t="s">
        <v>170</v>
      </c>
    </row>
    <row r="10" spans="2:7" x14ac:dyDescent="0.25">
      <c r="B10" s="22" t="s">
        <v>388</v>
      </c>
      <c r="C10" s="56">
        <v>180</v>
      </c>
      <c r="F10" s="36" t="s">
        <v>22</v>
      </c>
      <c r="G10" s="37">
        <f>G3*'Interface Details'!J61</f>
        <v>20216</v>
      </c>
    </row>
    <row r="11" spans="2:7" ht="15.75" thickBot="1" x14ac:dyDescent="0.3">
      <c r="B11" s="25" t="s">
        <v>171</v>
      </c>
      <c r="C11" s="55">
        <f>SUM(C7:C10)</f>
        <v>300</v>
      </c>
      <c r="D11" s="28" t="s">
        <v>172</v>
      </c>
      <c r="F11" s="36" t="s">
        <v>23</v>
      </c>
      <c r="G11" s="37">
        <f>G3*'Interface Details'!K61</f>
        <v>30324</v>
      </c>
    </row>
    <row r="12" spans="2:7" ht="15.75" thickBot="1" x14ac:dyDescent="0.3">
      <c r="F12" s="36" t="s">
        <v>173</v>
      </c>
      <c r="G12" s="37">
        <f>G5*'Interface Details'!L61</f>
        <v>76608</v>
      </c>
    </row>
    <row r="13" spans="2:7" ht="15.75" thickBot="1" x14ac:dyDescent="0.3">
      <c r="B13" s="17" t="s">
        <v>174</v>
      </c>
      <c r="F13" s="36" t="s">
        <v>175</v>
      </c>
      <c r="G13" s="37">
        <f>G7*'Interface Details'!M61</f>
        <v>31920</v>
      </c>
    </row>
    <row r="14" spans="2:7" ht="15.75" thickBot="1" x14ac:dyDescent="0.3">
      <c r="B14" s="23" t="s">
        <v>176</v>
      </c>
      <c r="C14" s="24">
        <f>'Interface Details'!O61</f>
        <v>5320</v>
      </c>
      <c r="F14" s="36" t="s">
        <v>177</v>
      </c>
      <c r="G14" s="37">
        <f>G5*C15</f>
        <v>17024</v>
      </c>
    </row>
    <row r="15" spans="2:7" ht="15.75" thickBot="1" x14ac:dyDescent="0.3">
      <c r="B15" s="22" t="s">
        <v>178</v>
      </c>
      <c r="C15" s="26">
        <f>C14*10%</f>
        <v>532</v>
      </c>
      <c r="F15" s="36" t="s">
        <v>179</v>
      </c>
      <c r="G15" s="37">
        <f>G3*C11</f>
        <v>11400</v>
      </c>
    </row>
    <row r="16" spans="2:7" ht="27" thickBot="1" x14ac:dyDescent="0.3">
      <c r="B16" s="25" t="s">
        <v>180</v>
      </c>
      <c r="C16" s="29">
        <f>SUM(C14:C15)</f>
        <v>5852</v>
      </c>
      <c r="D16" s="28" t="s">
        <v>181</v>
      </c>
      <c r="F16" s="57" t="s">
        <v>182</v>
      </c>
      <c r="G16" s="58">
        <v>0</v>
      </c>
    </row>
    <row r="17" spans="2:7" x14ac:dyDescent="0.25">
      <c r="F17" s="38"/>
      <c r="G17" s="39">
        <f>SUM(G10:G16)</f>
        <v>187492</v>
      </c>
    </row>
    <row r="18" spans="2:7" ht="15.75" thickBot="1" x14ac:dyDescent="0.3">
      <c r="F18" s="36" t="s">
        <v>183</v>
      </c>
      <c r="G18" s="37">
        <f>G6*'Interface Details'!N61</f>
        <v>21280</v>
      </c>
    </row>
    <row r="19" spans="2:7" ht="15.75" thickBot="1" x14ac:dyDescent="0.3">
      <c r="B19" s="20" t="s">
        <v>184</v>
      </c>
      <c r="F19" s="38" t="s">
        <v>41</v>
      </c>
      <c r="G19" s="39">
        <f>SUM(G17:G18)</f>
        <v>208772</v>
      </c>
    </row>
    <row r="20" spans="2:7" ht="24.75" customHeight="1" thickBot="1" x14ac:dyDescent="0.3">
      <c r="B20" s="22" t="s">
        <v>171</v>
      </c>
      <c r="C20" s="30">
        <f>C11</f>
        <v>300</v>
      </c>
      <c r="D20" s="28" t="s">
        <v>172</v>
      </c>
      <c r="F20" s="41" t="s">
        <v>185</v>
      </c>
      <c r="G20" s="42">
        <f>G19*0.1</f>
        <v>20877.2</v>
      </c>
    </row>
    <row r="21" spans="2:7" ht="30.75" thickBot="1" x14ac:dyDescent="0.3">
      <c r="B21" s="21" t="s">
        <v>180</v>
      </c>
      <c r="C21" s="29">
        <f>C16</f>
        <v>5852</v>
      </c>
      <c r="D21" s="28" t="s">
        <v>181</v>
      </c>
      <c r="F21" s="43" t="s">
        <v>186</v>
      </c>
      <c r="G21" s="44">
        <f>SUM(G19:G20)</f>
        <v>229649.2</v>
      </c>
    </row>
    <row r="22" spans="2:7" ht="15.75" thickBot="1" x14ac:dyDescent="0.3">
      <c r="B22" s="23" t="s">
        <v>187</v>
      </c>
      <c r="C22" s="33">
        <f>0.1*SUM(C20:C21)</f>
        <v>615.20000000000005</v>
      </c>
      <c r="D22" s="32" t="s">
        <v>188</v>
      </c>
    </row>
    <row r="23" spans="2:7" ht="15.75" thickBot="1" x14ac:dyDescent="0.3">
      <c r="B23" s="27" t="s">
        <v>189</v>
      </c>
      <c r="C23" s="31">
        <f>SUM(C21:C22)</f>
        <v>6467.2</v>
      </c>
      <c r="D23" s="13" t="s">
        <v>190</v>
      </c>
    </row>
    <row r="24" spans="2:7" ht="15.75" thickTop="1" x14ac:dyDescent="0.25"/>
  </sheetData>
  <pageMargins left="0.7" right="0.7" top="0.75" bottom="0.75" header="0.3" footer="0.3"/>
  <pageSetup orientation="portrait" horizontalDpi="4294967294" verticalDpi="4294967294"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4"/>
  <sheetViews>
    <sheetView tabSelected="1" topLeftCell="A10" zoomScale="90" zoomScaleNormal="90" workbookViewId="0">
      <selection activeCell="B12" sqref="B12"/>
    </sheetView>
  </sheetViews>
  <sheetFormatPr defaultRowHeight="15" x14ac:dyDescent="0.25"/>
  <cols>
    <col min="1" max="1" width="31.42578125" bestFit="1" customWidth="1"/>
    <col min="2" max="6" width="20.7109375" customWidth="1"/>
    <col min="7" max="8" width="26" customWidth="1"/>
    <col min="9" max="9" width="70.140625" customWidth="1"/>
    <col min="10" max="10" width="14.85546875" customWidth="1"/>
    <col min="11" max="11" width="14.5703125" customWidth="1"/>
    <col min="12" max="12" width="13.42578125" customWidth="1"/>
    <col min="13" max="13" width="13.85546875" customWidth="1"/>
  </cols>
  <sheetData>
    <row r="1" spans="1:8" x14ac:dyDescent="0.25">
      <c r="A1" t="s">
        <v>191</v>
      </c>
      <c r="B1" t="s">
        <v>192</v>
      </c>
    </row>
    <row r="2" spans="1:8" x14ac:dyDescent="0.25">
      <c r="A2" t="s">
        <v>193</v>
      </c>
      <c r="B2" s="66">
        <v>105</v>
      </c>
    </row>
    <row r="3" spans="1:8" x14ac:dyDescent="0.25">
      <c r="A3" t="s">
        <v>194</v>
      </c>
      <c r="B3" s="66">
        <v>35</v>
      </c>
    </row>
    <row r="4" spans="1:8" x14ac:dyDescent="0.25">
      <c r="A4" t="s">
        <v>159</v>
      </c>
      <c r="B4" s="66">
        <v>35</v>
      </c>
    </row>
    <row r="5" spans="1:8" x14ac:dyDescent="0.25">
      <c r="A5" t="s">
        <v>161</v>
      </c>
      <c r="B5" s="66">
        <v>30</v>
      </c>
    </row>
    <row r="8" spans="1:8" x14ac:dyDescent="0.25">
      <c r="A8" s="36" t="s">
        <v>195</v>
      </c>
      <c r="E8">
        <v>6</v>
      </c>
      <c r="G8">
        <v>4</v>
      </c>
    </row>
    <row r="9" spans="1:8" ht="15.75" x14ac:dyDescent="0.25">
      <c r="A9" s="218" t="s">
        <v>156</v>
      </c>
      <c r="B9" s="183" t="s">
        <v>196</v>
      </c>
      <c r="C9" s="183" t="s">
        <v>197</v>
      </c>
      <c r="D9" s="183" t="s">
        <v>198</v>
      </c>
      <c r="E9" s="183" t="s">
        <v>199</v>
      </c>
      <c r="F9" s="183" t="s">
        <v>200</v>
      </c>
      <c r="G9" s="220" t="s">
        <v>201</v>
      </c>
      <c r="H9" s="183" t="s">
        <v>202</v>
      </c>
    </row>
    <row r="10" spans="1:8" ht="15.75" x14ac:dyDescent="0.25">
      <c r="A10" s="219"/>
      <c r="B10" s="182" t="s">
        <v>203</v>
      </c>
      <c r="C10" s="182" t="s">
        <v>204</v>
      </c>
      <c r="D10" s="182" t="s">
        <v>205</v>
      </c>
      <c r="E10" s="182" t="s">
        <v>206</v>
      </c>
      <c r="F10" s="182" t="s">
        <v>207</v>
      </c>
      <c r="G10" s="219"/>
      <c r="H10" s="182" t="s">
        <v>207</v>
      </c>
    </row>
    <row r="11" spans="1:8" ht="15.75" x14ac:dyDescent="0.25">
      <c r="A11" s="70" t="s">
        <v>193</v>
      </c>
      <c r="B11" s="70">
        <v>115</v>
      </c>
      <c r="C11" s="79">
        <v>100</v>
      </c>
      <c r="D11" s="70">
        <v>40</v>
      </c>
      <c r="E11" s="70">
        <f>(D11*$E$8)*C11%</f>
        <v>240</v>
      </c>
      <c r="F11" s="70">
        <f>B11*E11</f>
        <v>27600</v>
      </c>
      <c r="G11" s="70">
        <f>(D11*$G$8)*C11%</f>
        <v>160</v>
      </c>
      <c r="H11" s="70">
        <f>B11*G11</f>
        <v>18400</v>
      </c>
    </row>
    <row r="12" spans="1:8" ht="15.75" x14ac:dyDescent="0.25">
      <c r="A12" s="36" t="s">
        <v>389</v>
      </c>
      <c r="B12" s="70">
        <v>95</v>
      </c>
      <c r="C12" s="79">
        <v>100</v>
      </c>
      <c r="D12" s="70">
        <v>40</v>
      </c>
      <c r="E12" s="70">
        <v>160</v>
      </c>
      <c r="F12" s="70">
        <f>B12*E12</f>
        <v>15200</v>
      </c>
      <c r="G12" s="70">
        <f>(D12*$G$8)*C12%</f>
        <v>160</v>
      </c>
      <c r="H12" s="70">
        <f>B12*G12</f>
        <v>15200</v>
      </c>
    </row>
    <row r="13" spans="1:8" ht="15.75" x14ac:dyDescent="0.25">
      <c r="A13" s="71" t="s">
        <v>194</v>
      </c>
      <c r="B13" s="71">
        <v>33</v>
      </c>
      <c r="C13" s="80">
        <v>100</v>
      </c>
      <c r="D13" s="71">
        <v>45</v>
      </c>
      <c r="E13" s="71">
        <f>((D13*$E$8)*C13%)</f>
        <v>270</v>
      </c>
      <c r="F13" s="71">
        <f>B13*E13</f>
        <v>8910</v>
      </c>
      <c r="G13" s="71">
        <f>(D13*$G$8)*C13%</f>
        <v>180</v>
      </c>
      <c r="H13" s="71">
        <f>B13*G13</f>
        <v>5940</v>
      </c>
    </row>
    <row r="14" spans="1:8" x14ac:dyDescent="0.25">
      <c r="F14" s="256">
        <f>SUM(F11:F13)</f>
        <v>51710</v>
      </c>
      <c r="H14" s="73">
        <f>SUM(H11:H13)</f>
        <v>39540</v>
      </c>
    </row>
    <row r="16" spans="1:8" x14ac:dyDescent="0.25">
      <c r="H16" s="220" t="s">
        <v>208</v>
      </c>
    </row>
    <row r="17" spans="1:9" x14ac:dyDescent="0.25">
      <c r="H17" s="219"/>
    </row>
    <row r="18" spans="1:9" ht="17.25" x14ac:dyDescent="0.3">
      <c r="H18" s="68" t="s">
        <v>209</v>
      </c>
    </row>
    <row r="19" spans="1:9" ht="47.25" x14ac:dyDescent="0.25">
      <c r="H19" s="69" t="s">
        <v>210</v>
      </c>
    </row>
    <row r="21" spans="1:9" x14ac:dyDescent="0.25">
      <c r="A21" s="36" t="s">
        <v>211</v>
      </c>
      <c r="E21" s="66">
        <v>6</v>
      </c>
    </row>
    <row r="22" spans="1:9" ht="31.5" x14ac:dyDescent="0.25">
      <c r="A22" s="218" t="s">
        <v>156</v>
      </c>
      <c r="B22" s="183" t="s">
        <v>196</v>
      </c>
      <c r="C22" s="183" t="s">
        <v>197</v>
      </c>
      <c r="D22" s="183" t="s">
        <v>198</v>
      </c>
      <c r="E22" s="183" t="s">
        <v>212</v>
      </c>
      <c r="F22" s="183" t="s">
        <v>213</v>
      </c>
    </row>
    <row r="23" spans="1:9" ht="15.75" x14ac:dyDescent="0.25">
      <c r="A23" s="218"/>
      <c r="B23" s="182" t="s">
        <v>203</v>
      </c>
      <c r="C23" s="182" t="s">
        <v>204</v>
      </c>
      <c r="D23" s="182" t="s">
        <v>205</v>
      </c>
      <c r="E23" s="182" t="s">
        <v>206</v>
      </c>
      <c r="F23" s="182" t="s">
        <v>207</v>
      </c>
    </row>
    <row r="24" spans="1:9" ht="15.75" x14ac:dyDescent="0.25">
      <c r="A24" s="36" t="s">
        <v>193</v>
      </c>
      <c r="B24" s="74">
        <v>115</v>
      </c>
      <c r="C24" s="77">
        <v>50</v>
      </c>
      <c r="D24" s="67">
        <v>40</v>
      </c>
      <c r="E24" s="67">
        <f>(D24*$E$21)*C24%</f>
        <v>120</v>
      </c>
      <c r="F24" s="67">
        <f>B24*E24</f>
        <v>13800</v>
      </c>
    </row>
    <row r="25" spans="1:9" ht="15.75" x14ac:dyDescent="0.25">
      <c r="A25" s="36" t="s">
        <v>194</v>
      </c>
      <c r="B25" s="74">
        <v>33</v>
      </c>
      <c r="C25" s="78">
        <v>100</v>
      </c>
      <c r="D25" s="72">
        <v>45</v>
      </c>
      <c r="E25" s="67">
        <f t="shared" ref="E25:E27" si="0">(D25*$E$21)*C25%</f>
        <v>270</v>
      </c>
      <c r="F25" s="67">
        <f t="shared" ref="F25:F27" si="1">B25*E25</f>
        <v>8910</v>
      </c>
    </row>
    <row r="26" spans="1:9" ht="15.75" x14ac:dyDescent="0.25">
      <c r="A26" s="36" t="s">
        <v>389</v>
      </c>
      <c r="B26" s="74">
        <v>95</v>
      </c>
      <c r="C26" s="78">
        <v>100</v>
      </c>
      <c r="D26" s="72">
        <v>40</v>
      </c>
      <c r="E26" s="67">
        <f t="shared" ref="E26" si="2">(D26*$E$21)*C26%</f>
        <v>240</v>
      </c>
      <c r="F26" s="67">
        <f t="shared" ref="F26" si="3">B26*E26</f>
        <v>22800</v>
      </c>
    </row>
    <row r="27" spans="1:9" ht="15.75" x14ac:dyDescent="0.25">
      <c r="A27" s="36" t="s">
        <v>159</v>
      </c>
      <c r="B27" s="74">
        <v>30</v>
      </c>
      <c r="C27" s="78">
        <v>67</v>
      </c>
      <c r="D27" s="71">
        <v>45</v>
      </c>
      <c r="E27" s="74">
        <f t="shared" si="0"/>
        <v>180.9</v>
      </c>
      <c r="F27" s="67">
        <f t="shared" si="1"/>
        <v>5427</v>
      </c>
    </row>
    <row r="28" spans="1:9" ht="15.75" x14ac:dyDescent="0.25">
      <c r="F28" s="77">
        <f>SUM(F24:F27)</f>
        <v>50937</v>
      </c>
    </row>
    <row r="30" spans="1:9" x14ac:dyDescent="0.25">
      <c r="H30" s="220" t="s">
        <v>208</v>
      </c>
    </row>
    <row r="31" spans="1:9" x14ac:dyDescent="0.25">
      <c r="H31" s="219"/>
    </row>
    <row r="32" spans="1:9" ht="15.75" customHeight="1" x14ac:dyDescent="0.3">
      <c r="G32" s="64" t="s">
        <v>214</v>
      </c>
      <c r="H32" s="68">
        <v>13269</v>
      </c>
      <c r="I32" s="81" t="s">
        <v>215</v>
      </c>
    </row>
    <row r="33" spans="7:8" ht="17.25" x14ac:dyDescent="0.3">
      <c r="G33" s="64" t="s">
        <v>216</v>
      </c>
      <c r="H33" s="68">
        <v>26538</v>
      </c>
    </row>
    <row r="34" spans="7:8" ht="17.25" x14ac:dyDescent="0.3">
      <c r="G34" s="64" t="s">
        <v>217</v>
      </c>
      <c r="H34" s="75">
        <v>35384</v>
      </c>
    </row>
  </sheetData>
  <mergeCells count="5">
    <mergeCell ref="A9:A10"/>
    <mergeCell ref="G9:G10"/>
    <mergeCell ref="H16:H17"/>
    <mergeCell ref="A22:A23"/>
    <mergeCell ref="H30:H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58"/>
  <sheetViews>
    <sheetView topLeftCell="A40" zoomScale="90" zoomScaleNormal="90" workbookViewId="0">
      <selection activeCell="B44" activeCellId="5" sqref="K45:K55 I45:I55 G45:G55 E45:E55 C45:C55 B44:B54"/>
    </sheetView>
  </sheetViews>
  <sheetFormatPr defaultRowHeight="15" x14ac:dyDescent="0.25"/>
  <cols>
    <col min="1" max="1" width="29.85546875" bestFit="1" customWidth="1"/>
    <col min="2" max="5" width="9.140625" customWidth="1"/>
    <col min="8" max="8" width="8.7109375" customWidth="1"/>
    <col min="12" max="12" width="16.140625" bestFit="1" customWidth="1"/>
  </cols>
  <sheetData>
    <row r="1" spans="1:38" x14ac:dyDescent="0.25">
      <c r="A1" s="103" t="s">
        <v>191</v>
      </c>
      <c r="B1" s="103" t="s">
        <v>192</v>
      </c>
      <c r="G1" s="224" t="s">
        <v>218</v>
      </c>
      <c r="H1" s="112" t="s">
        <v>219</v>
      </c>
      <c r="I1" s="113"/>
    </row>
    <row r="2" spans="1:38" x14ac:dyDescent="0.25">
      <c r="A2" s="36" t="s">
        <v>193</v>
      </c>
      <c r="B2" s="57">
        <v>115</v>
      </c>
      <c r="G2" s="225"/>
      <c r="H2" s="107" t="s">
        <v>220</v>
      </c>
      <c r="I2" s="114"/>
    </row>
    <row r="3" spans="1:38" x14ac:dyDescent="0.25">
      <c r="A3" s="36" t="s">
        <v>194</v>
      </c>
      <c r="B3" s="57">
        <v>35</v>
      </c>
      <c r="G3" s="225"/>
      <c r="H3" s="108" t="s">
        <v>23</v>
      </c>
      <c r="I3" s="115"/>
    </row>
    <row r="4" spans="1:38" x14ac:dyDescent="0.25">
      <c r="A4" s="36" t="s">
        <v>159</v>
      </c>
      <c r="B4" s="57">
        <v>32</v>
      </c>
      <c r="G4" s="225"/>
      <c r="H4" s="109" t="s">
        <v>221</v>
      </c>
      <c r="I4" s="116"/>
    </row>
    <row r="5" spans="1:38" x14ac:dyDescent="0.25">
      <c r="A5" s="36" t="s">
        <v>161</v>
      </c>
      <c r="B5" s="57">
        <v>30</v>
      </c>
      <c r="G5" s="225"/>
      <c r="H5" s="110" t="s">
        <v>222</v>
      </c>
      <c r="I5" s="117"/>
    </row>
    <row r="6" spans="1:38" x14ac:dyDescent="0.25">
      <c r="A6" s="104" t="s">
        <v>166</v>
      </c>
      <c r="B6" s="57">
        <v>30</v>
      </c>
      <c r="G6" s="225"/>
      <c r="H6" s="111" t="s">
        <v>167</v>
      </c>
      <c r="I6" s="118"/>
    </row>
    <row r="7" spans="1:38" x14ac:dyDescent="0.25">
      <c r="A7" s="104" t="s">
        <v>223</v>
      </c>
      <c r="B7" s="57">
        <v>40</v>
      </c>
      <c r="G7" s="225"/>
      <c r="H7" s="36" t="s">
        <v>224</v>
      </c>
      <c r="I7" s="119"/>
    </row>
    <row r="8" spans="1:38" ht="15.75" thickBot="1" x14ac:dyDescent="0.3">
      <c r="A8" s="15"/>
      <c r="G8" s="226"/>
      <c r="H8" s="120" t="s">
        <v>225</v>
      </c>
      <c r="I8" s="121"/>
    </row>
    <row r="10" spans="1:38" x14ac:dyDescent="0.25">
      <c r="A10" s="87" t="s">
        <v>226</v>
      </c>
      <c r="C10" s="76"/>
      <c r="E10" s="34"/>
      <c r="F10" s="88"/>
      <c r="G10" s="88"/>
      <c r="H10" s="88"/>
      <c r="I10" s="88"/>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row>
    <row r="11" spans="1:38" ht="15.75" thickBot="1" x14ac:dyDescent="0.3">
      <c r="A11" s="89" t="s">
        <v>227</v>
      </c>
      <c r="C11" s="76"/>
      <c r="E11" s="34"/>
      <c r="F11" s="88"/>
      <c r="G11" s="88"/>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row>
    <row r="12" spans="1:38" ht="15.75" thickBot="1" x14ac:dyDescent="0.3">
      <c r="A12" s="90" t="s">
        <v>228</v>
      </c>
      <c r="B12" s="91"/>
      <c r="C12" s="227" t="s">
        <v>219</v>
      </c>
      <c r="D12" s="227"/>
      <c r="E12" s="227"/>
      <c r="F12" s="227"/>
      <c r="H12" s="223" t="s">
        <v>220</v>
      </c>
      <c r="I12" s="223"/>
      <c r="J12" s="223"/>
      <c r="K12" s="223"/>
      <c r="M12" s="223" t="s">
        <v>229</v>
      </c>
      <c r="N12" s="223"/>
      <c r="O12" s="223"/>
      <c r="P12" s="223"/>
      <c r="R12" s="223" t="s">
        <v>229</v>
      </c>
      <c r="S12" s="223"/>
      <c r="T12" s="223"/>
      <c r="U12" s="223"/>
      <c r="W12" s="223" t="s">
        <v>230</v>
      </c>
      <c r="X12" s="223"/>
      <c r="Y12" s="223"/>
      <c r="Z12" s="223"/>
      <c r="AA12" s="223"/>
      <c r="AB12" s="223"/>
      <c r="AC12" s="223"/>
      <c r="AD12" s="223"/>
      <c r="AF12" s="223" t="s">
        <v>231</v>
      </c>
      <c r="AG12" s="223"/>
      <c r="AH12" s="223"/>
      <c r="AI12" s="223"/>
    </row>
    <row r="13" spans="1:38" x14ac:dyDescent="0.25">
      <c r="A13" s="221" t="s">
        <v>232</v>
      </c>
      <c r="B13" s="222" t="s">
        <v>233</v>
      </c>
      <c r="C13" s="223" t="s">
        <v>234</v>
      </c>
      <c r="D13" s="223"/>
      <c r="E13" s="223"/>
      <c r="F13" s="223"/>
      <c r="H13" s="223" t="s">
        <v>235</v>
      </c>
      <c r="I13" s="223"/>
      <c r="J13" s="223"/>
      <c r="K13" s="223"/>
      <c r="M13" s="223" t="s">
        <v>236</v>
      </c>
      <c r="N13" s="223"/>
      <c r="O13" s="223"/>
      <c r="P13" s="223"/>
      <c r="R13" s="223" t="s">
        <v>237</v>
      </c>
      <c r="S13" s="223"/>
      <c r="T13" s="223"/>
      <c r="U13" s="223"/>
      <c r="W13" s="223" t="s">
        <v>238</v>
      </c>
      <c r="X13" s="223"/>
      <c r="Y13" s="223"/>
      <c r="Z13" s="223"/>
      <c r="AA13" s="223" t="s">
        <v>239</v>
      </c>
      <c r="AB13" s="223"/>
      <c r="AC13" s="223"/>
      <c r="AD13" s="223"/>
      <c r="AF13" s="223" t="s">
        <v>240</v>
      </c>
      <c r="AG13" s="223"/>
      <c r="AH13" s="223"/>
      <c r="AI13" s="223"/>
    </row>
    <row r="14" spans="1:38" x14ac:dyDescent="0.25">
      <c r="A14" s="221"/>
      <c r="B14" s="222"/>
      <c r="C14" s="92" t="s">
        <v>241</v>
      </c>
      <c r="D14" s="92" t="s">
        <v>242</v>
      </c>
      <c r="E14" s="92" t="s">
        <v>243</v>
      </c>
      <c r="F14" s="92" t="s">
        <v>244</v>
      </c>
      <c r="H14" s="92" t="s">
        <v>245</v>
      </c>
      <c r="I14" s="92" t="s">
        <v>246</v>
      </c>
      <c r="J14" s="92" t="s">
        <v>247</v>
      </c>
      <c r="K14" s="92" t="s">
        <v>248</v>
      </c>
      <c r="M14" s="105" t="s">
        <v>249</v>
      </c>
      <c r="N14" s="105" t="s">
        <v>250</v>
      </c>
      <c r="O14" s="105" t="s">
        <v>251</v>
      </c>
      <c r="P14" s="106" t="s">
        <v>252</v>
      </c>
      <c r="R14" s="105" t="s">
        <v>253</v>
      </c>
      <c r="S14" s="105" t="s">
        <v>254</v>
      </c>
      <c r="T14" s="105" t="s">
        <v>255</v>
      </c>
      <c r="U14" s="106" t="s">
        <v>256</v>
      </c>
      <c r="W14" s="92" t="s">
        <v>257</v>
      </c>
      <c r="X14" s="92" t="s">
        <v>258</v>
      </c>
      <c r="Y14" s="92" t="s">
        <v>259</v>
      </c>
      <c r="Z14" s="92" t="s">
        <v>260</v>
      </c>
      <c r="AA14" s="92" t="s">
        <v>261</v>
      </c>
      <c r="AB14" s="92" t="s">
        <v>262</v>
      </c>
      <c r="AC14" s="92" t="s">
        <v>263</v>
      </c>
      <c r="AD14" s="92" t="s">
        <v>264</v>
      </c>
      <c r="AF14" s="92" t="s">
        <v>265</v>
      </c>
      <c r="AG14" s="92" t="s">
        <v>266</v>
      </c>
      <c r="AH14" s="92" t="s">
        <v>267</v>
      </c>
      <c r="AI14" s="92" t="s">
        <v>268</v>
      </c>
    </row>
    <row r="15" spans="1:38" x14ac:dyDescent="0.25">
      <c r="A15" s="62" t="s">
        <v>223</v>
      </c>
      <c r="B15" s="62">
        <v>0</v>
      </c>
      <c r="C15" s="122"/>
      <c r="D15" s="122"/>
      <c r="E15" s="122"/>
      <c r="F15" s="122"/>
      <c r="G15" s="93">
        <f>SUM(C15:F15)</f>
        <v>0</v>
      </c>
      <c r="H15" s="124">
        <v>40</v>
      </c>
      <c r="I15" s="125">
        <v>40</v>
      </c>
      <c r="J15" s="125">
        <v>40</v>
      </c>
      <c r="K15" s="125">
        <v>40</v>
      </c>
      <c r="L15" s="93">
        <f>SUM(H15:K15)</f>
        <v>160</v>
      </c>
      <c r="M15" s="131">
        <v>20</v>
      </c>
      <c r="N15" s="131">
        <v>20</v>
      </c>
      <c r="O15" s="131">
        <v>20</v>
      </c>
      <c r="P15" s="131">
        <v>20</v>
      </c>
      <c r="Q15" s="93">
        <f>SUM(M15:P15)</f>
        <v>80</v>
      </c>
      <c r="R15" s="131">
        <v>10</v>
      </c>
      <c r="S15" s="131">
        <v>10</v>
      </c>
      <c r="T15" s="131">
        <v>10</v>
      </c>
      <c r="U15" s="131">
        <v>10</v>
      </c>
      <c r="V15" s="93">
        <f>SUM(R15:U15)</f>
        <v>40</v>
      </c>
      <c r="W15" s="131">
        <v>10</v>
      </c>
      <c r="X15" s="131">
        <v>10</v>
      </c>
      <c r="Y15" s="131">
        <v>10</v>
      </c>
      <c r="Z15" s="131">
        <v>10</v>
      </c>
      <c r="AA15" s="134">
        <v>10</v>
      </c>
      <c r="AB15" s="131">
        <v>10</v>
      </c>
      <c r="AC15" s="131">
        <v>10</v>
      </c>
      <c r="AD15" s="131">
        <v>10</v>
      </c>
      <c r="AE15" s="93">
        <f>SUM(W15:AD15)</f>
        <v>80</v>
      </c>
      <c r="AF15" s="131">
        <v>5</v>
      </c>
      <c r="AG15" s="131">
        <v>5</v>
      </c>
      <c r="AH15" s="131">
        <v>15</v>
      </c>
      <c r="AI15" s="131">
        <v>15</v>
      </c>
      <c r="AJ15" s="93">
        <f>SUM(AF15:AI15)</f>
        <v>40</v>
      </c>
    </row>
    <row r="16" spans="1:38" x14ac:dyDescent="0.25">
      <c r="A16" s="62" t="s">
        <v>193</v>
      </c>
      <c r="B16" s="62">
        <v>0</v>
      </c>
      <c r="C16" s="123">
        <v>40</v>
      </c>
      <c r="D16" s="123">
        <v>40</v>
      </c>
      <c r="E16" s="123">
        <v>40</v>
      </c>
      <c r="F16" s="123">
        <v>40</v>
      </c>
      <c r="G16" s="93">
        <f t="shared" ref="G16:G20" si="0">SUM(C16:F16)</f>
        <v>160</v>
      </c>
      <c r="H16" s="126">
        <v>40</v>
      </c>
      <c r="I16" s="127"/>
      <c r="J16" s="127"/>
      <c r="K16" s="127"/>
      <c r="L16" s="93">
        <f t="shared" ref="L16:L20" si="1">SUM(H16:K16)</f>
        <v>40</v>
      </c>
      <c r="M16" s="122"/>
      <c r="N16" s="122"/>
      <c r="O16" s="122"/>
      <c r="P16" s="122"/>
      <c r="Q16" s="93">
        <f t="shared" ref="Q16:Q20" si="2">SUM(M16:P16)</f>
        <v>0</v>
      </c>
      <c r="R16" s="122"/>
      <c r="S16" s="122"/>
      <c r="T16" s="122"/>
      <c r="U16" s="122"/>
      <c r="V16" s="93">
        <f t="shared" ref="V16:V20" si="3">SUM(R16:U16)</f>
        <v>0</v>
      </c>
      <c r="W16" s="122"/>
      <c r="X16" s="122"/>
      <c r="Y16" s="122"/>
      <c r="Z16" s="122"/>
      <c r="AA16" s="130"/>
      <c r="AB16" s="122"/>
      <c r="AC16" s="122"/>
      <c r="AD16" s="122"/>
      <c r="AE16" s="93">
        <f t="shared" ref="AE16:AE20" si="4">SUM(W16:AD16)</f>
        <v>0</v>
      </c>
      <c r="AF16" s="122"/>
      <c r="AG16" s="122"/>
      <c r="AH16" s="122"/>
      <c r="AI16" s="122"/>
      <c r="AJ16" s="93">
        <f t="shared" ref="AJ16:AJ20" si="5">SUM(AF16:AI16)</f>
        <v>0</v>
      </c>
    </row>
    <row r="17" spans="1:38" x14ac:dyDescent="0.25">
      <c r="A17" s="62" t="s">
        <v>194</v>
      </c>
      <c r="B17" s="62">
        <v>0</v>
      </c>
      <c r="C17" s="123">
        <v>45</v>
      </c>
      <c r="D17" s="123">
        <v>45</v>
      </c>
      <c r="E17" s="123">
        <v>45</v>
      </c>
      <c r="F17" s="123">
        <v>45</v>
      </c>
      <c r="G17" s="93">
        <f t="shared" si="0"/>
        <v>180</v>
      </c>
      <c r="H17" s="128">
        <v>45</v>
      </c>
      <c r="I17" s="129">
        <v>45</v>
      </c>
      <c r="J17" s="129">
        <v>45</v>
      </c>
      <c r="K17" s="129">
        <v>45</v>
      </c>
      <c r="L17" s="93">
        <f t="shared" si="1"/>
        <v>180</v>
      </c>
      <c r="M17" s="132">
        <v>45</v>
      </c>
      <c r="N17" s="132">
        <v>45</v>
      </c>
      <c r="O17" s="132">
        <v>45</v>
      </c>
      <c r="P17" s="132">
        <v>45</v>
      </c>
      <c r="Q17" s="93">
        <f t="shared" si="2"/>
        <v>180</v>
      </c>
      <c r="R17" s="132">
        <v>45</v>
      </c>
      <c r="S17" s="132">
        <v>45</v>
      </c>
      <c r="T17" s="132">
        <v>45</v>
      </c>
      <c r="U17" s="133">
        <v>45</v>
      </c>
      <c r="V17" s="93">
        <f t="shared" si="3"/>
        <v>180</v>
      </c>
      <c r="W17" s="133">
        <v>45</v>
      </c>
      <c r="X17" s="133">
        <v>45</v>
      </c>
      <c r="Y17" s="133">
        <v>45</v>
      </c>
      <c r="Z17" s="133">
        <v>45</v>
      </c>
      <c r="AA17" s="133">
        <v>45</v>
      </c>
      <c r="AB17" s="133">
        <v>45</v>
      </c>
      <c r="AC17" s="133">
        <v>45</v>
      </c>
      <c r="AD17" s="133">
        <v>45</v>
      </c>
      <c r="AE17" s="93">
        <f t="shared" si="4"/>
        <v>360</v>
      </c>
      <c r="AF17" s="138">
        <v>45</v>
      </c>
      <c r="AG17" s="138">
        <v>45</v>
      </c>
      <c r="AH17" s="138">
        <v>45</v>
      </c>
      <c r="AI17" s="122">
        <v>45</v>
      </c>
      <c r="AJ17" s="93">
        <f t="shared" si="5"/>
        <v>180</v>
      </c>
    </row>
    <row r="18" spans="1:38" x14ac:dyDescent="0.25">
      <c r="A18" s="62" t="s">
        <v>159</v>
      </c>
      <c r="B18" s="62">
        <v>0</v>
      </c>
      <c r="C18" s="122"/>
      <c r="D18" s="122"/>
      <c r="E18" s="122"/>
      <c r="F18" s="122"/>
      <c r="G18" s="93">
        <f t="shared" si="0"/>
        <v>0</v>
      </c>
      <c r="H18" s="128">
        <v>90</v>
      </c>
      <c r="I18" s="129">
        <v>90</v>
      </c>
      <c r="J18" s="129">
        <v>90</v>
      </c>
      <c r="K18" s="129">
        <v>90</v>
      </c>
      <c r="L18" s="93">
        <f t="shared" si="1"/>
        <v>360</v>
      </c>
      <c r="M18" s="132">
        <v>90</v>
      </c>
      <c r="N18" s="132">
        <v>90</v>
      </c>
      <c r="O18" s="132">
        <v>90</v>
      </c>
      <c r="P18" s="132">
        <v>90</v>
      </c>
      <c r="Q18" s="93">
        <f t="shared" si="2"/>
        <v>360</v>
      </c>
      <c r="R18" s="132">
        <v>90</v>
      </c>
      <c r="S18" s="132">
        <v>90</v>
      </c>
      <c r="T18" s="132">
        <v>90</v>
      </c>
      <c r="U18" s="133">
        <v>90</v>
      </c>
      <c r="V18" s="93">
        <f t="shared" si="3"/>
        <v>360</v>
      </c>
      <c r="W18" s="133">
        <v>90</v>
      </c>
      <c r="X18" s="133">
        <v>90</v>
      </c>
      <c r="Y18" s="133">
        <v>90</v>
      </c>
      <c r="Z18" s="133">
        <v>90</v>
      </c>
      <c r="AA18" s="135">
        <v>90</v>
      </c>
      <c r="AB18" s="133">
        <v>90</v>
      </c>
      <c r="AC18" s="133">
        <v>90</v>
      </c>
      <c r="AD18" s="133">
        <v>90</v>
      </c>
      <c r="AE18" s="93">
        <f t="shared" si="4"/>
        <v>720</v>
      </c>
      <c r="AF18" s="138">
        <v>45</v>
      </c>
      <c r="AG18" s="138">
        <v>45</v>
      </c>
      <c r="AH18" s="138">
        <v>45</v>
      </c>
      <c r="AI18" s="138">
        <v>45</v>
      </c>
      <c r="AJ18" s="93">
        <f t="shared" si="5"/>
        <v>180</v>
      </c>
    </row>
    <row r="19" spans="1:38" x14ac:dyDescent="0.25">
      <c r="A19" s="62" t="s">
        <v>161</v>
      </c>
      <c r="B19" s="62">
        <v>0</v>
      </c>
      <c r="C19" s="122"/>
      <c r="D19" s="122"/>
      <c r="E19" s="122"/>
      <c r="F19" s="122"/>
      <c r="G19" s="93">
        <f t="shared" si="0"/>
        <v>0</v>
      </c>
      <c r="H19" s="130"/>
      <c r="I19" s="130"/>
      <c r="J19" s="130"/>
      <c r="K19" s="130"/>
      <c r="L19" s="93">
        <f t="shared" si="1"/>
        <v>0</v>
      </c>
      <c r="M19" s="122"/>
      <c r="N19" s="122"/>
      <c r="O19" s="133">
        <v>135</v>
      </c>
      <c r="P19" s="133">
        <v>135</v>
      </c>
      <c r="Q19" s="93">
        <f t="shared" si="2"/>
        <v>270</v>
      </c>
      <c r="R19" s="133">
        <v>135</v>
      </c>
      <c r="S19" s="133">
        <v>135</v>
      </c>
      <c r="T19" s="133">
        <v>135</v>
      </c>
      <c r="U19" s="133">
        <v>135</v>
      </c>
      <c r="V19" s="93">
        <f t="shared" si="3"/>
        <v>540</v>
      </c>
      <c r="W19" s="135">
        <v>135</v>
      </c>
      <c r="X19" s="135">
        <v>135</v>
      </c>
      <c r="Y19" s="135">
        <v>135</v>
      </c>
      <c r="Z19" s="135">
        <v>135</v>
      </c>
      <c r="AA19" s="135">
        <v>135</v>
      </c>
      <c r="AB19" s="135">
        <v>135</v>
      </c>
      <c r="AC19" s="135">
        <v>135</v>
      </c>
      <c r="AD19" s="135">
        <v>135</v>
      </c>
      <c r="AE19" s="93">
        <f t="shared" si="4"/>
        <v>1080</v>
      </c>
      <c r="AF19" s="139">
        <v>45</v>
      </c>
      <c r="AG19" s="139">
        <v>45</v>
      </c>
      <c r="AH19" s="139">
        <v>45</v>
      </c>
      <c r="AI19" s="139">
        <v>45</v>
      </c>
      <c r="AJ19" s="93">
        <f t="shared" si="5"/>
        <v>180</v>
      </c>
    </row>
    <row r="20" spans="1:38" x14ac:dyDescent="0.25">
      <c r="A20" s="62" t="s">
        <v>166</v>
      </c>
      <c r="B20" s="62">
        <v>0</v>
      </c>
      <c r="C20" s="122"/>
      <c r="D20" s="122"/>
      <c r="E20" s="122"/>
      <c r="F20" s="122"/>
      <c r="G20" s="93">
        <f t="shared" si="0"/>
        <v>0</v>
      </c>
      <c r="H20" s="130"/>
      <c r="I20" s="130"/>
      <c r="J20" s="130"/>
      <c r="K20" s="130"/>
      <c r="L20" s="93">
        <f t="shared" si="1"/>
        <v>0</v>
      </c>
      <c r="M20" s="122"/>
      <c r="N20" s="122"/>
      <c r="O20" s="122"/>
      <c r="P20" s="122"/>
      <c r="Q20" s="93">
        <f t="shared" si="2"/>
        <v>0</v>
      </c>
      <c r="R20" s="122"/>
      <c r="S20" s="136">
        <v>45</v>
      </c>
      <c r="T20" s="136">
        <v>45</v>
      </c>
      <c r="U20" s="136">
        <v>45</v>
      </c>
      <c r="V20" s="93">
        <f t="shared" si="3"/>
        <v>135</v>
      </c>
      <c r="W20" s="137">
        <v>90</v>
      </c>
      <c r="X20" s="137">
        <v>90</v>
      </c>
      <c r="Y20" s="137">
        <v>90</v>
      </c>
      <c r="Z20" s="137">
        <v>90</v>
      </c>
      <c r="AA20" s="137">
        <v>90</v>
      </c>
      <c r="AB20" s="137">
        <v>90</v>
      </c>
      <c r="AC20" s="137">
        <v>90</v>
      </c>
      <c r="AD20" s="137">
        <v>90</v>
      </c>
      <c r="AE20" s="93">
        <f t="shared" si="4"/>
        <v>720</v>
      </c>
      <c r="AF20" s="137">
        <v>90</v>
      </c>
      <c r="AG20" s="137">
        <v>45</v>
      </c>
      <c r="AH20" s="137">
        <v>45</v>
      </c>
      <c r="AI20" s="130"/>
      <c r="AJ20" s="93">
        <f t="shared" si="5"/>
        <v>180</v>
      </c>
    </row>
    <row r="21" spans="1:38" x14ac:dyDescent="0.25">
      <c r="C21" s="94">
        <f>SUM(C15:C20)</f>
        <v>85</v>
      </c>
      <c r="D21" s="94">
        <f t="shared" ref="D21:F21" si="6">SUM(D15:D20)</f>
        <v>85</v>
      </c>
      <c r="E21" s="94">
        <f t="shared" si="6"/>
        <v>85</v>
      </c>
      <c r="F21" s="94">
        <f t="shared" si="6"/>
        <v>85</v>
      </c>
      <c r="G21" s="35"/>
      <c r="H21" s="94">
        <f t="shared" ref="H21:K21" si="7">SUM(H15:H20)</f>
        <v>215</v>
      </c>
      <c r="I21" s="94">
        <f t="shared" si="7"/>
        <v>175</v>
      </c>
      <c r="J21" s="94">
        <f t="shared" si="7"/>
        <v>175</v>
      </c>
      <c r="K21" s="94">
        <f t="shared" si="7"/>
        <v>175</v>
      </c>
      <c r="L21" s="35"/>
      <c r="M21" s="35"/>
      <c r="N21" s="35"/>
      <c r="O21" s="35"/>
      <c r="P21" s="35"/>
      <c r="Q21" s="35"/>
      <c r="R21" s="35"/>
      <c r="S21" s="35"/>
      <c r="T21" s="35"/>
      <c r="U21" s="35"/>
      <c r="V21" s="35"/>
      <c r="W21" s="94">
        <f t="shared" ref="W21:AD21" si="8">SUM(W15:W20)</f>
        <v>370</v>
      </c>
      <c r="X21" s="94">
        <f t="shared" si="8"/>
        <v>370</v>
      </c>
      <c r="Y21" s="94">
        <f t="shared" si="8"/>
        <v>370</v>
      </c>
      <c r="Z21" s="94">
        <f t="shared" si="8"/>
        <v>370</v>
      </c>
      <c r="AA21" s="94">
        <f t="shared" si="8"/>
        <v>370</v>
      </c>
      <c r="AB21" s="94">
        <f t="shared" si="8"/>
        <v>370</v>
      </c>
      <c r="AC21" s="94">
        <f t="shared" si="8"/>
        <v>370</v>
      </c>
      <c r="AD21" s="94">
        <f t="shared" si="8"/>
        <v>370</v>
      </c>
      <c r="AE21" s="35"/>
      <c r="AF21" s="94">
        <f t="shared" ref="AF21:AI21" si="9">SUM(AF15:AF20)</f>
        <v>230</v>
      </c>
      <c r="AG21" s="94">
        <f t="shared" si="9"/>
        <v>185</v>
      </c>
      <c r="AH21" s="94">
        <f t="shared" si="9"/>
        <v>195</v>
      </c>
      <c r="AI21" s="94">
        <f t="shared" si="9"/>
        <v>150</v>
      </c>
      <c r="AJ21" s="35"/>
    </row>
    <row r="22" spans="1:38" x14ac:dyDescent="0.25">
      <c r="C22" s="76"/>
    </row>
    <row r="23" spans="1:38" x14ac:dyDescent="0.25">
      <c r="C23" s="76"/>
    </row>
    <row r="24" spans="1:38" ht="30" x14ac:dyDescent="0.25">
      <c r="A24" s="95"/>
      <c r="B24" s="95"/>
      <c r="C24" s="96" t="s">
        <v>219</v>
      </c>
      <c r="D24" s="96" t="s">
        <v>220</v>
      </c>
      <c r="E24" s="96" t="s">
        <v>269</v>
      </c>
      <c r="F24" s="96" t="s">
        <v>269</v>
      </c>
      <c r="G24" s="96" t="s">
        <v>270</v>
      </c>
      <c r="H24" s="96" t="s">
        <v>231</v>
      </c>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row>
    <row r="25" spans="1:38" ht="30" x14ac:dyDescent="0.25">
      <c r="A25" s="97" t="s">
        <v>156</v>
      </c>
      <c r="B25" s="96" t="s">
        <v>271</v>
      </c>
      <c r="C25" s="96" t="s">
        <v>234</v>
      </c>
      <c r="D25" s="97" t="s">
        <v>235</v>
      </c>
      <c r="E25" s="96" t="s">
        <v>236</v>
      </c>
      <c r="F25" s="97" t="s">
        <v>237</v>
      </c>
      <c r="G25" s="96" t="s">
        <v>272</v>
      </c>
      <c r="H25" s="140" t="s">
        <v>240</v>
      </c>
    </row>
    <row r="26" spans="1:38" x14ac:dyDescent="0.25">
      <c r="A26" s="62" t="s">
        <v>223</v>
      </c>
      <c r="B26" s="98">
        <f>VLOOKUP(A26,A2:B7,2,FALSE)</f>
        <v>40</v>
      </c>
      <c r="C26" s="99">
        <f>B26*G15</f>
        <v>0</v>
      </c>
      <c r="D26" s="98">
        <f>B26*L15</f>
        <v>6400</v>
      </c>
      <c r="E26" s="98">
        <f>B26*Q15</f>
        <v>3200</v>
      </c>
      <c r="F26" s="98">
        <f>B26*V15</f>
        <v>1600</v>
      </c>
      <c r="G26" s="98">
        <f>B26*AE15</f>
        <v>3200</v>
      </c>
      <c r="H26" s="37">
        <f>B26*AJ15</f>
        <v>1600</v>
      </c>
    </row>
    <row r="27" spans="1:38" x14ac:dyDescent="0.25">
      <c r="A27" s="62" t="s">
        <v>193</v>
      </c>
      <c r="B27" s="98">
        <f>VLOOKUP(A27,A2:B7,2,FALSE)</f>
        <v>115</v>
      </c>
      <c r="C27" s="99">
        <f t="shared" ref="C27:C31" si="10">B27*G16</f>
        <v>18400</v>
      </c>
      <c r="D27" s="98">
        <f t="shared" ref="D27:D31" si="11">B27*L16</f>
        <v>4600</v>
      </c>
      <c r="E27" s="98">
        <f t="shared" ref="E27:E31" si="12">B27*Q16</f>
        <v>0</v>
      </c>
      <c r="F27" s="98">
        <f t="shared" ref="F27:F31" si="13">B27*V16</f>
        <v>0</v>
      </c>
      <c r="G27" s="98">
        <f t="shared" ref="G27:G31" si="14">B27*AE16</f>
        <v>0</v>
      </c>
      <c r="H27" s="37">
        <f t="shared" ref="H27:H31" si="15">B27*AJ16</f>
        <v>0</v>
      </c>
    </row>
    <row r="28" spans="1:38" x14ac:dyDescent="0.25">
      <c r="A28" s="62" t="s">
        <v>194</v>
      </c>
      <c r="B28" s="98">
        <f t="shared" ref="B28:B31" si="16">VLOOKUP(A28,A3:B8,2,FALSE)</f>
        <v>35</v>
      </c>
      <c r="C28" s="99">
        <f t="shared" si="10"/>
        <v>6300</v>
      </c>
      <c r="D28" s="98">
        <f t="shared" si="11"/>
        <v>6300</v>
      </c>
      <c r="E28" s="98">
        <f t="shared" si="12"/>
        <v>6300</v>
      </c>
      <c r="F28" s="98">
        <f t="shared" si="13"/>
        <v>6300</v>
      </c>
      <c r="G28" s="98">
        <f t="shared" si="14"/>
        <v>12600</v>
      </c>
      <c r="H28" s="37">
        <f t="shared" si="15"/>
        <v>6300</v>
      </c>
    </row>
    <row r="29" spans="1:38" x14ac:dyDescent="0.25">
      <c r="A29" s="62" t="s">
        <v>159</v>
      </c>
      <c r="B29" s="98">
        <f t="shared" si="16"/>
        <v>32</v>
      </c>
      <c r="C29" s="99">
        <f t="shared" si="10"/>
        <v>0</v>
      </c>
      <c r="D29" s="98">
        <f t="shared" si="11"/>
        <v>11520</v>
      </c>
      <c r="E29" s="98">
        <f t="shared" si="12"/>
        <v>11520</v>
      </c>
      <c r="F29" s="98">
        <f t="shared" si="13"/>
        <v>11520</v>
      </c>
      <c r="G29" s="98">
        <f t="shared" si="14"/>
        <v>23040</v>
      </c>
      <c r="H29" s="37">
        <f t="shared" si="15"/>
        <v>5760</v>
      </c>
    </row>
    <row r="30" spans="1:38" x14ac:dyDescent="0.25">
      <c r="A30" s="62" t="s">
        <v>161</v>
      </c>
      <c r="B30" s="98">
        <f t="shared" si="16"/>
        <v>30</v>
      </c>
      <c r="C30" s="99">
        <f t="shared" si="10"/>
        <v>0</v>
      </c>
      <c r="D30" s="98">
        <f t="shared" si="11"/>
        <v>0</v>
      </c>
      <c r="E30" s="98">
        <f t="shared" si="12"/>
        <v>8100</v>
      </c>
      <c r="F30" s="98">
        <f t="shared" si="13"/>
        <v>16200</v>
      </c>
      <c r="G30" s="98">
        <f t="shared" si="14"/>
        <v>32400</v>
      </c>
      <c r="H30" s="37">
        <f t="shared" si="15"/>
        <v>5400</v>
      </c>
    </row>
    <row r="31" spans="1:38" ht="15.75" thickBot="1" x14ac:dyDescent="0.3">
      <c r="A31" s="62" t="s">
        <v>166</v>
      </c>
      <c r="B31" s="98">
        <f t="shared" si="16"/>
        <v>30</v>
      </c>
      <c r="C31" s="99">
        <f t="shared" si="10"/>
        <v>0</v>
      </c>
      <c r="D31" s="98">
        <f t="shared" si="11"/>
        <v>0</v>
      </c>
      <c r="E31" s="98">
        <f t="shared" si="12"/>
        <v>0</v>
      </c>
      <c r="F31" s="98">
        <f t="shared" si="13"/>
        <v>4050</v>
      </c>
      <c r="G31" s="98">
        <f t="shared" si="14"/>
        <v>21600</v>
      </c>
      <c r="H31" s="37">
        <f t="shared" si="15"/>
        <v>5400</v>
      </c>
      <c r="L31" t="s">
        <v>273</v>
      </c>
    </row>
    <row r="32" spans="1:38" ht="15.75" thickBot="1" x14ac:dyDescent="0.3">
      <c r="B32" s="100"/>
      <c r="C32" s="101">
        <f>SUM(C26:C31)</f>
        <v>24700</v>
      </c>
      <c r="D32" s="101">
        <f t="shared" ref="D32:H32" si="17">SUM(D26:D31)</f>
        <v>28820</v>
      </c>
      <c r="E32" s="101">
        <f t="shared" si="17"/>
        <v>29120</v>
      </c>
      <c r="F32" s="101">
        <f t="shared" si="17"/>
        <v>39670</v>
      </c>
      <c r="G32" s="101">
        <f t="shared" si="17"/>
        <v>92840</v>
      </c>
      <c r="H32" s="101">
        <f t="shared" si="17"/>
        <v>24460</v>
      </c>
      <c r="I32" s="101">
        <f>SUM(C32:H32)</f>
        <v>239610</v>
      </c>
      <c r="L32" s="102">
        <f>(I32*0.1)+I32</f>
        <v>263571</v>
      </c>
    </row>
    <row r="33" spans="1:13" x14ac:dyDescent="0.25">
      <c r="C33" s="76"/>
    </row>
    <row r="34" spans="1:13" x14ac:dyDescent="0.25">
      <c r="A34" s="144" t="s">
        <v>191</v>
      </c>
      <c r="B34" s="145" t="s">
        <v>192</v>
      </c>
      <c r="C34" s="146"/>
      <c r="D34" s="146"/>
      <c r="E34" s="146"/>
      <c r="F34" s="146"/>
      <c r="G34" s="146"/>
      <c r="H34" s="146"/>
      <c r="I34" s="146"/>
      <c r="J34" s="146"/>
      <c r="K34" s="146"/>
      <c r="L34" s="146"/>
      <c r="M34" s="146"/>
    </row>
    <row r="35" spans="1:13" x14ac:dyDescent="0.25">
      <c r="A35" s="147" t="s">
        <v>193</v>
      </c>
      <c r="B35" s="148">
        <v>115</v>
      </c>
      <c r="C35" s="146"/>
      <c r="D35" s="146"/>
      <c r="E35" s="146"/>
      <c r="F35" s="146"/>
      <c r="G35" s="146"/>
      <c r="H35" s="146"/>
      <c r="I35" s="146"/>
      <c r="J35" s="146"/>
      <c r="K35" s="146"/>
      <c r="L35" s="146"/>
      <c r="M35" s="146"/>
    </row>
    <row r="36" spans="1:13" x14ac:dyDescent="0.25">
      <c r="A36" s="147" t="s">
        <v>194</v>
      </c>
      <c r="B36" s="148">
        <v>38</v>
      </c>
      <c r="C36" s="146"/>
      <c r="D36" s="146"/>
      <c r="E36" s="146"/>
      <c r="F36" s="146"/>
      <c r="G36" s="146"/>
      <c r="H36" s="146"/>
      <c r="I36" s="146"/>
      <c r="J36" s="146"/>
      <c r="K36" s="146"/>
      <c r="L36" s="146"/>
      <c r="M36" s="146"/>
    </row>
    <row r="37" spans="1:13" x14ac:dyDescent="0.25">
      <c r="A37" s="147" t="s">
        <v>159</v>
      </c>
      <c r="B37" s="148">
        <v>35</v>
      </c>
      <c r="C37" s="146"/>
      <c r="D37" s="146"/>
      <c r="E37" s="146"/>
      <c r="F37" s="146"/>
      <c r="G37" s="146"/>
      <c r="H37" s="146"/>
      <c r="I37" s="146"/>
      <c r="J37" s="146"/>
      <c r="K37" s="146"/>
      <c r="L37" s="146"/>
      <c r="M37" s="146"/>
    </row>
    <row r="38" spans="1:13" x14ac:dyDescent="0.25">
      <c r="A38" s="147" t="s">
        <v>161</v>
      </c>
      <c r="B38" s="148">
        <v>30</v>
      </c>
      <c r="C38" s="146"/>
      <c r="D38" s="146"/>
      <c r="E38" s="146">
        <f>9600/320</f>
        <v>30</v>
      </c>
      <c r="F38" s="146"/>
      <c r="G38" s="146"/>
      <c r="H38" s="146"/>
      <c r="I38" s="146"/>
      <c r="J38" s="146"/>
      <c r="K38" s="146"/>
      <c r="L38" s="146"/>
      <c r="M38" s="146"/>
    </row>
    <row r="39" spans="1:13" x14ac:dyDescent="0.25">
      <c r="A39" s="147" t="s">
        <v>166</v>
      </c>
      <c r="B39" s="148">
        <v>30</v>
      </c>
      <c r="C39" s="146"/>
      <c r="D39" s="146"/>
      <c r="E39" s="146"/>
      <c r="F39" s="146"/>
      <c r="G39" s="146"/>
      <c r="H39" s="146"/>
      <c r="I39" s="146"/>
      <c r="J39" s="146"/>
      <c r="K39" s="146"/>
      <c r="L39" s="146"/>
      <c r="M39" s="146"/>
    </row>
    <row r="40" spans="1:13" x14ac:dyDescent="0.25">
      <c r="A40" s="149" t="s">
        <v>223</v>
      </c>
      <c r="B40" s="150">
        <v>40</v>
      </c>
      <c r="C40" s="146"/>
      <c r="D40" s="146"/>
      <c r="E40" s="146"/>
      <c r="F40" s="146"/>
      <c r="G40" s="146"/>
      <c r="H40" s="146"/>
      <c r="I40" s="146"/>
      <c r="J40" s="146"/>
      <c r="K40" s="146"/>
      <c r="L40" s="146"/>
      <c r="M40" s="146"/>
    </row>
    <row r="41" spans="1:13" x14ac:dyDescent="0.25">
      <c r="A41" s="151" t="s">
        <v>274</v>
      </c>
      <c r="B41" s="152" t="s">
        <v>274</v>
      </c>
      <c r="C41" s="153" t="s">
        <v>275</v>
      </c>
      <c r="D41" s="152" t="s">
        <v>274</v>
      </c>
      <c r="E41" s="153" t="s">
        <v>275</v>
      </c>
      <c r="F41" s="152" t="s">
        <v>274</v>
      </c>
      <c r="G41" s="153" t="s">
        <v>275</v>
      </c>
      <c r="H41" s="152" t="s">
        <v>274</v>
      </c>
      <c r="I41" s="153" t="s">
        <v>275</v>
      </c>
      <c r="J41" s="152" t="s">
        <v>274</v>
      </c>
      <c r="K41" s="153" t="s">
        <v>275</v>
      </c>
      <c r="L41" s="152" t="s">
        <v>274</v>
      </c>
      <c r="M41" s="146"/>
    </row>
    <row r="42" spans="1:13" x14ac:dyDescent="0.25">
      <c r="A42" s="154" t="s">
        <v>274</v>
      </c>
      <c r="B42" s="155" t="s">
        <v>276</v>
      </c>
      <c r="C42" s="146" t="s">
        <v>277</v>
      </c>
      <c r="D42" s="155" t="s">
        <v>196</v>
      </c>
      <c r="E42" s="146" t="s">
        <v>278</v>
      </c>
      <c r="F42" s="155" t="s">
        <v>196</v>
      </c>
      <c r="G42" s="146" t="s">
        <v>279</v>
      </c>
      <c r="H42" s="155" t="s">
        <v>196</v>
      </c>
      <c r="I42" s="146" t="s">
        <v>280</v>
      </c>
      <c r="J42" s="155" t="s">
        <v>196</v>
      </c>
      <c r="K42" s="146" t="s">
        <v>281</v>
      </c>
      <c r="L42" s="155" t="s">
        <v>196</v>
      </c>
      <c r="M42" s="146"/>
    </row>
    <row r="43" spans="1:13" x14ac:dyDescent="0.25">
      <c r="A43" s="156" t="s">
        <v>282</v>
      </c>
      <c r="B43" s="157" t="s">
        <v>274</v>
      </c>
      <c r="C43" s="158">
        <v>8</v>
      </c>
      <c r="D43" s="157" t="s">
        <v>274</v>
      </c>
      <c r="E43" s="158">
        <v>12</v>
      </c>
      <c r="F43" s="157" t="s">
        <v>274</v>
      </c>
      <c r="G43" s="158">
        <v>12</v>
      </c>
      <c r="H43" s="157" t="s">
        <v>274</v>
      </c>
      <c r="I43" s="158">
        <v>12</v>
      </c>
      <c r="J43" s="157" t="s">
        <v>274</v>
      </c>
      <c r="K43" s="158">
        <v>12</v>
      </c>
      <c r="L43" s="157" t="s">
        <v>274</v>
      </c>
      <c r="M43" s="146"/>
    </row>
    <row r="44" spans="1:13" x14ac:dyDescent="0.25">
      <c r="A44" s="154" t="s">
        <v>283</v>
      </c>
      <c r="B44" s="155">
        <v>80</v>
      </c>
      <c r="C44" s="146" t="s">
        <v>274</v>
      </c>
      <c r="D44" s="155" t="s">
        <v>274</v>
      </c>
      <c r="E44" s="146" t="s">
        <v>274</v>
      </c>
      <c r="F44" s="155" t="s">
        <v>274</v>
      </c>
      <c r="G44" s="146" t="s">
        <v>274</v>
      </c>
      <c r="H44" s="155" t="s">
        <v>274</v>
      </c>
      <c r="I44" s="146" t="s">
        <v>274</v>
      </c>
      <c r="J44" s="155" t="s">
        <v>274</v>
      </c>
      <c r="K44" s="146" t="s">
        <v>274</v>
      </c>
      <c r="L44" s="155" t="s">
        <v>274</v>
      </c>
      <c r="M44" s="146"/>
    </row>
    <row r="45" spans="1:13" x14ac:dyDescent="0.25">
      <c r="A45" s="154" t="s">
        <v>284</v>
      </c>
      <c r="B45" s="155" t="s">
        <v>274</v>
      </c>
      <c r="C45" s="146">
        <v>80</v>
      </c>
      <c r="D45" s="155">
        <v>9200</v>
      </c>
      <c r="E45" s="146">
        <v>80</v>
      </c>
      <c r="F45" s="155">
        <v>9200</v>
      </c>
      <c r="G45" s="146">
        <v>80</v>
      </c>
      <c r="H45" s="155">
        <v>9200</v>
      </c>
      <c r="I45" s="146">
        <v>80</v>
      </c>
      <c r="J45" s="155">
        <v>9200</v>
      </c>
      <c r="K45" s="146">
        <v>80</v>
      </c>
      <c r="L45" s="155">
        <v>9200</v>
      </c>
      <c r="M45" s="146"/>
    </row>
    <row r="46" spans="1:13" x14ac:dyDescent="0.25">
      <c r="A46" s="154" t="s">
        <v>285</v>
      </c>
      <c r="B46" s="155">
        <v>320</v>
      </c>
      <c r="C46" s="146" t="s">
        <v>274</v>
      </c>
      <c r="D46" s="155" t="s">
        <v>274</v>
      </c>
      <c r="E46" s="146" t="s">
        <v>274</v>
      </c>
      <c r="F46" s="155" t="s">
        <v>274</v>
      </c>
      <c r="G46" s="146" t="s">
        <v>274</v>
      </c>
      <c r="H46" s="155" t="s">
        <v>274</v>
      </c>
      <c r="I46" s="146" t="s">
        <v>274</v>
      </c>
      <c r="J46" s="155" t="s">
        <v>274</v>
      </c>
      <c r="K46" s="146" t="s">
        <v>274</v>
      </c>
      <c r="L46" s="155" t="s">
        <v>274</v>
      </c>
      <c r="M46" s="146"/>
    </row>
    <row r="47" spans="1:13" x14ac:dyDescent="0.25">
      <c r="A47" s="154" t="s">
        <v>286</v>
      </c>
      <c r="B47" s="155" t="s">
        <v>274</v>
      </c>
      <c r="C47" s="146">
        <v>320</v>
      </c>
      <c r="D47" s="155">
        <v>12160</v>
      </c>
      <c r="E47" s="146">
        <v>320</v>
      </c>
      <c r="F47" s="155">
        <v>12160</v>
      </c>
      <c r="G47" s="146">
        <v>320</v>
      </c>
      <c r="H47" s="155">
        <v>12160</v>
      </c>
      <c r="I47" s="146">
        <v>320</v>
      </c>
      <c r="J47" s="155">
        <v>12160</v>
      </c>
      <c r="K47" s="146">
        <v>320</v>
      </c>
      <c r="L47" s="155">
        <v>12160</v>
      </c>
      <c r="M47" s="146"/>
    </row>
    <row r="48" spans="1:13" x14ac:dyDescent="0.25">
      <c r="A48" s="154" t="s">
        <v>161</v>
      </c>
      <c r="B48" s="155">
        <v>320</v>
      </c>
      <c r="C48" s="146" t="s">
        <v>274</v>
      </c>
      <c r="D48" s="155" t="s">
        <v>274</v>
      </c>
      <c r="E48" s="146" t="s">
        <v>274</v>
      </c>
      <c r="F48" s="155" t="s">
        <v>274</v>
      </c>
      <c r="G48" s="146" t="s">
        <v>274</v>
      </c>
      <c r="H48" s="155" t="s">
        <v>274</v>
      </c>
      <c r="I48" s="146" t="s">
        <v>274</v>
      </c>
      <c r="J48" s="155" t="s">
        <v>274</v>
      </c>
      <c r="K48" s="146" t="s">
        <v>274</v>
      </c>
      <c r="L48" s="155" t="s">
        <v>274</v>
      </c>
      <c r="M48" s="146"/>
    </row>
    <row r="49" spans="1:13" x14ac:dyDescent="0.25">
      <c r="A49" s="154" t="s">
        <v>286</v>
      </c>
      <c r="B49" s="155" t="s">
        <v>274</v>
      </c>
      <c r="C49" s="146">
        <v>500</v>
      </c>
      <c r="D49" s="155">
        <f>C49*B38</f>
        <v>15000</v>
      </c>
      <c r="E49" s="146">
        <v>320</v>
      </c>
      <c r="F49" s="155">
        <v>9600</v>
      </c>
      <c r="G49" s="159">
        <v>320</v>
      </c>
      <c r="H49" s="155">
        <v>9600</v>
      </c>
      <c r="I49" s="146">
        <v>320</v>
      </c>
      <c r="J49" s="155">
        <v>9600</v>
      </c>
      <c r="K49" s="146">
        <v>320</v>
      </c>
      <c r="L49" s="155">
        <v>9600</v>
      </c>
      <c r="M49" s="146"/>
    </row>
    <row r="50" spans="1:13" x14ac:dyDescent="0.25">
      <c r="A50" s="154" t="s">
        <v>161</v>
      </c>
      <c r="B50" s="155">
        <v>320</v>
      </c>
      <c r="C50" s="146" t="s">
        <v>274</v>
      </c>
      <c r="D50" s="155" t="s">
        <v>274</v>
      </c>
      <c r="E50" s="146" t="s">
        <v>274</v>
      </c>
      <c r="F50" s="155" t="s">
        <v>274</v>
      </c>
      <c r="G50" s="146" t="s">
        <v>274</v>
      </c>
      <c r="H50" s="155" t="s">
        <v>274</v>
      </c>
      <c r="I50" s="146" t="s">
        <v>274</v>
      </c>
      <c r="J50" s="155" t="s">
        <v>274</v>
      </c>
      <c r="K50" s="146" t="s">
        <v>274</v>
      </c>
      <c r="L50" s="155" t="s">
        <v>274</v>
      </c>
      <c r="M50" s="146"/>
    </row>
    <row r="51" spans="1:13" x14ac:dyDescent="0.25">
      <c r="A51" s="154" t="s">
        <v>286</v>
      </c>
      <c r="B51" s="155" t="s">
        <v>274</v>
      </c>
      <c r="C51" s="146">
        <v>320</v>
      </c>
      <c r="D51" s="155">
        <v>9600</v>
      </c>
      <c r="E51" s="146">
        <v>320</v>
      </c>
      <c r="F51" s="155">
        <v>9600</v>
      </c>
      <c r="G51" s="146">
        <v>320</v>
      </c>
      <c r="H51" s="155">
        <v>9600</v>
      </c>
      <c r="I51" s="146">
        <v>320</v>
      </c>
      <c r="J51" s="155">
        <v>9600</v>
      </c>
      <c r="K51" s="146">
        <v>320</v>
      </c>
      <c r="L51" s="155">
        <v>9600</v>
      </c>
      <c r="M51" s="146"/>
    </row>
    <row r="52" spans="1:13" x14ac:dyDescent="0.25">
      <c r="A52" s="154" t="s">
        <v>166</v>
      </c>
      <c r="B52" s="155">
        <v>160</v>
      </c>
      <c r="C52" s="146" t="s">
        <v>274</v>
      </c>
      <c r="D52" s="155" t="s">
        <v>274</v>
      </c>
      <c r="E52" s="146" t="s">
        <v>274</v>
      </c>
      <c r="F52" s="155" t="s">
        <v>274</v>
      </c>
      <c r="G52" s="146" t="s">
        <v>274</v>
      </c>
      <c r="H52" s="155" t="s">
        <v>274</v>
      </c>
      <c r="I52" s="146" t="s">
        <v>274</v>
      </c>
      <c r="J52" s="155" t="s">
        <v>274</v>
      </c>
      <c r="K52" s="146" t="s">
        <v>274</v>
      </c>
      <c r="L52" s="155" t="s">
        <v>274</v>
      </c>
      <c r="M52" s="146"/>
    </row>
    <row r="53" spans="1:13" x14ac:dyDescent="0.25">
      <c r="A53" s="154" t="s">
        <v>286</v>
      </c>
      <c r="B53" s="155" t="s">
        <v>274</v>
      </c>
      <c r="C53" s="146">
        <v>320</v>
      </c>
      <c r="D53" s="155">
        <v>9600</v>
      </c>
      <c r="E53" s="146">
        <v>320</v>
      </c>
      <c r="F53" s="155">
        <v>9600</v>
      </c>
      <c r="G53" s="146">
        <v>320</v>
      </c>
      <c r="H53" s="155">
        <v>9600</v>
      </c>
      <c r="I53" s="146">
        <v>320</v>
      </c>
      <c r="J53" s="155">
        <v>9600</v>
      </c>
      <c r="K53" s="146">
        <v>320</v>
      </c>
      <c r="L53" s="155">
        <v>9600</v>
      </c>
      <c r="M53" s="146"/>
    </row>
    <row r="54" spans="1:13" x14ac:dyDescent="0.25">
      <c r="A54" s="154" t="s">
        <v>164</v>
      </c>
      <c r="B54" s="155">
        <v>80</v>
      </c>
      <c r="C54" s="146" t="s">
        <v>274</v>
      </c>
      <c r="D54" s="155" t="s">
        <v>274</v>
      </c>
      <c r="E54" s="146" t="s">
        <v>274</v>
      </c>
      <c r="F54" s="155" t="s">
        <v>274</v>
      </c>
      <c r="G54" s="146" t="s">
        <v>274</v>
      </c>
      <c r="H54" s="155" t="s">
        <v>274</v>
      </c>
      <c r="I54" s="146" t="s">
        <v>274</v>
      </c>
      <c r="J54" s="155" t="s">
        <v>274</v>
      </c>
      <c r="K54" s="146" t="s">
        <v>274</v>
      </c>
      <c r="L54" s="155" t="s">
        <v>274</v>
      </c>
      <c r="M54" s="146"/>
    </row>
    <row r="55" spans="1:13" x14ac:dyDescent="0.25">
      <c r="A55" s="156" t="s">
        <v>287</v>
      </c>
      <c r="B55" s="157" t="s">
        <v>274</v>
      </c>
      <c r="C55" s="158">
        <v>80</v>
      </c>
      <c r="D55" s="157">
        <v>3200</v>
      </c>
      <c r="E55" s="158">
        <v>80</v>
      </c>
      <c r="F55" s="157">
        <v>3200</v>
      </c>
      <c r="G55" s="158">
        <v>80</v>
      </c>
      <c r="H55" s="157">
        <v>3200</v>
      </c>
      <c r="I55" s="158">
        <v>80</v>
      </c>
      <c r="J55" s="157">
        <v>3200</v>
      </c>
      <c r="K55" s="158">
        <v>80</v>
      </c>
      <c r="L55" s="157">
        <v>3200</v>
      </c>
      <c r="M55" s="146"/>
    </row>
    <row r="56" spans="1:13" x14ac:dyDescent="0.25">
      <c r="A56" s="146"/>
      <c r="B56" s="146"/>
      <c r="C56" s="146"/>
      <c r="D56" s="146">
        <f>SUM(D45:D55)</f>
        <v>58760</v>
      </c>
      <c r="E56" s="146"/>
      <c r="F56" s="146">
        <v>53360</v>
      </c>
      <c r="G56" s="146"/>
      <c r="H56" s="146">
        <v>53360</v>
      </c>
      <c r="I56" s="146"/>
      <c r="J56" s="146">
        <v>53360</v>
      </c>
      <c r="K56" s="146"/>
      <c r="L56" s="146">
        <v>53360</v>
      </c>
      <c r="M56" s="146"/>
    </row>
    <row r="57" spans="1:13" x14ac:dyDescent="0.25">
      <c r="A57" s="146"/>
      <c r="B57" s="146"/>
      <c r="C57" s="146"/>
      <c r="D57" s="146"/>
      <c r="E57" s="146"/>
      <c r="F57" s="146"/>
      <c r="G57" s="146"/>
      <c r="H57" s="146"/>
      <c r="I57" s="146"/>
      <c r="J57" s="146"/>
      <c r="K57" s="146"/>
      <c r="L57" s="146"/>
      <c r="M57" s="146"/>
    </row>
    <row r="58" spans="1:13" x14ac:dyDescent="0.25">
      <c r="A58" s="146"/>
      <c r="B58" s="146"/>
      <c r="C58" s="146"/>
      <c r="D58" s="146"/>
      <c r="E58" s="146"/>
      <c r="F58" s="146"/>
      <c r="G58" s="146"/>
      <c r="H58" s="146"/>
      <c r="I58" s="146"/>
      <c r="J58" s="146"/>
      <c r="K58" s="146"/>
      <c r="L58" s="146"/>
      <c r="M58" s="146"/>
    </row>
  </sheetData>
  <mergeCells count="16">
    <mergeCell ref="AF13:AI13"/>
    <mergeCell ref="M12:P12"/>
    <mergeCell ref="M13:P13"/>
    <mergeCell ref="R12:U12"/>
    <mergeCell ref="R13:U13"/>
    <mergeCell ref="AA13:AD13"/>
    <mergeCell ref="G1:G8"/>
    <mergeCell ref="C12:F12"/>
    <mergeCell ref="H12:K12"/>
    <mergeCell ref="W12:AD12"/>
    <mergeCell ref="AF12:AI12"/>
    <mergeCell ref="A13:A14"/>
    <mergeCell ref="B13:B14"/>
    <mergeCell ref="C13:F13"/>
    <mergeCell ref="H13:K13"/>
    <mergeCell ref="W13:Z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7"/>
  <sheetViews>
    <sheetView workbookViewId="0">
      <selection activeCell="C20" sqref="C20:C26"/>
    </sheetView>
  </sheetViews>
  <sheetFormatPr defaultRowHeight="15" x14ac:dyDescent="0.25"/>
  <cols>
    <col min="1" max="1" width="42.28515625" style="76" customWidth="1"/>
    <col min="2" max="2" width="12" bestFit="1" customWidth="1"/>
    <col min="3" max="3" width="11" bestFit="1" customWidth="1"/>
    <col min="4" max="4" width="19.28515625" customWidth="1"/>
    <col min="5" max="10" width="11" bestFit="1" customWidth="1"/>
    <col min="11" max="11" width="12.42578125" bestFit="1" customWidth="1"/>
    <col min="12" max="12" width="19.140625" customWidth="1"/>
  </cols>
  <sheetData>
    <row r="1" spans="1:12" ht="21.75" thickBot="1" x14ac:dyDescent="0.4">
      <c r="A1" s="160" t="s">
        <v>288</v>
      </c>
      <c r="B1" s="161" t="s">
        <v>289</v>
      </c>
      <c r="C1" s="161" t="s">
        <v>290</v>
      </c>
      <c r="D1" s="161" t="s">
        <v>291</v>
      </c>
      <c r="E1" s="162" t="s">
        <v>292</v>
      </c>
      <c r="F1" s="163" t="s">
        <v>293</v>
      </c>
      <c r="G1" s="162" t="s">
        <v>294</v>
      </c>
      <c r="H1" s="164"/>
      <c r="I1" s="164"/>
      <c r="J1" s="164"/>
      <c r="K1" s="164"/>
      <c r="L1" s="164"/>
    </row>
    <row r="2" spans="1:12" ht="18.75" x14ac:dyDescent="0.3">
      <c r="A2" s="165" t="s">
        <v>295</v>
      </c>
      <c r="B2" s="229" t="s">
        <v>274</v>
      </c>
      <c r="C2" s="229"/>
      <c r="D2" s="166" t="s">
        <v>274</v>
      </c>
      <c r="E2" s="166" t="s">
        <v>274</v>
      </c>
      <c r="F2" s="166" t="s">
        <v>274</v>
      </c>
      <c r="G2" s="167" t="s">
        <v>274</v>
      </c>
      <c r="H2" s="164"/>
      <c r="I2" s="164"/>
      <c r="J2" s="164"/>
      <c r="K2" s="164"/>
      <c r="L2" s="164"/>
    </row>
    <row r="3" spans="1:12" ht="37.5" x14ac:dyDescent="0.3">
      <c r="A3" s="203" t="s">
        <v>296</v>
      </c>
      <c r="B3" s="229"/>
      <c r="C3" s="229"/>
      <c r="D3" s="168"/>
      <c r="E3" s="168"/>
      <c r="F3" s="168"/>
      <c r="G3" s="169"/>
    </row>
    <row r="4" spans="1:12" ht="18.75" x14ac:dyDescent="0.3">
      <c r="A4" s="165" t="s">
        <v>297</v>
      </c>
      <c r="B4" s="170" t="s">
        <v>274</v>
      </c>
      <c r="C4" s="168"/>
      <c r="D4" s="230" t="s">
        <v>274</v>
      </c>
      <c r="E4" s="171" t="s">
        <v>274</v>
      </c>
      <c r="F4" s="171"/>
      <c r="G4" s="172" t="s">
        <v>274</v>
      </c>
      <c r="H4" s="164"/>
      <c r="I4" s="164"/>
      <c r="J4" s="164"/>
      <c r="K4" s="164"/>
      <c r="L4" s="164"/>
    </row>
    <row r="5" spans="1:12" ht="18.75" x14ac:dyDescent="0.3">
      <c r="A5" s="203" t="s">
        <v>298</v>
      </c>
      <c r="B5" s="173"/>
      <c r="C5" s="168"/>
      <c r="D5" s="230"/>
      <c r="E5" s="168"/>
      <c r="G5" s="169"/>
    </row>
    <row r="6" spans="1:12" ht="18.75" x14ac:dyDescent="0.3">
      <c r="A6" s="165" t="s">
        <v>299</v>
      </c>
      <c r="B6" s="170" t="s">
        <v>274</v>
      </c>
      <c r="C6" s="168" t="s">
        <v>274</v>
      </c>
      <c r="D6" s="168"/>
      <c r="E6" s="228" t="s">
        <v>274</v>
      </c>
      <c r="F6" s="228"/>
      <c r="G6" s="172" t="s">
        <v>274</v>
      </c>
      <c r="H6" s="164"/>
      <c r="I6" s="164"/>
      <c r="J6" s="164"/>
      <c r="K6" s="164"/>
      <c r="L6" s="164"/>
    </row>
    <row r="7" spans="1:12" ht="18.75" x14ac:dyDescent="0.3">
      <c r="A7" s="203" t="s">
        <v>300</v>
      </c>
      <c r="B7" s="173"/>
      <c r="C7" s="168"/>
      <c r="D7" s="168"/>
      <c r="E7" s="228"/>
      <c r="F7" s="228"/>
      <c r="G7" s="172"/>
    </row>
    <row r="8" spans="1:12" ht="18.75" x14ac:dyDescent="0.3">
      <c r="A8" s="165" t="s">
        <v>301</v>
      </c>
      <c r="B8" s="170" t="s">
        <v>274</v>
      </c>
      <c r="C8" s="171" t="s">
        <v>274</v>
      </c>
      <c r="D8" s="168" t="s">
        <v>274</v>
      </c>
      <c r="E8" s="171" t="s">
        <v>274</v>
      </c>
      <c r="F8" s="168" t="s">
        <v>274</v>
      </c>
      <c r="G8" s="231" t="s">
        <v>274</v>
      </c>
      <c r="H8" s="164"/>
      <c r="I8" s="164"/>
      <c r="J8" s="164"/>
      <c r="K8" s="164"/>
      <c r="L8" s="164"/>
    </row>
    <row r="9" spans="1:12" ht="38.25" thickBot="1" x14ac:dyDescent="0.35">
      <c r="A9" s="204" t="s">
        <v>302</v>
      </c>
      <c r="B9" s="174"/>
      <c r="C9" s="175"/>
      <c r="D9" s="175"/>
      <c r="E9" s="141"/>
      <c r="F9" s="175"/>
      <c r="G9" s="232"/>
    </row>
    <row r="10" spans="1:12" ht="15.75" thickBot="1" x14ac:dyDescent="0.3">
      <c r="A10" s="205"/>
      <c r="B10" s="164"/>
      <c r="C10" s="164"/>
      <c r="D10" s="164"/>
      <c r="E10" s="164"/>
      <c r="F10" s="164"/>
      <c r="G10" s="164"/>
      <c r="H10" s="164"/>
      <c r="I10" s="164"/>
      <c r="J10" s="164"/>
      <c r="K10" s="164"/>
      <c r="L10" s="164"/>
    </row>
    <row r="11" spans="1:12" ht="21.75" thickBot="1" x14ac:dyDescent="0.4">
      <c r="A11" s="160" t="s">
        <v>303</v>
      </c>
      <c r="B11" s="176" t="s">
        <v>234</v>
      </c>
      <c r="C11" s="177" t="s">
        <v>235</v>
      </c>
      <c r="D11" s="177" t="s">
        <v>236</v>
      </c>
      <c r="E11" s="177" t="s">
        <v>237</v>
      </c>
      <c r="F11" s="177" t="s">
        <v>238</v>
      </c>
      <c r="G11" s="177" t="s">
        <v>239</v>
      </c>
      <c r="H11" s="177" t="s">
        <v>240</v>
      </c>
      <c r="I11" s="177" t="s">
        <v>304</v>
      </c>
      <c r="J11" s="177" t="s">
        <v>305</v>
      </c>
      <c r="K11" s="178" t="s">
        <v>306</v>
      </c>
      <c r="L11" s="164"/>
    </row>
    <row r="12" spans="1:12" ht="15" customHeight="1" x14ac:dyDescent="0.3">
      <c r="A12" s="179" t="s">
        <v>307</v>
      </c>
      <c r="B12" s="233" t="s">
        <v>308</v>
      </c>
      <c r="C12" s="234"/>
      <c r="D12" s="187" t="s">
        <v>274</v>
      </c>
      <c r="E12" s="187" t="s">
        <v>274</v>
      </c>
      <c r="F12" s="187" t="s">
        <v>274</v>
      </c>
      <c r="G12" s="187" t="s">
        <v>274</v>
      </c>
      <c r="H12" s="187"/>
      <c r="I12" s="187"/>
      <c r="J12" s="187"/>
      <c r="K12" s="188" t="s">
        <v>274</v>
      </c>
      <c r="L12" s="164"/>
    </row>
    <row r="13" spans="1:12" ht="15" customHeight="1" x14ac:dyDescent="0.3">
      <c r="A13" s="179" t="s">
        <v>309</v>
      </c>
      <c r="B13" s="189" t="s">
        <v>274</v>
      </c>
      <c r="C13" s="190"/>
      <c r="D13" s="235" t="s">
        <v>308</v>
      </c>
      <c r="E13" s="235"/>
      <c r="F13" s="191"/>
      <c r="G13" s="191"/>
      <c r="H13" s="191"/>
      <c r="I13" s="191"/>
      <c r="J13" s="191"/>
      <c r="K13" s="192" t="s">
        <v>274</v>
      </c>
      <c r="L13" s="164"/>
    </row>
    <row r="14" spans="1:12" ht="15" customHeight="1" x14ac:dyDescent="0.3">
      <c r="A14" s="179" t="s">
        <v>310</v>
      </c>
      <c r="B14" s="189" t="s">
        <v>274</v>
      </c>
      <c r="C14" s="190"/>
      <c r="D14" s="191"/>
      <c r="E14" s="191"/>
      <c r="F14" s="236" t="s">
        <v>308</v>
      </c>
      <c r="G14" s="236"/>
      <c r="H14" s="191"/>
      <c r="I14" s="191"/>
      <c r="J14" s="191"/>
      <c r="K14" s="192" t="s">
        <v>274</v>
      </c>
      <c r="L14" s="164"/>
    </row>
    <row r="15" spans="1:12" ht="15" customHeight="1" x14ac:dyDescent="0.3">
      <c r="A15" s="179" t="s">
        <v>311</v>
      </c>
      <c r="B15" s="189" t="s">
        <v>274</v>
      </c>
      <c r="C15" s="190"/>
      <c r="D15" s="191"/>
      <c r="E15" s="191"/>
      <c r="F15" s="191"/>
      <c r="G15" s="191"/>
      <c r="H15" s="237" t="s">
        <v>308</v>
      </c>
      <c r="I15" s="237"/>
      <c r="J15" s="146"/>
      <c r="K15" s="192" t="s">
        <v>274</v>
      </c>
      <c r="L15" s="164"/>
    </row>
    <row r="16" spans="1:12" ht="15" customHeight="1" thickBot="1" x14ac:dyDescent="0.35">
      <c r="A16" s="195" t="s">
        <v>312</v>
      </c>
      <c r="B16" s="193" t="s">
        <v>274</v>
      </c>
      <c r="C16" s="194" t="s">
        <v>274</v>
      </c>
      <c r="D16" s="175" t="s">
        <v>274</v>
      </c>
      <c r="E16" s="175" t="s">
        <v>274</v>
      </c>
      <c r="F16" s="175" t="s">
        <v>274</v>
      </c>
      <c r="G16" s="175" t="s">
        <v>274</v>
      </c>
      <c r="H16" s="175" t="s">
        <v>274</v>
      </c>
      <c r="I16" s="175" t="s">
        <v>274</v>
      </c>
      <c r="J16" s="238" t="s">
        <v>308</v>
      </c>
      <c r="K16" s="239"/>
      <c r="L16" s="164"/>
    </row>
    <row r="17" spans="1:12" x14ac:dyDescent="0.25">
      <c r="A17" s="205"/>
      <c r="B17" s="164"/>
      <c r="C17" s="164"/>
      <c r="D17" s="164"/>
      <c r="E17" s="164"/>
      <c r="F17" s="164"/>
      <c r="G17" s="164"/>
      <c r="H17" s="164"/>
      <c r="I17" s="164"/>
      <c r="J17" s="164"/>
      <c r="K17" s="164"/>
      <c r="L17" s="164"/>
    </row>
    <row r="18" spans="1:12" x14ac:dyDescent="0.25">
      <c r="A18" s="205"/>
      <c r="B18" s="164"/>
      <c r="C18" s="164"/>
      <c r="D18" s="164"/>
      <c r="E18" s="164"/>
      <c r="F18" s="164"/>
      <c r="G18" s="164"/>
      <c r="H18" s="164"/>
      <c r="I18" s="164"/>
      <c r="J18" s="164"/>
      <c r="K18" s="164"/>
      <c r="L18" s="164"/>
    </row>
    <row r="19" spans="1:12" ht="37.5" x14ac:dyDescent="0.3">
      <c r="A19" s="196" t="s">
        <v>191</v>
      </c>
      <c r="B19" s="181" t="s">
        <v>192</v>
      </c>
      <c r="C19" s="181" t="s">
        <v>313</v>
      </c>
      <c r="D19" s="181" t="s">
        <v>314</v>
      </c>
      <c r="E19" s="164"/>
      <c r="F19" s="180"/>
      <c r="G19" s="164"/>
      <c r="H19" s="164"/>
    </row>
    <row r="20" spans="1:12" ht="18.75" x14ac:dyDescent="0.3">
      <c r="A20" s="197" t="s">
        <v>193</v>
      </c>
      <c r="B20" s="198">
        <v>115</v>
      </c>
      <c r="C20" s="199">
        <v>400</v>
      </c>
      <c r="D20" s="198">
        <f t="shared" ref="D20:D26" si="0">C20*B20</f>
        <v>46000</v>
      </c>
      <c r="E20" s="164"/>
      <c r="F20" s="164"/>
      <c r="G20" s="164"/>
      <c r="H20" s="164"/>
    </row>
    <row r="21" spans="1:12" ht="18.75" x14ac:dyDescent="0.3">
      <c r="A21" s="197" t="s">
        <v>194</v>
      </c>
      <c r="B21" s="198">
        <v>33</v>
      </c>
      <c r="C21" s="199">
        <v>1600</v>
      </c>
      <c r="D21" s="198">
        <f t="shared" si="0"/>
        <v>52800</v>
      </c>
      <c r="E21" s="164"/>
      <c r="F21" s="164"/>
      <c r="G21" s="164"/>
      <c r="H21" s="164"/>
    </row>
    <row r="22" spans="1:12" ht="18.75" x14ac:dyDescent="0.3">
      <c r="A22" s="197" t="s">
        <v>161</v>
      </c>
      <c r="B22" s="198">
        <v>26</v>
      </c>
      <c r="C22" s="199">
        <v>3380</v>
      </c>
      <c r="D22" s="198">
        <f t="shared" si="0"/>
        <v>87880</v>
      </c>
      <c r="E22" s="164"/>
      <c r="F22" s="164"/>
      <c r="G22" s="164"/>
      <c r="H22" s="164"/>
    </row>
    <row r="23" spans="1:12" ht="18.75" x14ac:dyDescent="0.3">
      <c r="A23" s="197" t="s">
        <v>390</v>
      </c>
      <c r="B23" s="198">
        <v>95</v>
      </c>
      <c r="C23" s="199">
        <v>1600</v>
      </c>
      <c r="D23" s="198">
        <f>C23*B23</f>
        <v>152000</v>
      </c>
      <c r="E23" s="164"/>
      <c r="F23" s="164"/>
      <c r="G23" s="164"/>
      <c r="H23" s="164"/>
    </row>
    <row r="24" spans="1:12" ht="18.75" x14ac:dyDescent="0.3">
      <c r="A24" s="197" t="s">
        <v>391</v>
      </c>
      <c r="B24" s="198">
        <v>32</v>
      </c>
      <c r="C24" s="199">
        <v>1600</v>
      </c>
      <c r="D24" s="198">
        <f>C24*B24</f>
        <v>51200</v>
      </c>
      <c r="E24" s="164"/>
      <c r="F24" s="164"/>
      <c r="G24" s="164"/>
      <c r="H24" s="164"/>
    </row>
    <row r="25" spans="1:12" ht="18.75" x14ac:dyDescent="0.3">
      <c r="A25" s="197" t="s">
        <v>166</v>
      </c>
      <c r="B25" s="198">
        <v>30</v>
      </c>
      <c r="C25" s="199">
        <v>1600</v>
      </c>
      <c r="D25" s="198">
        <f t="shared" si="0"/>
        <v>48000</v>
      </c>
      <c r="E25" s="164"/>
      <c r="F25" s="164"/>
      <c r="G25" s="164"/>
      <c r="H25" s="164"/>
    </row>
    <row r="26" spans="1:12" ht="18.75" x14ac:dyDescent="0.3">
      <c r="A26" s="197" t="s">
        <v>223</v>
      </c>
      <c r="B26" s="198">
        <v>40</v>
      </c>
      <c r="C26" s="199">
        <v>400</v>
      </c>
      <c r="D26" s="198">
        <f t="shared" si="0"/>
        <v>16000</v>
      </c>
      <c r="E26" s="164"/>
      <c r="F26" s="164"/>
      <c r="G26" s="164"/>
      <c r="H26" s="164"/>
    </row>
    <row r="27" spans="1:12" ht="18.75" x14ac:dyDescent="0.3">
      <c r="A27" s="200"/>
      <c r="B27" s="200"/>
      <c r="C27" s="201" t="s">
        <v>41</v>
      </c>
      <c r="D27" s="202">
        <f>SUM(D20:D26)</f>
        <v>453880</v>
      </c>
      <c r="E27" s="164"/>
      <c r="F27" s="164"/>
      <c r="G27" s="164"/>
      <c r="H27" s="164"/>
    </row>
  </sheetData>
  <mergeCells count="9">
    <mergeCell ref="D13:E13"/>
    <mergeCell ref="F14:G14"/>
    <mergeCell ref="H15:I15"/>
    <mergeCell ref="J16:K16"/>
    <mergeCell ref="E6:F7"/>
    <mergeCell ref="B2:C3"/>
    <mergeCell ref="D4:D5"/>
    <mergeCell ref="G8:G9"/>
    <mergeCell ref="B12:C1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97"/>
  <sheetViews>
    <sheetView workbookViewId="0">
      <selection activeCell="K4" sqref="K4"/>
    </sheetView>
  </sheetViews>
  <sheetFormatPr defaultRowHeight="15" x14ac:dyDescent="0.25"/>
  <cols>
    <col min="1" max="1" width="9.42578125" bestFit="1" customWidth="1"/>
    <col min="2" max="2" width="56.5703125" bestFit="1" customWidth="1"/>
  </cols>
  <sheetData>
    <row r="1" spans="1:11" x14ac:dyDescent="0.25">
      <c r="B1" t="s">
        <v>315</v>
      </c>
    </row>
    <row r="2" spans="1:11" ht="52.5" customHeight="1" x14ac:dyDescent="0.25">
      <c r="A2" s="85" t="s">
        <v>169</v>
      </c>
      <c r="B2" s="85" t="s">
        <v>316</v>
      </c>
      <c r="C2" s="185" t="s">
        <v>317</v>
      </c>
      <c r="D2" s="185" t="s">
        <v>318</v>
      </c>
      <c r="E2" s="185" t="s">
        <v>319</v>
      </c>
      <c r="F2" s="185" t="s">
        <v>320</v>
      </c>
      <c r="G2" s="186" t="s">
        <v>321</v>
      </c>
      <c r="H2" s="186" t="s">
        <v>322</v>
      </c>
      <c r="I2" s="186" t="s">
        <v>323</v>
      </c>
      <c r="J2" s="184"/>
      <c r="K2" s="184"/>
    </row>
    <row r="3" spans="1:11" x14ac:dyDescent="0.25">
      <c r="A3" s="244" t="s">
        <v>324</v>
      </c>
      <c r="B3" s="84" t="s">
        <v>325</v>
      </c>
      <c r="C3" s="36" t="s">
        <v>326</v>
      </c>
      <c r="D3" s="36"/>
      <c r="E3" s="36" t="s">
        <v>326</v>
      </c>
      <c r="F3" s="36" t="s">
        <v>326</v>
      </c>
      <c r="G3" s="36"/>
      <c r="H3" s="36" t="s">
        <v>326</v>
      </c>
      <c r="I3" s="36"/>
      <c r="J3" s="15"/>
      <c r="K3" s="15"/>
    </row>
    <row r="4" spans="1:11" x14ac:dyDescent="0.25">
      <c r="A4" s="244"/>
      <c r="B4" s="84" t="s">
        <v>327</v>
      </c>
      <c r="C4" s="36" t="s">
        <v>326</v>
      </c>
      <c r="D4" s="36"/>
      <c r="E4" s="36" t="s">
        <v>326</v>
      </c>
      <c r="F4" s="36"/>
      <c r="G4" s="36"/>
      <c r="H4" s="36" t="s">
        <v>326</v>
      </c>
      <c r="I4" s="36"/>
      <c r="J4" s="15"/>
      <c r="K4" s="15"/>
    </row>
    <row r="5" spans="1:11" x14ac:dyDescent="0.25">
      <c r="A5" s="244"/>
      <c r="B5" s="84" t="s">
        <v>328</v>
      </c>
      <c r="C5" s="36"/>
      <c r="D5" s="36" t="s">
        <v>326</v>
      </c>
      <c r="E5" s="36" t="s">
        <v>326</v>
      </c>
      <c r="F5" s="36" t="s">
        <v>326</v>
      </c>
      <c r="G5" s="36"/>
      <c r="H5" s="36" t="s">
        <v>326</v>
      </c>
      <c r="I5" s="36" t="s">
        <v>326</v>
      </c>
      <c r="J5" s="15"/>
      <c r="K5" s="15"/>
    </row>
    <row r="6" spans="1:11" x14ac:dyDescent="0.25">
      <c r="A6" s="244"/>
      <c r="B6" s="84" t="s">
        <v>329</v>
      </c>
      <c r="C6" s="36"/>
      <c r="D6" s="36"/>
      <c r="E6" s="36"/>
      <c r="F6" s="36"/>
      <c r="G6" s="36"/>
      <c r="H6" s="36" t="s">
        <v>326</v>
      </c>
      <c r="I6" s="36" t="s">
        <v>326</v>
      </c>
      <c r="J6" s="15"/>
      <c r="K6" s="15"/>
    </row>
    <row r="7" spans="1:11" x14ac:dyDescent="0.25">
      <c r="A7" s="240" t="s">
        <v>330</v>
      </c>
      <c r="B7" s="84" t="s">
        <v>331</v>
      </c>
      <c r="C7" s="36"/>
      <c r="D7" s="36"/>
      <c r="E7" s="36"/>
      <c r="F7" s="36"/>
      <c r="G7" s="36"/>
      <c r="H7" s="36" t="s">
        <v>326</v>
      </c>
      <c r="I7" s="36"/>
      <c r="J7" s="15"/>
      <c r="K7" s="15"/>
    </row>
    <row r="8" spans="1:11" x14ac:dyDescent="0.25">
      <c r="A8" s="240"/>
      <c r="B8" s="84" t="s">
        <v>332</v>
      </c>
      <c r="C8" s="36"/>
      <c r="D8" s="36"/>
      <c r="E8" s="36"/>
      <c r="F8" s="36"/>
      <c r="G8" s="36"/>
      <c r="H8" s="36" t="s">
        <v>326</v>
      </c>
      <c r="I8" s="36" t="s">
        <v>326</v>
      </c>
      <c r="J8" s="15"/>
      <c r="K8" s="15"/>
    </row>
    <row r="9" spans="1:11" x14ac:dyDescent="0.25">
      <c r="A9" s="240"/>
      <c r="B9" s="84" t="s">
        <v>333</v>
      </c>
      <c r="C9" s="36"/>
      <c r="D9" s="36"/>
      <c r="E9" s="36"/>
      <c r="F9" s="36"/>
      <c r="G9" s="36"/>
      <c r="H9" s="36" t="s">
        <v>326</v>
      </c>
      <c r="I9" s="36" t="s">
        <v>326</v>
      </c>
      <c r="J9" s="15"/>
      <c r="K9" s="15"/>
    </row>
    <row r="10" spans="1:11" x14ac:dyDescent="0.25">
      <c r="A10" s="240"/>
      <c r="B10" s="84" t="s">
        <v>334</v>
      </c>
      <c r="C10" s="36"/>
      <c r="D10" s="36"/>
      <c r="E10" s="36"/>
      <c r="F10" s="36"/>
      <c r="G10" s="36"/>
      <c r="H10" s="36" t="s">
        <v>326</v>
      </c>
      <c r="I10" s="36" t="s">
        <v>326</v>
      </c>
      <c r="J10" s="15"/>
      <c r="K10" s="15"/>
    </row>
    <row r="11" spans="1:11" x14ac:dyDescent="0.25">
      <c r="A11" s="240"/>
      <c r="B11" s="84" t="s">
        <v>335</v>
      </c>
      <c r="C11" s="36"/>
      <c r="D11" s="36"/>
      <c r="E11" s="36"/>
      <c r="F11" s="36"/>
      <c r="G11" s="36"/>
      <c r="H11" s="36" t="s">
        <v>326</v>
      </c>
      <c r="I11" s="36" t="s">
        <v>326</v>
      </c>
      <c r="J11" s="15"/>
      <c r="K11" s="15"/>
    </row>
    <row r="12" spans="1:11" x14ac:dyDescent="0.25">
      <c r="A12" s="241" t="s">
        <v>301</v>
      </c>
      <c r="B12" s="84" t="s">
        <v>336</v>
      </c>
      <c r="C12" s="36" t="s">
        <v>326</v>
      </c>
      <c r="D12" s="36"/>
      <c r="E12" s="36"/>
      <c r="F12" s="36" t="s">
        <v>326</v>
      </c>
      <c r="G12" s="36"/>
      <c r="H12" s="36" t="s">
        <v>326</v>
      </c>
      <c r="I12" s="36"/>
      <c r="J12" s="15"/>
      <c r="K12" s="15"/>
    </row>
    <row r="13" spans="1:11" x14ac:dyDescent="0.25">
      <c r="A13" s="241"/>
      <c r="B13" s="84" t="s">
        <v>337</v>
      </c>
      <c r="C13" s="36" t="s">
        <v>326</v>
      </c>
      <c r="D13" s="36"/>
      <c r="E13" s="36"/>
      <c r="F13" s="36"/>
      <c r="G13" s="36"/>
      <c r="H13" s="36" t="s">
        <v>326</v>
      </c>
      <c r="I13" s="36"/>
      <c r="J13" s="15"/>
      <c r="K13" s="15"/>
    </row>
    <row r="14" spans="1:11" x14ac:dyDescent="0.25">
      <c r="A14" s="241"/>
      <c r="B14" s="84" t="s">
        <v>338</v>
      </c>
      <c r="C14" s="36"/>
      <c r="D14" s="36"/>
      <c r="E14" s="36"/>
      <c r="F14" s="36"/>
      <c r="G14" s="36"/>
      <c r="H14" s="36" t="s">
        <v>326</v>
      </c>
      <c r="I14" s="36" t="s">
        <v>326</v>
      </c>
      <c r="J14" s="15"/>
      <c r="K14" s="15"/>
    </row>
    <row r="15" spans="1:11" x14ac:dyDescent="0.25">
      <c r="A15" s="241"/>
      <c r="B15" s="84" t="s">
        <v>339</v>
      </c>
      <c r="C15" s="36"/>
      <c r="D15" s="36"/>
      <c r="E15" s="36"/>
      <c r="F15" s="36"/>
      <c r="G15" s="36"/>
      <c r="H15" s="36" t="s">
        <v>326</v>
      </c>
      <c r="I15" s="36" t="s">
        <v>326</v>
      </c>
      <c r="J15" s="15"/>
      <c r="K15" s="15"/>
    </row>
    <row r="16" spans="1:11" x14ac:dyDescent="0.25">
      <c r="A16" s="241"/>
      <c r="B16" s="84" t="s">
        <v>340</v>
      </c>
      <c r="C16" s="36"/>
      <c r="D16" s="36"/>
      <c r="E16" s="36"/>
      <c r="F16" s="36"/>
      <c r="G16" s="36"/>
      <c r="H16" s="36" t="s">
        <v>326</v>
      </c>
      <c r="I16" s="36" t="s">
        <v>326</v>
      </c>
      <c r="J16" s="15"/>
      <c r="K16" s="15"/>
    </row>
    <row r="17" spans="1:11" x14ac:dyDescent="0.25">
      <c r="A17" s="243" t="s">
        <v>299</v>
      </c>
      <c r="B17" s="84" t="s">
        <v>341</v>
      </c>
      <c r="C17" s="36"/>
      <c r="D17" s="36"/>
      <c r="E17" s="36"/>
      <c r="F17" s="36"/>
      <c r="G17" s="36"/>
      <c r="H17" s="36" t="s">
        <v>326</v>
      </c>
      <c r="I17" s="36"/>
      <c r="J17" s="15"/>
      <c r="K17" s="15"/>
    </row>
    <row r="18" spans="1:11" x14ac:dyDescent="0.25">
      <c r="A18" s="243"/>
      <c r="B18" s="84" t="s">
        <v>342</v>
      </c>
      <c r="C18" s="36"/>
      <c r="D18" s="36"/>
      <c r="E18" s="36"/>
      <c r="F18" s="36"/>
      <c r="G18" s="36"/>
      <c r="H18" s="36" t="s">
        <v>326</v>
      </c>
      <c r="I18" s="36" t="s">
        <v>326</v>
      </c>
      <c r="J18" s="15"/>
      <c r="K18" s="15"/>
    </row>
    <row r="19" spans="1:11" x14ac:dyDescent="0.25">
      <c r="A19" s="243"/>
      <c r="B19" s="84" t="s">
        <v>343</v>
      </c>
      <c r="C19" s="36"/>
      <c r="D19" s="36"/>
      <c r="E19" s="36"/>
      <c r="F19" s="36"/>
      <c r="G19" s="36"/>
      <c r="H19" s="36" t="s">
        <v>326</v>
      </c>
      <c r="I19" s="36" t="s">
        <v>326</v>
      </c>
      <c r="J19" s="15"/>
      <c r="K19" s="15"/>
    </row>
    <row r="20" spans="1:11" x14ac:dyDescent="0.25">
      <c r="A20" s="243"/>
      <c r="B20" s="84" t="s">
        <v>344</v>
      </c>
      <c r="C20" s="36"/>
      <c r="D20" s="36"/>
      <c r="E20" s="36"/>
      <c r="F20" s="36"/>
      <c r="G20" s="36"/>
      <c r="H20" s="36" t="s">
        <v>326</v>
      </c>
      <c r="I20" s="36" t="s">
        <v>326</v>
      </c>
      <c r="J20" s="15"/>
      <c r="K20" s="15"/>
    </row>
    <row r="21" spans="1:11" x14ac:dyDescent="0.25">
      <c r="A21" s="243"/>
      <c r="B21" s="84" t="s">
        <v>345</v>
      </c>
      <c r="C21" s="36" t="s">
        <v>326</v>
      </c>
      <c r="D21" s="36" t="s">
        <v>326</v>
      </c>
      <c r="E21" s="36" t="s">
        <v>326</v>
      </c>
      <c r="F21" s="36" t="s">
        <v>326</v>
      </c>
      <c r="G21" s="36" t="s">
        <v>326</v>
      </c>
      <c r="H21" s="36" t="s">
        <v>326</v>
      </c>
      <c r="I21" s="36" t="s">
        <v>326</v>
      </c>
      <c r="J21" s="15"/>
      <c r="K21" s="15"/>
    </row>
    <row r="29" spans="1:11" x14ac:dyDescent="0.25">
      <c r="B29" t="s">
        <v>346</v>
      </c>
    </row>
    <row r="30" spans="1:11" ht="60.75" x14ac:dyDescent="0.25">
      <c r="A30" s="85" t="s">
        <v>169</v>
      </c>
      <c r="B30" s="85" t="s">
        <v>316</v>
      </c>
      <c r="C30" s="82" t="s">
        <v>317</v>
      </c>
      <c r="D30" s="82" t="s">
        <v>318</v>
      </c>
      <c r="E30" s="82" t="s">
        <v>319</v>
      </c>
      <c r="F30" s="82" t="s">
        <v>320</v>
      </c>
      <c r="G30" s="83" t="s">
        <v>321</v>
      </c>
      <c r="H30" s="83" t="s">
        <v>347</v>
      </c>
      <c r="I30" s="83" t="s">
        <v>322</v>
      </c>
      <c r="J30" s="83" t="s">
        <v>348</v>
      </c>
      <c r="K30" s="184"/>
    </row>
    <row r="31" spans="1:11" x14ac:dyDescent="0.25">
      <c r="A31" s="244" t="s">
        <v>349</v>
      </c>
      <c r="B31" s="84" t="s">
        <v>350</v>
      </c>
      <c r="C31" s="36" t="s">
        <v>326</v>
      </c>
      <c r="D31" s="36" t="s">
        <v>326</v>
      </c>
      <c r="E31" s="36"/>
      <c r="F31" s="36"/>
      <c r="G31" s="36" t="s">
        <v>326</v>
      </c>
      <c r="H31" s="36" t="s">
        <v>326</v>
      </c>
      <c r="I31" s="36"/>
      <c r="J31" s="36"/>
      <c r="K31" s="15"/>
    </row>
    <row r="32" spans="1:11" x14ac:dyDescent="0.25">
      <c r="A32" s="244"/>
      <c r="B32" s="84" t="s">
        <v>351</v>
      </c>
      <c r="C32" s="36"/>
      <c r="D32" s="36" t="s">
        <v>326</v>
      </c>
      <c r="E32" s="36"/>
      <c r="F32" s="36" t="s">
        <v>326</v>
      </c>
      <c r="G32" s="36" t="s">
        <v>326</v>
      </c>
      <c r="H32" s="36" t="s">
        <v>326</v>
      </c>
      <c r="I32" s="36"/>
      <c r="J32" s="36"/>
      <c r="K32" s="15"/>
    </row>
    <row r="33" spans="1:11" x14ac:dyDescent="0.25">
      <c r="A33" s="244"/>
      <c r="B33" s="84" t="s">
        <v>352</v>
      </c>
      <c r="C33" s="36" t="s">
        <v>326</v>
      </c>
      <c r="D33" s="36" t="s">
        <v>326</v>
      </c>
      <c r="E33" s="36" t="s">
        <v>326</v>
      </c>
      <c r="F33" s="36" t="s">
        <v>326</v>
      </c>
      <c r="G33" s="36" t="s">
        <v>326</v>
      </c>
      <c r="H33" s="36" t="s">
        <v>326</v>
      </c>
      <c r="I33" s="36" t="s">
        <v>326</v>
      </c>
      <c r="J33" s="36" t="s">
        <v>326</v>
      </c>
      <c r="K33" s="15"/>
    </row>
    <row r="34" spans="1:11" x14ac:dyDescent="0.25">
      <c r="A34" s="244"/>
      <c r="B34" s="84" t="s">
        <v>353</v>
      </c>
      <c r="C34" s="36"/>
      <c r="D34" s="36" t="s">
        <v>326</v>
      </c>
      <c r="E34" s="36" t="s">
        <v>326</v>
      </c>
      <c r="F34" s="36" t="s">
        <v>326</v>
      </c>
      <c r="G34" s="36"/>
      <c r="H34" s="36" t="s">
        <v>326</v>
      </c>
      <c r="I34" s="36" t="s">
        <v>326</v>
      </c>
      <c r="J34" s="36"/>
      <c r="K34" s="15"/>
    </row>
    <row r="35" spans="1:11" x14ac:dyDescent="0.25">
      <c r="A35" s="240" t="s">
        <v>220</v>
      </c>
      <c r="B35" s="84" t="s">
        <v>354</v>
      </c>
      <c r="C35" s="36"/>
      <c r="D35" s="36" t="s">
        <v>326</v>
      </c>
      <c r="E35" s="36" t="s">
        <v>326</v>
      </c>
      <c r="F35" s="36"/>
      <c r="G35" s="36"/>
      <c r="H35" s="36" t="s">
        <v>326</v>
      </c>
      <c r="I35" s="36" t="s">
        <v>326</v>
      </c>
      <c r="J35" s="36"/>
      <c r="K35" s="15"/>
    </row>
    <row r="36" spans="1:11" x14ac:dyDescent="0.25">
      <c r="A36" s="240"/>
      <c r="B36" s="84" t="s">
        <v>355</v>
      </c>
      <c r="C36" s="36"/>
      <c r="D36" s="36" t="s">
        <v>326</v>
      </c>
      <c r="E36" s="36"/>
      <c r="F36" s="36"/>
      <c r="G36" s="36"/>
      <c r="H36" s="36" t="s">
        <v>326</v>
      </c>
      <c r="I36" s="36" t="s">
        <v>326</v>
      </c>
      <c r="J36" s="36"/>
      <c r="K36" s="15"/>
    </row>
    <row r="37" spans="1:11" x14ac:dyDescent="0.25">
      <c r="A37" s="240"/>
      <c r="B37" s="84" t="s">
        <v>356</v>
      </c>
      <c r="C37" s="36"/>
      <c r="D37" s="36" t="s">
        <v>326</v>
      </c>
      <c r="E37" s="36"/>
      <c r="F37" s="36"/>
      <c r="G37" s="36"/>
      <c r="H37" s="36" t="s">
        <v>326</v>
      </c>
      <c r="I37" s="36" t="s">
        <v>326</v>
      </c>
      <c r="J37" s="36"/>
      <c r="K37" s="15"/>
    </row>
    <row r="38" spans="1:11" x14ac:dyDescent="0.25">
      <c r="A38" s="240"/>
      <c r="B38" s="84" t="s">
        <v>357</v>
      </c>
      <c r="C38" s="36"/>
      <c r="D38" s="36" t="s">
        <v>326</v>
      </c>
      <c r="E38" s="36"/>
      <c r="F38" s="36"/>
      <c r="G38" s="36"/>
      <c r="H38" s="36" t="s">
        <v>326</v>
      </c>
      <c r="I38" s="36" t="s">
        <v>326</v>
      </c>
      <c r="J38" s="36"/>
      <c r="K38" s="15"/>
    </row>
    <row r="39" spans="1:11" x14ac:dyDescent="0.25">
      <c r="A39" s="240"/>
      <c r="B39" s="84" t="s">
        <v>358</v>
      </c>
      <c r="C39" s="36"/>
      <c r="D39" s="36"/>
      <c r="E39" s="36"/>
      <c r="F39" s="36"/>
      <c r="G39" s="36"/>
      <c r="H39" s="36" t="s">
        <v>326</v>
      </c>
      <c r="I39" s="36" t="s">
        <v>326</v>
      </c>
      <c r="J39" s="36"/>
      <c r="K39" s="15"/>
    </row>
    <row r="40" spans="1:11" x14ac:dyDescent="0.25">
      <c r="A40" s="240"/>
      <c r="B40" s="84" t="s">
        <v>359</v>
      </c>
      <c r="C40" s="36"/>
      <c r="D40" s="36"/>
      <c r="E40" s="36" t="s">
        <v>326</v>
      </c>
      <c r="F40" s="36"/>
      <c r="G40" s="36"/>
      <c r="H40" s="36" t="s">
        <v>326</v>
      </c>
      <c r="I40" s="36" t="s">
        <v>326</v>
      </c>
      <c r="J40" s="36"/>
      <c r="K40" s="15"/>
    </row>
    <row r="41" spans="1:11" x14ac:dyDescent="0.25">
      <c r="A41" s="240"/>
      <c r="B41" s="84" t="s">
        <v>360</v>
      </c>
      <c r="C41" s="36"/>
      <c r="D41" s="36" t="s">
        <v>326</v>
      </c>
      <c r="E41" s="36" t="s">
        <v>326</v>
      </c>
      <c r="F41" s="36"/>
      <c r="G41" s="36"/>
      <c r="H41" s="36" t="s">
        <v>326</v>
      </c>
      <c r="I41" s="36" t="s">
        <v>326</v>
      </c>
      <c r="J41" s="36"/>
      <c r="K41" s="15"/>
    </row>
    <row r="42" spans="1:11" x14ac:dyDescent="0.25">
      <c r="A42" s="241" t="s">
        <v>229</v>
      </c>
      <c r="B42" s="84" t="s">
        <v>361</v>
      </c>
      <c r="C42" s="36"/>
      <c r="D42" s="36"/>
      <c r="E42" s="36" t="s">
        <v>326</v>
      </c>
      <c r="F42" s="36"/>
      <c r="G42" s="36"/>
      <c r="H42" s="36" t="s">
        <v>326</v>
      </c>
      <c r="I42" s="36" t="s">
        <v>326</v>
      </c>
      <c r="J42" s="36"/>
      <c r="K42" s="15"/>
    </row>
    <row r="43" spans="1:11" x14ac:dyDescent="0.25">
      <c r="A43" s="241"/>
      <c r="B43" s="84" t="s">
        <v>362</v>
      </c>
      <c r="C43" s="36"/>
      <c r="D43" s="36"/>
      <c r="E43" s="36" t="s">
        <v>326</v>
      </c>
      <c r="F43" s="36"/>
      <c r="G43" s="36"/>
      <c r="H43" s="36"/>
      <c r="I43" s="36" t="s">
        <v>326</v>
      </c>
      <c r="J43" s="36"/>
      <c r="K43" s="15"/>
    </row>
    <row r="44" spans="1:11" x14ac:dyDescent="0.25">
      <c r="A44" s="241"/>
      <c r="B44" s="84" t="s">
        <v>363</v>
      </c>
      <c r="C44" s="36"/>
      <c r="D44" s="36"/>
      <c r="E44" s="36" t="s">
        <v>326</v>
      </c>
      <c r="F44" s="36"/>
      <c r="G44" s="36"/>
      <c r="H44" s="36"/>
      <c r="I44" s="36" t="s">
        <v>326</v>
      </c>
      <c r="J44" s="36"/>
      <c r="K44" s="15"/>
    </row>
    <row r="45" spans="1:11" x14ac:dyDescent="0.25">
      <c r="A45" s="241"/>
      <c r="B45" s="84" t="s">
        <v>364</v>
      </c>
      <c r="C45" s="36"/>
      <c r="D45" s="36"/>
      <c r="E45" s="36"/>
      <c r="F45" s="36"/>
      <c r="G45" s="36"/>
      <c r="H45" s="36" t="s">
        <v>326</v>
      </c>
      <c r="I45" s="36" t="s">
        <v>326</v>
      </c>
      <c r="J45" s="36" t="s">
        <v>326</v>
      </c>
      <c r="K45" s="15"/>
    </row>
    <row r="46" spans="1:11" x14ac:dyDescent="0.25">
      <c r="A46" s="241"/>
      <c r="B46" s="84" t="s">
        <v>365</v>
      </c>
      <c r="C46" s="36"/>
      <c r="D46" s="36"/>
      <c r="E46" s="36"/>
      <c r="F46" s="36"/>
      <c r="G46" s="36"/>
      <c r="H46" s="36" t="s">
        <v>326</v>
      </c>
      <c r="I46" s="36" t="s">
        <v>326</v>
      </c>
      <c r="J46" s="36" t="s">
        <v>326</v>
      </c>
      <c r="K46" s="15"/>
    </row>
    <row r="47" spans="1:11" x14ac:dyDescent="0.25">
      <c r="A47" s="241"/>
      <c r="B47" s="84" t="s">
        <v>366</v>
      </c>
      <c r="C47" s="36"/>
      <c r="D47" s="36"/>
      <c r="E47" s="36"/>
      <c r="F47" s="36"/>
      <c r="G47" s="36"/>
      <c r="H47" s="36"/>
      <c r="I47" s="36"/>
      <c r="J47" s="36" t="s">
        <v>326</v>
      </c>
      <c r="K47" s="15"/>
    </row>
    <row r="48" spans="1:11" x14ac:dyDescent="0.25">
      <c r="A48" s="242" t="s">
        <v>367</v>
      </c>
      <c r="B48" s="84" t="s">
        <v>368</v>
      </c>
      <c r="C48" s="36"/>
      <c r="D48" s="36"/>
      <c r="E48" s="36"/>
      <c r="F48" s="36"/>
      <c r="G48" s="36"/>
      <c r="H48" s="36"/>
      <c r="I48" s="36"/>
      <c r="J48" s="36"/>
      <c r="K48" s="15"/>
    </row>
    <row r="49" spans="1:11" x14ac:dyDescent="0.25">
      <c r="A49" s="242"/>
      <c r="B49" s="84" t="s">
        <v>367</v>
      </c>
      <c r="C49" s="36"/>
      <c r="D49" s="36"/>
      <c r="E49" s="36"/>
      <c r="F49" s="36"/>
      <c r="G49" s="36"/>
      <c r="H49" s="36"/>
      <c r="I49" s="36" t="s">
        <v>326</v>
      </c>
      <c r="J49" s="36"/>
      <c r="K49" s="15"/>
    </row>
    <row r="50" spans="1:11" x14ac:dyDescent="0.25">
      <c r="A50" s="242"/>
      <c r="B50" s="84" t="s">
        <v>369</v>
      </c>
      <c r="C50" s="36"/>
      <c r="D50" s="36"/>
      <c r="E50" s="36"/>
      <c r="F50" s="36"/>
      <c r="G50" s="36"/>
      <c r="H50" s="36"/>
      <c r="I50" s="36"/>
      <c r="J50" s="36"/>
      <c r="K50" s="15"/>
    </row>
    <row r="51" spans="1:11" x14ac:dyDescent="0.25">
      <c r="A51" s="242"/>
      <c r="B51" s="84" t="s">
        <v>370</v>
      </c>
      <c r="C51" s="36"/>
      <c r="D51" s="36"/>
      <c r="E51" s="36"/>
      <c r="F51" s="36"/>
      <c r="G51" s="36"/>
      <c r="H51" s="36"/>
      <c r="I51" s="36"/>
      <c r="J51" s="36" t="s">
        <v>326</v>
      </c>
      <c r="K51" s="15"/>
    </row>
    <row r="52" spans="1:11" x14ac:dyDescent="0.25">
      <c r="A52" s="242"/>
      <c r="B52" s="84" t="s">
        <v>371</v>
      </c>
      <c r="C52" s="36"/>
      <c r="D52" s="36"/>
      <c r="E52" s="36"/>
      <c r="F52" s="36" t="s">
        <v>326</v>
      </c>
      <c r="G52" s="36"/>
      <c r="H52" s="36"/>
      <c r="I52" s="36" t="s">
        <v>326</v>
      </c>
      <c r="J52" s="36" t="s">
        <v>326</v>
      </c>
      <c r="K52" s="15"/>
    </row>
    <row r="53" spans="1:11" x14ac:dyDescent="0.25">
      <c r="A53" s="243" t="s">
        <v>372</v>
      </c>
      <c r="B53" s="84" t="s">
        <v>373</v>
      </c>
      <c r="C53" s="36"/>
      <c r="D53" s="36"/>
      <c r="E53" s="36"/>
      <c r="F53" s="36" t="s">
        <v>326</v>
      </c>
      <c r="G53" s="36"/>
      <c r="H53" s="36"/>
      <c r="I53" s="36" t="s">
        <v>326</v>
      </c>
      <c r="J53" s="36" t="s">
        <v>326</v>
      </c>
      <c r="K53" s="15"/>
    </row>
    <row r="54" spans="1:11" x14ac:dyDescent="0.25">
      <c r="A54" s="243"/>
      <c r="B54" s="84" t="s">
        <v>374</v>
      </c>
      <c r="C54" s="36" t="s">
        <v>326</v>
      </c>
      <c r="D54" s="36"/>
      <c r="E54" s="36" t="s">
        <v>326</v>
      </c>
      <c r="F54" s="36" t="s">
        <v>326</v>
      </c>
      <c r="G54" s="36"/>
      <c r="H54" s="36"/>
      <c r="I54" s="36" t="s">
        <v>326</v>
      </c>
      <c r="J54" s="36" t="s">
        <v>326</v>
      </c>
      <c r="K54" s="15"/>
    </row>
    <row r="55" spans="1:11" x14ac:dyDescent="0.25">
      <c r="A55" s="243"/>
      <c r="B55" s="84" t="s">
        <v>375</v>
      </c>
      <c r="C55" s="36"/>
      <c r="D55" s="36"/>
      <c r="E55" s="36" t="s">
        <v>326</v>
      </c>
      <c r="F55" s="36"/>
      <c r="G55" s="36"/>
      <c r="H55" s="36"/>
      <c r="I55" s="36" t="s">
        <v>326</v>
      </c>
      <c r="J55" s="36" t="s">
        <v>326</v>
      </c>
      <c r="K55" s="15"/>
    </row>
    <row r="56" spans="1:11" x14ac:dyDescent="0.25">
      <c r="A56" s="243"/>
      <c r="B56" s="84" t="s">
        <v>345</v>
      </c>
      <c r="C56" s="36" t="s">
        <v>326</v>
      </c>
      <c r="D56" s="36" t="s">
        <v>326</v>
      </c>
      <c r="E56" s="36" t="s">
        <v>326</v>
      </c>
      <c r="F56" s="36" t="s">
        <v>326</v>
      </c>
      <c r="G56" s="36" t="s">
        <v>326</v>
      </c>
      <c r="H56" s="36" t="s">
        <v>326</v>
      </c>
      <c r="I56" s="36" t="s">
        <v>326</v>
      </c>
      <c r="J56" s="36" t="s">
        <v>326</v>
      </c>
      <c r="K56" s="15"/>
    </row>
    <row r="68" spans="1:11" x14ac:dyDescent="0.25">
      <c r="B68" t="s">
        <v>376</v>
      </c>
    </row>
    <row r="69" spans="1:11" ht="45.75" x14ac:dyDescent="0.25">
      <c r="A69" s="85" t="s">
        <v>169</v>
      </c>
      <c r="B69" s="85" t="s">
        <v>316</v>
      </c>
      <c r="C69" s="82" t="s">
        <v>317</v>
      </c>
      <c r="D69" s="82" t="s">
        <v>318</v>
      </c>
      <c r="E69" s="82" t="s">
        <v>319</v>
      </c>
      <c r="F69" s="82" t="s">
        <v>320</v>
      </c>
      <c r="G69" s="83" t="s">
        <v>321</v>
      </c>
      <c r="H69" s="83" t="s">
        <v>347</v>
      </c>
      <c r="I69" s="83" t="s">
        <v>322</v>
      </c>
      <c r="J69" s="83" t="s">
        <v>377</v>
      </c>
      <c r="K69" s="83" t="s">
        <v>378</v>
      </c>
    </row>
    <row r="70" spans="1:11" x14ac:dyDescent="0.25">
      <c r="A70" s="244" t="s">
        <v>349</v>
      </c>
      <c r="B70" s="84" t="s">
        <v>350</v>
      </c>
      <c r="C70" s="36" t="s">
        <v>326</v>
      </c>
      <c r="D70" s="36" t="s">
        <v>326</v>
      </c>
      <c r="E70" s="36"/>
      <c r="F70" s="36"/>
      <c r="G70" s="36" t="s">
        <v>326</v>
      </c>
      <c r="H70" s="36" t="s">
        <v>326</v>
      </c>
      <c r="I70" s="36"/>
      <c r="J70" s="36"/>
      <c r="K70" s="36"/>
    </row>
    <row r="71" spans="1:11" x14ac:dyDescent="0.25">
      <c r="A71" s="244"/>
      <c r="B71" s="84" t="s">
        <v>351</v>
      </c>
      <c r="C71" s="36"/>
      <c r="D71" s="36" t="s">
        <v>326</v>
      </c>
      <c r="E71" s="36"/>
      <c r="F71" s="36" t="s">
        <v>326</v>
      </c>
      <c r="G71" s="36" t="s">
        <v>326</v>
      </c>
      <c r="H71" s="36" t="s">
        <v>326</v>
      </c>
      <c r="I71" s="36"/>
      <c r="J71" s="36"/>
      <c r="K71" s="36"/>
    </row>
    <row r="72" spans="1:11" x14ac:dyDescent="0.25">
      <c r="A72" s="244"/>
      <c r="B72" s="84" t="s">
        <v>352</v>
      </c>
      <c r="C72" s="36" t="s">
        <v>326</v>
      </c>
      <c r="D72" s="36" t="s">
        <v>326</v>
      </c>
      <c r="E72" s="36" t="s">
        <v>326</v>
      </c>
      <c r="F72" s="36" t="s">
        <v>326</v>
      </c>
      <c r="G72" s="36" t="s">
        <v>326</v>
      </c>
      <c r="H72" s="36" t="s">
        <v>326</v>
      </c>
      <c r="I72" s="36" t="s">
        <v>326</v>
      </c>
      <c r="J72" s="36" t="s">
        <v>326</v>
      </c>
      <c r="K72" s="36" t="s">
        <v>326</v>
      </c>
    </row>
    <row r="73" spans="1:11" x14ac:dyDescent="0.25">
      <c r="A73" s="244"/>
      <c r="B73" s="84" t="s">
        <v>353</v>
      </c>
      <c r="C73" s="36"/>
      <c r="D73" s="36" t="s">
        <v>326</v>
      </c>
      <c r="E73" s="36" t="s">
        <v>326</v>
      </c>
      <c r="F73" s="36" t="s">
        <v>326</v>
      </c>
      <c r="G73" s="36"/>
      <c r="H73" s="36" t="s">
        <v>326</v>
      </c>
      <c r="I73" s="36" t="s">
        <v>326</v>
      </c>
      <c r="J73" s="36"/>
      <c r="K73" s="36"/>
    </row>
    <row r="74" spans="1:11" x14ac:dyDescent="0.25">
      <c r="A74" s="240" t="s">
        <v>220</v>
      </c>
      <c r="B74" s="84" t="s">
        <v>354</v>
      </c>
      <c r="C74" s="36"/>
      <c r="D74" s="36" t="s">
        <v>326</v>
      </c>
      <c r="E74" s="36" t="s">
        <v>326</v>
      </c>
      <c r="F74" s="36"/>
      <c r="G74" s="36"/>
      <c r="H74" s="36" t="s">
        <v>326</v>
      </c>
      <c r="I74" s="36" t="s">
        <v>326</v>
      </c>
      <c r="J74" s="36"/>
      <c r="K74" s="36"/>
    </row>
    <row r="75" spans="1:11" x14ac:dyDescent="0.25">
      <c r="A75" s="240"/>
      <c r="B75" s="84" t="s">
        <v>355</v>
      </c>
      <c r="C75" s="36"/>
      <c r="D75" s="36" t="s">
        <v>326</v>
      </c>
      <c r="E75" s="36"/>
      <c r="F75" s="36"/>
      <c r="G75" s="36"/>
      <c r="H75" s="36" t="s">
        <v>326</v>
      </c>
      <c r="I75" s="36" t="s">
        <v>326</v>
      </c>
      <c r="J75" s="36"/>
      <c r="K75" s="36"/>
    </row>
    <row r="76" spans="1:11" x14ac:dyDescent="0.25">
      <c r="A76" s="240"/>
      <c r="B76" s="84" t="s">
        <v>356</v>
      </c>
      <c r="C76" s="36"/>
      <c r="D76" s="36" t="s">
        <v>326</v>
      </c>
      <c r="E76" s="36"/>
      <c r="F76" s="36"/>
      <c r="G76" s="36"/>
      <c r="H76" s="36" t="s">
        <v>326</v>
      </c>
      <c r="I76" s="36" t="s">
        <v>326</v>
      </c>
      <c r="J76" s="36"/>
      <c r="K76" s="36"/>
    </row>
    <row r="77" spans="1:11" x14ac:dyDescent="0.25">
      <c r="A77" s="240"/>
      <c r="B77" s="84" t="s">
        <v>357</v>
      </c>
      <c r="C77" s="36"/>
      <c r="D77" s="36" t="s">
        <v>326</v>
      </c>
      <c r="E77" s="36"/>
      <c r="F77" s="36"/>
      <c r="G77" s="36"/>
      <c r="H77" s="36" t="s">
        <v>326</v>
      </c>
      <c r="I77" s="36" t="s">
        <v>326</v>
      </c>
      <c r="J77" s="36"/>
      <c r="K77" s="36"/>
    </row>
    <row r="78" spans="1:11" x14ac:dyDescent="0.25">
      <c r="A78" s="240"/>
      <c r="B78" s="84" t="s">
        <v>358</v>
      </c>
      <c r="C78" s="36"/>
      <c r="D78" s="36"/>
      <c r="E78" s="36"/>
      <c r="F78" s="36"/>
      <c r="G78" s="36"/>
      <c r="H78" s="36" t="s">
        <v>326</v>
      </c>
      <c r="I78" s="36" t="s">
        <v>326</v>
      </c>
      <c r="J78" s="36"/>
      <c r="K78" s="36"/>
    </row>
    <row r="79" spans="1:11" x14ac:dyDescent="0.25">
      <c r="A79" s="240"/>
      <c r="B79" s="84" t="s">
        <v>359</v>
      </c>
      <c r="C79" s="36"/>
      <c r="D79" s="36"/>
      <c r="E79" s="36" t="s">
        <v>326</v>
      </c>
      <c r="F79" s="36"/>
      <c r="G79" s="36"/>
      <c r="H79" s="36" t="s">
        <v>326</v>
      </c>
      <c r="I79" s="36" t="s">
        <v>326</v>
      </c>
      <c r="J79" s="36"/>
      <c r="K79" s="36"/>
    </row>
    <row r="80" spans="1:11" x14ac:dyDescent="0.25">
      <c r="A80" s="240"/>
      <c r="B80" s="84" t="s">
        <v>360</v>
      </c>
      <c r="C80" s="36"/>
      <c r="D80" s="36" t="s">
        <v>326</v>
      </c>
      <c r="E80" s="36" t="s">
        <v>326</v>
      </c>
      <c r="F80" s="36"/>
      <c r="G80" s="36"/>
      <c r="H80" s="36" t="s">
        <v>326</v>
      </c>
      <c r="I80" s="36" t="s">
        <v>326</v>
      </c>
      <c r="J80" s="36"/>
      <c r="K80" s="36"/>
    </row>
    <row r="81" spans="1:11" x14ac:dyDescent="0.25">
      <c r="A81" s="241" t="s">
        <v>229</v>
      </c>
      <c r="B81" s="84" t="s">
        <v>361</v>
      </c>
      <c r="C81" s="36"/>
      <c r="D81" s="36"/>
      <c r="E81" s="36" t="s">
        <v>326</v>
      </c>
      <c r="F81" s="36"/>
      <c r="G81" s="36"/>
      <c r="H81" s="36" t="s">
        <v>326</v>
      </c>
      <c r="I81" s="36" t="s">
        <v>326</v>
      </c>
      <c r="J81" s="36"/>
      <c r="K81" s="36"/>
    </row>
    <row r="82" spans="1:11" x14ac:dyDescent="0.25">
      <c r="A82" s="241"/>
      <c r="B82" s="84" t="s">
        <v>362</v>
      </c>
      <c r="C82" s="36"/>
      <c r="D82" s="36"/>
      <c r="E82" s="36" t="s">
        <v>326</v>
      </c>
      <c r="F82" s="36"/>
      <c r="G82" s="36"/>
      <c r="H82" s="36"/>
      <c r="I82" s="36" t="s">
        <v>326</v>
      </c>
      <c r="J82" s="36"/>
      <c r="K82" s="36"/>
    </row>
    <row r="83" spans="1:11" x14ac:dyDescent="0.25">
      <c r="A83" s="241"/>
      <c r="B83" s="84" t="s">
        <v>363</v>
      </c>
      <c r="C83" s="36"/>
      <c r="D83" s="36"/>
      <c r="E83" s="36" t="s">
        <v>326</v>
      </c>
      <c r="F83" s="36"/>
      <c r="G83" s="36"/>
      <c r="H83" s="36"/>
      <c r="I83" s="36" t="s">
        <v>326</v>
      </c>
      <c r="J83" s="36"/>
      <c r="K83" s="36"/>
    </row>
    <row r="84" spans="1:11" x14ac:dyDescent="0.25">
      <c r="A84" s="241"/>
      <c r="B84" s="84" t="s">
        <v>364</v>
      </c>
      <c r="C84" s="36"/>
      <c r="D84" s="36"/>
      <c r="E84" s="36"/>
      <c r="F84" s="36"/>
      <c r="G84" s="36"/>
      <c r="H84" s="36" t="s">
        <v>326</v>
      </c>
      <c r="I84" s="36" t="s">
        <v>326</v>
      </c>
      <c r="J84" s="36" t="s">
        <v>326</v>
      </c>
      <c r="K84" s="36"/>
    </row>
    <row r="85" spans="1:11" x14ac:dyDescent="0.25">
      <c r="A85" s="241"/>
      <c r="B85" s="84" t="s">
        <v>365</v>
      </c>
      <c r="C85" s="36"/>
      <c r="D85" s="36"/>
      <c r="E85" s="36"/>
      <c r="F85" s="36"/>
      <c r="G85" s="36"/>
      <c r="H85" s="36" t="s">
        <v>326</v>
      </c>
      <c r="I85" s="36" t="s">
        <v>326</v>
      </c>
      <c r="J85" s="36" t="s">
        <v>326</v>
      </c>
      <c r="K85" s="36"/>
    </row>
    <row r="86" spans="1:11" x14ac:dyDescent="0.25">
      <c r="A86" s="241"/>
      <c r="B86" s="84" t="s">
        <v>366</v>
      </c>
      <c r="C86" s="36"/>
      <c r="D86" s="36"/>
      <c r="E86" s="36"/>
      <c r="F86" s="36"/>
      <c r="G86" s="36"/>
      <c r="H86" s="36"/>
      <c r="I86" s="36"/>
      <c r="J86" s="36" t="s">
        <v>326</v>
      </c>
      <c r="K86" s="36"/>
    </row>
    <row r="87" spans="1:11" x14ac:dyDescent="0.25">
      <c r="A87" s="242" t="s">
        <v>367</v>
      </c>
      <c r="B87" s="84" t="s">
        <v>368</v>
      </c>
      <c r="C87" s="36"/>
      <c r="D87" s="36"/>
      <c r="E87" s="36"/>
      <c r="F87" s="36"/>
      <c r="G87" s="36"/>
      <c r="H87" s="36"/>
      <c r="I87" s="36"/>
      <c r="J87" s="36"/>
      <c r="K87" s="36" t="s">
        <v>326</v>
      </c>
    </row>
    <row r="88" spans="1:11" x14ac:dyDescent="0.25">
      <c r="A88" s="242"/>
      <c r="B88" s="84" t="s">
        <v>367</v>
      </c>
      <c r="C88" s="36"/>
      <c r="D88" s="36"/>
      <c r="E88" s="36"/>
      <c r="F88" s="36"/>
      <c r="G88" s="36"/>
      <c r="H88" s="36"/>
      <c r="I88" s="36" t="s">
        <v>326</v>
      </c>
      <c r="J88" s="36"/>
      <c r="K88" s="36" t="s">
        <v>326</v>
      </c>
    </row>
    <row r="89" spans="1:11" x14ac:dyDescent="0.25">
      <c r="A89" s="242"/>
      <c r="B89" s="84" t="s">
        <v>369</v>
      </c>
      <c r="C89" s="36"/>
      <c r="D89" s="36"/>
      <c r="E89" s="36"/>
      <c r="F89" s="36"/>
      <c r="G89" s="36"/>
      <c r="H89" s="36"/>
      <c r="I89" s="36"/>
      <c r="J89" s="36"/>
      <c r="K89" s="36" t="s">
        <v>326</v>
      </c>
    </row>
    <row r="90" spans="1:11" x14ac:dyDescent="0.25">
      <c r="A90" s="242"/>
      <c r="B90" s="84" t="s">
        <v>370</v>
      </c>
      <c r="C90" s="36"/>
      <c r="D90" s="36"/>
      <c r="E90" s="36"/>
      <c r="F90" s="36"/>
      <c r="G90" s="36"/>
      <c r="H90" s="36"/>
      <c r="I90" s="36"/>
      <c r="J90" s="36" t="s">
        <v>326</v>
      </c>
      <c r="K90" s="36"/>
    </row>
    <row r="91" spans="1:11" x14ac:dyDescent="0.25">
      <c r="A91" s="242"/>
      <c r="B91" s="84" t="s">
        <v>371</v>
      </c>
      <c r="C91" s="36"/>
      <c r="D91" s="36"/>
      <c r="E91" s="36"/>
      <c r="F91" s="36" t="s">
        <v>326</v>
      </c>
      <c r="G91" s="36"/>
      <c r="H91" s="36"/>
      <c r="I91" s="36" t="s">
        <v>326</v>
      </c>
      <c r="J91" s="36" t="s">
        <v>326</v>
      </c>
      <c r="K91" s="36" t="s">
        <v>326</v>
      </c>
    </row>
    <row r="92" spans="1:11" x14ac:dyDescent="0.25">
      <c r="A92" s="243" t="s">
        <v>379</v>
      </c>
      <c r="B92" s="84" t="s">
        <v>380</v>
      </c>
      <c r="C92" s="36"/>
      <c r="D92" s="36"/>
      <c r="E92" s="36"/>
      <c r="F92" s="36" t="s">
        <v>326</v>
      </c>
      <c r="G92" s="36"/>
      <c r="H92" s="36"/>
      <c r="I92" s="36" t="s">
        <v>326</v>
      </c>
      <c r="J92" s="36"/>
      <c r="K92" s="36"/>
    </row>
    <row r="93" spans="1:11" x14ac:dyDescent="0.25">
      <c r="A93" s="243"/>
      <c r="B93" s="84" t="s">
        <v>381</v>
      </c>
      <c r="C93" s="36"/>
      <c r="D93" s="36"/>
      <c r="E93" s="36"/>
      <c r="F93" s="36" t="s">
        <v>326</v>
      </c>
      <c r="G93" s="36"/>
      <c r="H93" s="36"/>
      <c r="I93" s="36" t="s">
        <v>326</v>
      </c>
      <c r="J93" s="36" t="s">
        <v>326</v>
      </c>
      <c r="K93" s="36"/>
    </row>
    <row r="94" spans="1:11" x14ac:dyDescent="0.25">
      <c r="A94" s="243"/>
      <c r="B94" s="84" t="s">
        <v>382</v>
      </c>
      <c r="C94" s="36"/>
      <c r="D94" s="36" t="s">
        <v>326</v>
      </c>
      <c r="E94" s="36" t="s">
        <v>326</v>
      </c>
      <c r="F94" s="36" t="s">
        <v>326</v>
      </c>
      <c r="G94" s="36"/>
      <c r="H94" s="36"/>
      <c r="I94" s="36" t="s">
        <v>326</v>
      </c>
      <c r="J94" s="36"/>
      <c r="K94" s="36"/>
    </row>
    <row r="95" spans="1:11" x14ac:dyDescent="0.25">
      <c r="A95" s="243"/>
      <c r="B95" s="84" t="s">
        <v>383</v>
      </c>
      <c r="C95" s="36"/>
      <c r="D95" s="36" t="s">
        <v>326</v>
      </c>
      <c r="E95" s="36"/>
      <c r="F95" s="36" t="s">
        <v>326</v>
      </c>
      <c r="G95" s="36"/>
      <c r="H95" s="36" t="s">
        <v>326</v>
      </c>
      <c r="I95" s="36" t="s">
        <v>326</v>
      </c>
      <c r="J95" s="36"/>
      <c r="K95" s="36"/>
    </row>
    <row r="96" spans="1:11" x14ac:dyDescent="0.25">
      <c r="A96" s="243"/>
      <c r="B96" s="84" t="s">
        <v>384</v>
      </c>
      <c r="C96" s="36" t="s">
        <v>326</v>
      </c>
      <c r="D96" s="36" t="s">
        <v>326</v>
      </c>
      <c r="E96" s="36"/>
      <c r="F96" s="36" t="s">
        <v>326</v>
      </c>
      <c r="G96" s="36"/>
      <c r="H96" s="36" t="s">
        <v>326</v>
      </c>
      <c r="I96" s="36" t="s">
        <v>326</v>
      </c>
      <c r="J96" s="36" t="s">
        <v>326</v>
      </c>
      <c r="K96" s="36"/>
    </row>
    <row r="97" spans="1:11" x14ac:dyDescent="0.25">
      <c r="A97" s="243"/>
      <c r="B97" s="84" t="s">
        <v>345</v>
      </c>
      <c r="C97" s="36" t="s">
        <v>326</v>
      </c>
      <c r="D97" s="36" t="s">
        <v>326</v>
      </c>
      <c r="E97" s="36" t="s">
        <v>326</v>
      </c>
      <c r="F97" s="36" t="s">
        <v>326</v>
      </c>
      <c r="G97" s="36" t="s">
        <v>326</v>
      </c>
      <c r="H97" s="36" t="s">
        <v>326</v>
      </c>
      <c r="I97" s="36" t="s">
        <v>326</v>
      </c>
      <c r="J97" s="36" t="s">
        <v>326</v>
      </c>
      <c r="K97" s="36" t="s">
        <v>326</v>
      </c>
    </row>
  </sheetData>
  <mergeCells count="14">
    <mergeCell ref="A3:A6"/>
    <mergeCell ref="A7:A11"/>
    <mergeCell ref="A12:A16"/>
    <mergeCell ref="A17:A21"/>
    <mergeCell ref="A31:A34"/>
    <mergeCell ref="A74:A80"/>
    <mergeCell ref="A81:A86"/>
    <mergeCell ref="A87:A91"/>
    <mergeCell ref="A92:A97"/>
    <mergeCell ref="A35:A41"/>
    <mergeCell ref="A42:A47"/>
    <mergeCell ref="A48:A52"/>
    <mergeCell ref="A53:A56"/>
    <mergeCell ref="A70:A7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7"/>
  <sheetViews>
    <sheetView workbookViewId="0">
      <selection activeCell="P13" sqref="P13"/>
    </sheetView>
  </sheetViews>
  <sheetFormatPr defaultRowHeight="15" x14ac:dyDescent="0.25"/>
  <cols>
    <col min="1" max="1" width="11" bestFit="1" customWidth="1"/>
    <col min="15" max="15" width="14.7109375" customWidth="1"/>
  </cols>
  <sheetData>
    <row r="1" spans="1:15" ht="15.75" thickBot="1" x14ac:dyDescent="0.3"/>
    <row r="2" spans="1:15" ht="15.75" thickBot="1" x14ac:dyDescent="0.3">
      <c r="A2" s="48"/>
      <c r="B2" s="245" t="s">
        <v>385</v>
      </c>
      <c r="C2" s="246"/>
      <c r="D2" s="48"/>
      <c r="E2" s="48"/>
      <c r="F2" s="48"/>
      <c r="G2" s="48"/>
      <c r="H2" s="48"/>
      <c r="I2" s="48"/>
      <c r="J2" s="48"/>
      <c r="K2" s="48"/>
      <c r="L2" s="48"/>
    </row>
    <row r="3" spans="1:15" ht="14.45" customHeight="1" x14ac:dyDescent="0.25">
      <c r="A3" s="48"/>
      <c r="B3" s="247" t="s">
        <v>386</v>
      </c>
      <c r="C3" s="248"/>
      <c r="D3" s="248"/>
      <c r="E3" s="248"/>
      <c r="F3" s="248"/>
      <c r="G3" s="248"/>
      <c r="H3" s="248"/>
      <c r="I3" s="248"/>
      <c r="J3" s="248"/>
      <c r="K3" s="248"/>
      <c r="L3" s="248"/>
      <c r="M3" s="249"/>
    </row>
    <row r="4" spans="1:15" x14ac:dyDescent="0.25">
      <c r="A4" s="48"/>
      <c r="B4" s="250"/>
      <c r="C4" s="251"/>
      <c r="D4" s="251"/>
      <c r="E4" s="251"/>
      <c r="F4" s="251"/>
      <c r="G4" s="251"/>
      <c r="H4" s="251"/>
      <c r="I4" s="251"/>
      <c r="J4" s="251"/>
      <c r="K4" s="251"/>
      <c r="L4" s="251"/>
      <c r="M4" s="252"/>
    </row>
    <row r="5" spans="1:15" x14ac:dyDescent="0.25">
      <c r="A5" s="48"/>
      <c r="B5" s="250"/>
      <c r="C5" s="251"/>
      <c r="D5" s="251"/>
      <c r="E5" s="251"/>
      <c r="F5" s="251"/>
      <c r="G5" s="251"/>
      <c r="H5" s="251"/>
      <c r="I5" s="251"/>
      <c r="J5" s="251"/>
      <c r="K5" s="251"/>
      <c r="L5" s="251"/>
      <c r="M5" s="252"/>
    </row>
    <row r="6" spans="1:15" x14ac:dyDescent="0.25">
      <c r="A6" s="48"/>
      <c r="B6" s="250"/>
      <c r="C6" s="251"/>
      <c r="D6" s="251"/>
      <c r="E6" s="251"/>
      <c r="F6" s="251"/>
      <c r="G6" s="251"/>
      <c r="H6" s="251"/>
      <c r="I6" s="251"/>
      <c r="J6" s="251"/>
      <c r="K6" s="251"/>
      <c r="L6" s="251"/>
      <c r="M6" s="252"/>
    </row>
    <row r="7" spans="1:15" x14ac:dyDescent="0.25">
      <c r="A7" s="48"/>
      <c r="B7" s="250"/>
      <c r="C7" s="251"/>
      <c r="D7" s="251"/>
      <c r="E7" s="251"/>
      <c r="F7" s="251"/>
      <c r="G7" s="251"/>
      <c r="H7" s="251"/>
      <c r="I7" s="251"/>
      <c r="J7" s="251"/>
      <c r="K7" s="251"/>
      <c r="L7" s="251"/>
      <c r="M7" s="252"/>
    </row>
    <row r="8" spans="1:15" ht="15.75" thickBot="1" x14ac:dyDescent="0.3">
      <c r="A8" s="48"/>
      <c r="B8" s="253"/>
      <c r="C8" s="254"/>
      <c r="D8" s="254"/>
      <c r="E8" s="254"/>
      <c r="F8" s="254"/>
      <c r="G8" s="254"/>
      <c r="H8" s="254"/>
      <c r="I8" s="254"/>
      <c r="J8" s="254"/>
      <c r="K8" s="254"/>
      <c r="L8" s="254"/>
      <c r="M8" s="255"/>
    </row>
    <row r="9" spans="1:15" x14ac:dyDescent="0.25">
      <c r="A9" s="48"/>
      <c r="B9" s="50"/>
      <c r="C9" s="50"/>
      <c r="D9" s="50"/>
      <c r="E9" s="50"/>
      <c r="F9" s="50"/>
      <c r="G9" s="50"/>
      <c r="H9" s="50"/>
      <c r="I9" s="50"/>
      <c r="J9" s="50"/>
      <c r="K9" s="50"/>
      <c r="L9" s="50"/>
      <c r="M9" s="50"/>
    </row>
    <row r="10" spans="1:15" x14ac:dyDescent="0.25">
      <c r="A10" s="48"/>
      <c r="B10" s="50"/>
      <c r="C10" s="50"/>
      <c r="D10" s="50"/>
      <c r="E10" s="50"/>
      <c r="F10" s="50"/>
      <c r="G10" s="50"/>
      <c r="H10" s="50"/>
      <c r="I10" s="50"/>
      <c r="J10" s="50"/>
      <c r="K10" s="50"/>
      <c r="L10" s="50"/>
      <c r="M10" s="50"/>
    </row>
    <row r="11" spans="1:15" x14ac:dyDescent="0.25">
      <c r="A11" s="48"/>
      <c r="B11" s="50"/>
      <c r="C11" s="50"/>
      <c r="D11" s="50"/>
      <c r="E11" s="50"/>
      <c r="F11" s="50"/>
      <c r="G11" s="50"/>
      <c r="H11" s="50"/>
      <c r="I11" s="50"/>
      <c r="J11" s="50"/>
      <c r="K11" s="50"/>
      <c r="L11" s="50"/>
      <c r="M11" s="50"/>
    </row>
    <row r="12" spans="1:15" x14ac:dyDescent="0.25">
      <c r="A12" s="51"/>
      <c r="B12" s="50"/>
      <c r="C12" s="50"/>
      <c r="D12" s="50"/>
      <c r="E12" s="50"/>
      <c r="F12" s="50"/>
      <c r="G12" s="50"/>
      <c r="H12" s="50"/>
      <c r="I12" s="50"/>
      <c r="J12" s="50"/>
      <c r="K12" s="50"/>
      <c r="L12" s="50"/>
      <c r="M12" s="50"/>
      <c r="N12" s="12"/>
    </row>
    <row r="13" spans="1:15" ht="46.5" x14ac:dyDescent="0.25">
      <c r="A13" s="51"/>
      <c r="B13" s="50"/>
      <c r="C13" s="50"/>
      <c r="E13" s="50"/>
      <c r="F13" s="50"/>
      <c r="G13" s="50"/>
      <c r="H13" s="50"/>
      <c r="I13" s="50"/>
      <c r="J13" s="50"/>
      <c r="K13" s="50"/>
      <c r="L13" s="50"/>
      <c r="M13" s="50"/>
      <c r="N13" s="12"/>
      <c r="O13" s="65" t="s">
        <v>387</v>
      </c>
    </row>
    <row r="14" spans="1:15" x14ac:dyDescent="0.25">
      <c r="A14" s="51"/>
      <c r="B14" s="49"/>
      <c r="C14" s="49"/>
      <c r="D14" s="49"/>
      <c r="E14" s="49"/>
      <c r="F14" s="49"/>
      <c r="G14" s="49"/>
      <c r="H14" s="49"/>
      <c r="I14" s="49"/>
      <c r="J14" s="49"/>
      <c r="K14" s="49"/>
      <c r="L14" s="49"/>
      <c r="M14" s="49"/>
      <c r="N14" s="12"/>
    </row>
    <row r="15" spans="1:15" x14ac:dyDescent="0.25">
      <c r="A15" s="51"/>
      <c r="B15" s="49"/>
      <c r="C15" s="49"/>
      <c r="D15" s="49"/>
      <c r="E15" s="49"/>
      <c r="F15" s="49"/>
      <c r="G15" s="49"/>
      <c r="H15" s="49"/>
      <c r="I15" s="49"/>
      <c r="J15" s="49"/>
      <c r="K15" s="49"/>
      <c r="L15" s="49"/>
      <c r="M15" s="49"/>
      <c r="N15" s="12"/>
    </row>
    <row r="16" spans="1:15" x14ac:dyDescent="0.25">
      <c r="A16" s="12"/>
      <c r="B16" s="49"/>
      <c r="C16" s="49"/>
      <c r="D16" s="49"/>
      <c r="E16" s="49"/>
      <c r="F16" s="49"/>
      <c r="G16" s="49"/>
      <c r="H16" s="49"/>
      <c r="I16" s="49"/>
      <c r="J16" s="49"/>
      <c r="K16" s="49"/>
      <c r="L16" s="49"/>
      <c r="M16" s="49"/>
      <c r="N16" s="12"/>
    </row>
    <row r="17" spans="1:14" x14ac:dyDescent="0.25">
      <c r="A17" s="12"/>
      <c r="B17" s="52"/>
      <c r="C17" s="12"/>
      <c r="D17" s="12"/>
      <c r="E17" s="12"/>
      <c r="F17" s="12"/>
      <c r="G17" s="12"/>
      <c r="H17" s="12"/>
      <c r="I17" s="12"/>
      <c r="J17" s="12"/>
      <c r="K17" s="12"/>
      <c r="L17" s="12"/>
      <c r="M17" s="12"/>
      <c r="N17" s="12"/>
    </row>
  </sheetData>
  <mergeCells count="2">
    <mergeCell ref="B2:C2"/>
    <mergeCell ref="B3:M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9463E6348F810439F26372FA445B159" ma:contentTypeVersion="10" ma:contentTypeDescription="Create a new document." ma:contentTypeScope="" ma:versionID="30e70a81dd4f97c139740331bb31799d">
  <xsd:schema xmlns:xsd="http://www.w3.org/2001/XMLSchema" xmlns:xs="http://www.w3.org/2001/XMLSchema" xmlns:p="http://schemas.microsoft.com/office/2006/metadata/properties" xmlns:ns2="08431150-bba9-4599-92ab-ea9c8e73403b" xmlns:ns3="a8dea9c9-821d-49bc-b886-de7b1c64cc5b" targetNamespace="http://schemas.microsoft.com/office/2006/metadata/properties" ma:root="true" ma:fieldsID="d111ebdaf113cb11fee06eb7178736d6" ns2:_="" ns3:_="">
    <xsd:import namespace="08431150-bba9-4599-92ab-ea9c8e73403b"/>
    <xsd:import namespace="a8dea9c9-821d-49bc-b886-de7b1c64cc5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431150-bba9-4599-92ab-ea9c8e7340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dea9c9-821d-49bc-b886-de7b1c64cc5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a8dea9c9-821d-49bc-b886-de7b1c64cc5b">
      <UserInfo>
        <DisplayName>Yamini Chitturi</DisplayName>
        <AccountId>18</AccountId>
        <AccountType/>
      </UserInfo>
    </SharedWithUsers>
  </documentManagement>
</p:properties>
</file>

<file path=customXml/itemProps1.xml><?xml version="1.0" encoding="utf-8"?>
<ds:datastoreItem xmlns:ds="http://schemas.openxmlformats.org/officeDocument/2006/customXml" ds:itemID="{9B92F09F-CE57-4194-B581-2333F593BD5E}">
  <ds:schemaRefs>
    <ds:schemaRef ds:uri="http://schemas.microsoft.com/sharepoint/v3/contenttype/forms"/>
  </ds:schemaRefs>
</ds:datastoreItem>
</file>

<file path=customXml/itemProps2.xml><?xml version="1.0" encoding="utf-8"?>
<ds:datastoreItem xmlns:ds="http://schemas.openxmlformats.org/officeDocument/2006/customXml" ds:itemID="{5781637B-4680-4E69-88FB-0BA10624F2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431150-bba9-4599-92ab-ea9c8e73403b"/>
    <ds:schemaRef ds:uri="a8dea9c9-821d-49bc-b886-de7b1c64cc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780BD4-DCBA-4A7D-9864-3B3CAE4B45BB}">
  <ds:schemaRefs>
    <ds:schemaRef ds:uri="http://www.w3.org/XML/1998/namespace"/>
    <ds:schemaRef ds:uri="http://purl.org/dc/dcmitype/"/>
    <ds:schemaRef ds:uri="08431150-bba9-4599-92ab-ea9c8e73403b"/>
    <ds:schemaRef ds:uri="http://schemas.microsoft.com/office/2006/documentManagement/types"/>
    <ds:schemaRef ds:uri="http://purl.org/dc/terms/"/>
    <ds:schemaRef ds:uri="http://schemas.microsoft.com/office/infopath/2007/PartnerControls"/>
    <ds:schemaRef ds:uri="http://schemas.microsoft.com/office/2006/metadata/properties"/>
    <ds:schemaRef ds:uri="http://schemas.openxmlformats.org/package/2006/metadata/core-properties"/>
    <ds:schemaRef ds:uri="a8dea9c9-821d-49bc-b886-de7b1c64cc5b"/>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Baseline v2</vt:lpstr>
      <vt:lpstr>Complexity Breaddown</vt:lpstr>
      <vt:lpstr>Interface Details</vt:lpstr>
      <vt:lpstr>Effort&amp;CostEstimates for Impl.</vt:lpstr>
      <vt:lpstr>Sheet2</vt:lpstr>
      <vt:lpstr>Assessment and POC Estimate</vt:lpstr>
      <vt:lpstr>Resource Plan and Estimate</vt:lpstr>
      <vt:lpstr>Timeline</vt:lpstr>
      <vt:lpstr>R&amp;R</vt:lpstr>
      <vt:lpstr>Assumptions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Aswin Sadasivam</dc:creator>
  <cp:keywords/>
  <dc:description/>
  <cp:lastModifiedBy>Abhishek Mahajan</cp:lastModifiedBy>
  <cp:revision/>
  <dcterms:created xsi:type="dcterms:W3CDTF">2020-06-10T17:50:54Z</dcterms:created>
  <dcterms:modified xsi:type="dcterms:W3CDTF">2020-09-15T17:19:48Z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d0656488-9039-4072-9657-cc3e5f0093a6</vt:lpwstr>
  </property>
  <property fmtid="{D5CDD505-2E9C-101B-9397-08002B2CF9AE}" pid="3" name="ContentTypeId">
    <vt:lpwstr>0x010100A9463E6348F810439F26372FA445B159</vt:lpwstr>
  </property>
</Properties>
</file>