
<file path=[Content_Types].xml><?xml version="1.0" encoding="utf-8"?>
<Types xmlns="http://schemas.openxmlformats.org/package/2006/content-types">
  <Default Extension="vml" ContentType="application/vnd.openxmlformats-officedocument.vmlDrawing"/>
  <Default Extension="xml" ContentType="application/xml"/>
  <Default Extension="jpg" ContentType="image/jpeg"/>
  <Default Extension="wmf" ContentType="image/x-wmf"/>
  <Default Extension="bin" ContentType="application/vnd.openxmlformats-officedocument.oleObject"/>
  <Default Extension="rels" ContentType="application/vnd.openxmlformats-package.relationships+xml"/>
  <Default Extension="jpeg" ContentType="image/jpeg"/>
  <Default Extension="png" ContentType="image/png"/>
  <Override PartName="/xl/drawings/drawing4.xml" ContentType="application/vnd.openxmlformats-officedocument.drawing+xml"/>
  <Override PartName="/xl/comments3.xml" ContentType="application/vnd.openxmlformats-officedocument.spreadsheetml.comments+xml"/>
  <Override PartName="/xl/comments2.xml" ContentType="application/vnd.openxmlformats-officedocument.spreadsheetml.comments+xml"/>
  <Override PartName="/xl/threadedComments/threadedComment2.xml" ContentType="application/vnd.ms-excel.threadedcomments+xml"/>
  <Override PartName="/xl/worksheets/sheet6.xml" ContentType="application/vnd.openxmlformats-officedocument.spreadsheetml.worksheet+xml"/>
  <Override PartName="/xl/worksheets/sheet5.xml" ContentType="application/vnd.openxmlformats-officedocument.spreadsheetml.worksheet+xml"/>
  <Override PartName="/xl/worksheets/sheet4.xml" ContentType="application/vnd.openxmlformats-officedocument.spreadsheetml.worksheet+xml"/>
  <Override PartName="/xl/worksheets/sheet15.xml" ContentType="application/vnd.openxmlformats-officedocument.spreadsheetml.worksheet+xml"/>
  <Override PartName="/xl/threadedComments/threadedComment3.xml" ContentType="application/vnd.ms-excel.threadedcomments+xml"/>
  <Override PartName="/xl/drawings/drawing12.xml" ContentType="application/vnd.openxmlformats-officedocument.drawing+xml"/>
  <Override PartName="/xl/worksheets/sheet14.xml" ContentType="application/vnd.openxmlformats-officedocument.spreadsheetml.worksheet+xml"/>
  <Override PartName="/xl/worksheets/sheet20.xml" ContentType="application/vnd.openxmlformats-officedocument.spreadsheetml.worksheet+xml"/>
  <Override PartName="/xl/drawings/drawing10.xml" ContentType="application/vnd.openxmlformats-officedocument.drawing+xml"/>
  <Override PartName="/xl/persons/person.xml" ContentType="application/vnd.ms-excel.person+xml"/>
  <Override PartName="/xl/sharedStrings.xml" ContentType="application/vnd.openxmlformats-officedocument.spreadsheetml.sharedStrings+xml"/>
  <Override PartName="/xl/drawings/drawing18.xml" ContentType="application/vnd.openxmlformats-officedocument.drawing+xml"/>
  <Override PartName="/xl/threadedComments/threadedComment4.xml" ContentType="application/vnd.ms-excel.threadedcomments+xml"/>
  <Override PartName="/xl/worksheets/sheet12.xml" ContentType="application/vnd.openxmlformats-officedocument.spreadsheetml.worksheet+xml"/>
  <Override PartName="/xl/drawings/drawing5.xml" ContentType="application/vnd.openxmlformats-officedocument.drawing+xml"/>
  <Override PartName="/xl/drawings/drawing11.xml" ContentType="application/vnd.openxmlformats-officedocument.drawing+xml"/>
  <Override PartName="/xl/worksheets/sheet13.xml" ContentType="application/vnd.openxmlformats-officedocument.spreadsheetml.worksheet+xml"/>
  <Override PartName="/xl/worksheets/sheet10.xml" ContentType="application/vnd.openxmlformats-officedocument.spreadsheetml.worksheet+xml"/>
  <Override PartName="/xl/drawings/drawing7.xml" ContentType="application/vnd.openxmlformats-officedocument.drawing+xml"/>
  <Override PartName="/xl/worksheets/sheet16.xml" ContentType="application/vnd.openxmlformats-officedocument.spreadsheetml.worksheet+xml"/>
  <Override PartName="/xl/worksheets/sheet18.xml" ContentType="application/vnd.openxmlformats-officedocument.spreadsheetml.worksheet+xml"/>
  <Override PartName="/xl/drawings/drawing8.xml" ContentType="application/vnd.openxmlformats-officedocument.drawing+xml"/>
  <Override PartName="/xl/worksheets/sheet7.xml" ContentType="application/vnd.openxmlformats-officedocument.spreadsheetml.worksheet+xml"/>
  <Override PartName="/xl/drawings/drawing6.xml" ContentType="application/vnd.openxmlformats-officedocument.drawing+xml"/>
  <Override PartName="/xl/theme/theme1.xml" ContentType="application/vnd.openxmlformats-officedocument.theme+xml"/>
  <Override PartName="/xl/worksheets/sheet11.xml" ContentType="application/vnd.openxmlformats-officedocument.spreadsheetml.worksheet+xml"/>
  <Override PartName="/xl/styles.xml" ContentType="application/vnd.openxmlformats-officedocument.spreadsheetml.styles+xml"/>
  <Override PartName="/xl/comments4.xml" ContentType="application/vnd.openxmlformats-officedocument.spreadsheetml.comments+xml"/>
  <Override PartName="/xl/externalLinks/externalLink1.xml" ContentType="application/vnd.openxmlformats-officedocument.spreadsheetml.externalLink+xml"/>
  <Override PartName="/docProps/core.xml" ContentType="application/vnd.openxmlformats-package.core-properties+xml"/>
  <Override PartName="/xl/worksheets/sheet19.xml" ContentType="application/vnd.openxmlformats-officedocument.spreadsheetml.worksheet+xml"/>
  <Override PartName="/xl/drawings/drawing9.xml" ContentType="application/vnd.openxmlformats-officedocument.drawing+xml"/>
  <Override PartName="/docProps/app.xml" ContentType="application/vnd.openxmlformats-officedocument.extended-properties+xml"/>
  <Override PartName="/xl/drawings/drawing1.xml" ContentType="application/vnd.openxmlformats-officedocument.drawing+xml"/>
  <Override PartName="/xl/drawings/drawing17.xml" ContentType="application/vnd.openxmlformats-officedocument.drawing+xml"/>
  <Override PartName="/xl/worksheets/sheet8.xml" ContentType="application/vnd.openxmlformats-officedocument.spreadsheetml.worksheet+xml"/>
  <Override PartName="/xl/workbook.xml" ContentType="application/vnd.openxmlformats-officedocument.spreadsheetml.sheet.main+xml"/>
  <Override PartName="/xl/drawings/drawing16.xml" ContentType="application/vnd.openxmlformats-officedocument.drawing+xml"/>
  <Override PartName="/xl/worksheets/sheet9.xml" ContentType="application/vnd.openxmlformats-officedocument.spreadsheetml.worksheet+xml"/>
  <Override PartName="/xl/drawings/drawing13.xml" ContentType="application/vnd.openxmlformats-officedocument.drawing+xml"/>
  <Override PartName="/xl/drawings/drawing3.xml" ContentType="application/vnd.openxmlformats-officedocument.drawing+xml"/>
  <Override PartName="/xl/worksheets/sheet17.xml" ContentType="application/vnd.openxmlformats-officedocument.spreadsheetml.worksheet+xml"/>
  <Override PartName="/xl/drawings/drawing14.xml" ContentType="application/vnd.openxmlformats-officedocument.drawing+xml"/>
  <Override PartName="/xl/drawings/drawing2.xml" ContentType="application/vnd.openxmlformats-officedocument.drawing+xml"/>
  <Override PartName="/xl/drawings/drawing15.xml" ContentType="application/vnd.openxmlformats-officedocument.drawing+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comments1.xml" ContentType="application/vnd.openxmlformats-officedocument.spreadsheetml.comments+xml"/>
  <Override PartName="/xl/worksheets/sheet24.xml" ContentType="application/vnd.openxmlformats-officedocument.spreadsheetml.worksheet+xml"/>
  <Override PartName="/xl/drawings/drawing19.xml" ContentType="application/vnd.openxmlformats-officedocument.drawing+xml"/>
  <Override PartName="/xl/threadedComments/threadedComment1.xml" ContentType="application/vnd.ms-excel.threadedcomment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Types>
</file>

<file path=_rels/.rels><?xml version="1.0" encoding="UTF-8" standalone="yes"?><Relationships xmlns="http://schemas.openxmlformats.org/package/2006/relationships"><Relationship  Id="rId1" Type="http://schemas.openxmlformats.org/officeDocument/2006/relationships/extended-properties" Target="docProps/app.xml"/><Relationship  Id="rId2" Type="http://schemas.openxmlformats.org/package/2006/relationships/metadata/core-properties" Target="docProps/core.xml"/><Relationship  Id="rId3"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4="http://schemas.microsoft.com/office/spreadsheetml/2009/9/main"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workbookPr/>
  <bookViews>
    <workbookView xWindow="360" yWindow="15" windowWidth="20955" windowHeight="9720" activeTab="14"/>
  </bookViews>
  <sheets>
    <sheet name="CDI" sheetId="1" state="visible" r:id="rId3"/>
    <sheet name="CDD" sheetId="2" state="visible" r:id="rId4"/>
    <sheet name="Accueil" sheetId="3" state="visible" r:id="rId5"/>
    <sheet name="MOD" sheetId="4" state="visible" r:id="rId6"/>
    <sheet name="Hypotheses expl" sheetId="5" state="visible" r:id="rId7"/>
    <sheet name="Hypotheses expl (3,)" sheetId="6" state="visible" r:id="rId8"/>
    <sheet name="Hypotheses expl (2)" sheetId="7" state="visible" r:id="rId9"/>
    <sheet name="Hypotheses hors expl" sheetId="8" state="visible" r:id="rId10"/>
    <sheet name="Hypotheses hors expl (2)" sheetId="9" state="visible" r:id="rId11"/>
    <sheet name="Hypotheses hors expl (3)" sheetId="10" state="visible" r:id="rId12"/>
    <sheet name="Compte résultat prévi" sheetId="11" state="visible" r:id="rId13"/>
    <sheet name="Trésorerie" sheetId="12" state="hidden" r:id="rId14"/>
    <sheet name="Trésorerie auto" sheetId="13" state="visible" r:id="rId15"/>
    <sheet name="Trésorerie auto (2024)" sheetId="14" state="visible" r:id="rId16"/>
    <sheet name="Trésorerie auto (2026)" sheetId="15" state="visible" r:id="rId17"/>
    <sheet name="Plan de financement" sheetId="16" state="visible" r:id="rId18"/>
    <sheet name="Suivi budgétaire" sheetId="17" state="visible" r:id="rId19"/>
    <sheet name="Tableau de bord" sheetId="18" state="visible" r:id="rId20"/>
    <sheet name="Feuil1" sheetId="19" state="visible" r:id="rId21"/>
    <sheet name="Import balance" sheetId="20" state="visible" r:id="rId22"/>
    <sheet name="BDD" sheetId="21" state="visible" r:id="rId23"/>
    <sheet name="Information" sheetId="22" state="visible" r:id="rId24"/>
    <sheet name="Feuil3" sheetId="23" state="visible" r:id="rId25"/>
    <sheet name="Contact" sheetId="24" state="visible" r:id="rId26"/>
  </sheets>
  <externalReferences>
    <externalReference r:id="rId1"/>
  </externalReferences>
  <definedNames>
    <definedName name="_xlnm._FilterDatabase" localSheetId="3" hidden="1">MOD!$A$2:$V$25</definedName>
    <definedName name="_xlnm.Print_Area" localSheetId="10">'Compte résultat prévi'!$A$1:$H$178</definedName>
    <definedName name="_xlnm.Print_Area" localSheetId="12">'Trésorerie auto'!$A$1:$M$145</definedName>
    <definedName name="_xlnm.Print_Area" localSheetId="13">'Trésorerie auto (2024)'!$A$1:$M$126</definedName>
    <definedName name="_xlnm.Print_Area" localSheetId="14">'Trésorerie auto (2026)'!$A$1:$M$129</definedName>
    <definedName name="_xlnm.Print_Area" localSheetId="23">Contact!$A$1:$O$38</definedName>
    <definedName name="_xlnm._FilterDatabase" localSheetId="3" hidden="1">MOD!$A$2:$V$25</definedName>
  </definedNames>
  <calcPr/>
  <extLst>
    <ext xmlns:x15="http://schemas.microsoft.com/office/spreadsheetml/2010/11/main" uri="{D0CA8CA8-9F24-4464-BF8E-62219DCF47F9}"/>
  </extLst>
</workbook>
</file>

<file path=xl/comments1.xml><?xml version="1.0" encoding="utf-8"?>
<comments xmlns="http://schemas.openxmlformats.org/spreadsheetml/2006/main" xmlns:mc="http://schemas.openxmlformats.org/markup-compatibility/2006" xmlns:xr="http://schemas.microsoft.com/office/spreadsheetml/2014/revision" mc:Ignorable="xr">
  <authors>
    <author>tc={00A70098-00E5-43A9-8E49-001D005D00F1}</author>
    <author>tc={005600A7-00B1-48AB-AC8B-006700390043}</author>
  </authors>
  <commentList>
    <comment ref="A6" authorId="0" xr:uid="{00A70098-00E5-43A9-8E49-001D005D00F1}">
      <text>
        <r>
          <rPr>
            <b/>
            <sz val="9"/>
            <rFont val="Tahoma"/>
          </rPr>
          <t>Stagiaire:</t>
        </r>
        <r>
          <rPr>
            <sz val="9"/>
            <rFont val="Tahoma"/>
          </rPr>
          <t xml:space="preserve">
A affecter à des sections dynamiques seulement
</t>
        </r>
      </text>
    </comment>
    <comment ref="A69" authorId="1" xr:uid="{005600A7-00B1-48AB-AC8B-006700390043}">
      <text>
        <r>
          <rPr>
            <b/>
            <sz val="9"/>
            <rFont val="Tahoma"/>
          </rPr>
          <t>Stagiaire:</t>
        </r>
        <r>
          <rPr>
            <sz val="9"/>
            <rFont val="Tahoma"/>
          </rPr>
          <t xml:space="preserve">
A affecter à des sections dynamiques seulement
</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tc={007D00BD-005C-4322-8708-009D0065004B}</author>
    <author>tc={009F009D-0077-45AE-8880-0013001600FC}</author>
    <author>tc={00E20025-0009-489F-8EDF-007100BA00D4}</author>
    <author>tc={00890044-00F2-4F3E-9E4B-004B008C0042}</author>
  </authors>
  <commentList>
    <comment ref="C151" authorId="0" xr:uid="{007D00BD-005C-4322-8708-009D0065004B}">
      <text>
        <r>
          <rPr>
            <b/>
            <sz val="9"/>
            <rFont val="Tahoma"/>
          </rPr>
          <t>Cyril:</t>
        </r>
        <r>
          <rPr>
            <sz val="9"/>
            <rFont val="Tahoma"/>
          </rPr>
          <t xml:space="preserve">
Indemnités départ Danielle
</t>
        </r>
      </text>
    </comment>
    <comment ref="E151" authorId="1" xr:uid="{009F009D-0077-45AE-8880-0013001600FC}">
      <text>
        <r>
          <rPr>
            <b/>
            <sz val="9"/>
            <rFont val="Tahoma"/>
          </rPr>
          <t>Cyril:</t>
        </r>
        <r>
          <rPr>
            <sz val="9"/>
            <rFont val="Tahoma"/>
          </rPr>
          <t xml:space="preserve">
Indemnités départs Didier
</t>
        </r>
      </text>
    </comment>
    <comment ref="A6" authorId="2" xr:uid="{00E20025-0009-489F-8EDF-007100BA00D4}">
      <text>
        <r>
          <rPr>
            <b/>
            <sz val="9"/>
            <rFont val="Tahoma"/>
          </rPr>
          <t>Stagiaire:</t>
        </r>
        <r>
          <rPr>
            <sz val="9"/>
            <rFont val="Tahoma"/>
          </rPr>
          <t xml:space="preserve">
A affecter à des sections dynamiques seulement
</t>
        </r>
      </text>
    </comment>
    <comment ref="A69" authorId="3" xr:uid="{00890044-00F2-4F3E-9E4B-004B008C0042}">
      <text>
        <r>
          <rPr>
            <b/>
            <sz val="9"/>
            <rFont val="Tahoma"/>
          </rPr>
          <t>Stagiaire:</t>
        </r>
        <r>
          <rPr>
            <sz val="9"/>
            <rFont val="Tahoma"/>
          </rPr>
          <t xml:space="preserve">
A affecter à des sections dynamiques seulement
</t>
        </r>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tc={003A00F6-00C6-4A3E-93FD-000900E10057}</author>
    <author>tc={00560029-008B-4981-ABB4-00EE000A00DC}</author>
  </authors>
  <commentList>
    <comment ref="A6" authorId="0" xr:uid="{003A00F6-00C6-4A3E-93FD-000900E10057}">
      <text>
        <r>
          <rPr>
            <b/>
            <sz val="9"/>
            <rFont val="Tahoma"/>
          </rPr>
          <t>Stagiaire:</t>
        </r>
        <r>
          <rPr>
            <sz val="9"/>
            <rFont val="Tahoma"/>
          </rPr>
          <t xml:space="preserve">
A affecter à des sections dynamiques seulement
</t>
        </r>
      </text>
    </comment>
    <comment ref="A69" authorId="1" xr:uid="{00560029-008B-4981-ABB4-00EE000A00DC}">
      <text>
        <r>
          <rPr>
            <b/>
            <sz val="9"/>
            <rFont val="Tahoma"/>
          </rPr>
          <t>Stagiaire:</t>
        </r>
        <r>
          <rPr>
            <sz val="9"/>
            <rFont val="Tahoma"/>
          </rPr>
          <t xml:space="preserve">
A affecter à des sections dynamiques seulement
</t>
        </r>
      </text>
    </comment>
  </commentList>
</comments>
</file>

<file path=xl/comments4.xml><?xml version="1.0" encoding="utf-8"?>
<comments xmlns="http://schemas.openxmlformats.org/spreadsheetml/2006/main" xmlns:mc="http://schemas.openxmlformats.org/markup-compatibility/2006" xmlns:xr="http://schemas.microsoft.com/office/spreadsheetml/2014/revision" mc:Ignorable="xr">
  <authors>
    <author>tc={00E600C7-00F8-40A4-9111-00D3009A0045}</author>
  </authors>
  <commentList>
    <comment ref="C135" authorId="0" xr:uid="{00E600C7-00F8-40A4-9111-00D3009A0045}">
      <text>
        <r>
          <rPr>
            <b/>
            <sz val="9"/>
            <rFont val="Tahoma"/>
          </rPr>
          <t>Cyril:</t>
        </r>
        <r>
          <rPr>
            <sz val="9"/>
            <rFont val="Tahoma"/>
          </rPr>
          <t xml:space="preserve">
NEXEM
</t>
        </r>
      </text>
    </comment>
  </commentList>
</comments>
</file>

<file path=xl/sharedStrings.xml><?xml version="1.0" encoding="utf-8"?>
<sst xmlns="http://schemas.openxmlformats.org/spreadsheetml/2006/main" count="496" uniqueCount="496">
  <si>
    <t>Nom</t>
  </si>
  <si>
    <t>Prénom</t>
  </si>
  <si>
    <t xml:space="preserve">Date entrée</t>
  </si>
  <si>
    <t>Emploi</t>
  </si>
  <si>
    <t xml:space="preserve">SALAIRE CONTRACTUEL
11/2022</t>
  </si>
  <si>
    <t xml:space="preserve">Charges Patronales</t>
  </si>
  <si>
    <t xml:space="preserve">Taux de charges</t>
  </si>
  <si>
    <t xml:space="preserve">SALAIRES BRUTS 2023 RETENUS</t>
  </si>
  <si>
    <t xml:space="preserve">Cotisations sociales</t>
  </si>
  <si>
    <t xml:space="preserve">Nbre TR</t>
  </si>
  <si>
    <t>MONTANT</t>
  </si>
  <si>
    <t xml:space="preserve">Taxe sur les salaires taux global</t>
  </si>
  <si>
    <t xml:space="preserve">Taux Majo 1er tranche</t>
  </si>
  <si>
    <t xml:space="preserve">Taux majo 2e Tranche</t>
  </si>
  <si>
    <t xml:space="preserve">Total T.S.</t>
  </si>
  <si>
    <t>BRACQ</t>
  </si>
  <si>
    <t xml:space="preserve">JEAN JACQUES</t>
  </si>
  <si>
    <t>01/09/1996</t>
  </si>
  <si>
    <t xml:space="preserve">FORMATEUR RESP. SECTEUR</t>
  </si>
  <si>
    <t>BRUXELLE</t>
  </si>
  <si>
    <t>JOEL</t>
  </si>
  <si>
    <t>21/02/2022</t>
  </si>
  <si>
    <t>FORMATEUR</t>
  </si>
  <si>
    <t>CHRETIEN</t>
  </si>
  <si>
    <t>CASSANDRA</t>
  </si>
  <si>
    <t>01/02/2021</t>
  </si>
  <si>
    <t xml:space="preserve">AIDE DOCUMENTALISTE</t>
  </si>
  <si>
    <t>CORMONT</t>
  </si>
  <si>
    <t>OLIVIER</t>
  </si>
  <si>
    <t>01/11/2000</t>
  </si>
  <si>
    <t xml:space="preserve">Resp. Centre Ressources</t>
  </si>
  <si>
    <t>CSIZMADIA</t>
  </si>
  <si>
    <t>CELINE</t>
  </si>
  <si>
    <t>02/05/2022</t>
  </si>
  <si>
    <t>FORMATRICE</t>
  </si>
  <si>
    <t>DEFACQUES</t>
  </si>
  <si>
    <t>EMILIE</t>
  </si>
  <si>
    <t>DECOOL</t>
  </si>
  <si>
    <t>ELODIE</t>
  </si>
  <si>
    <t>01/01/2018</t>
  </si>
  <si>
    <t xml:space="preserve">SECRETAIRE ADMINISTRATIVE</t>
  </si>
  <si>
    <t>DELABIE</t>
  </si>
  <si>
    <t>CHARLOTTE</t>
  </si>
  <si>
    <t>01/09/2021</t>
  </si>
  <si>
    <t>DIRECTEUR</t>
  </si>
  <si>
    <t>DUGUE</t>
  </si>
  <si>
    <t>PIERRE</t>
  </si>
  <si>
    <t>01/09/2015</t>
  </si>
  <si>
    <t xml:space="preserve">responsable site Avion</t>
  </si>
  <si>
    <t>EVRARD</t>
  </si>
  <si>
    <t>01/10/2022</t>
  </si>
  <si>
    <t>EYZOP</t>
  </si>
  <si>
    <t>BENEDICTE</t>
  </si>
  <si>
    <t>15/10/2012</t>
  </si>
  <si>
    <t xml:space="preserve">AGENT ADMINISTRATIF</t>
  </si>
  <si>
    <t>FACON</t>
  </si>
  <si>
    <t>FOMBELLE</t>
  </si>
  <si>
    <t>SABINE</t>
  </si>
  <si>
    <t>01/05/2010</t>
  </si>
  <si>
    <t>GROLEZ</t>
  </si>
  <si>
    <t>SANDRINE</t>
  </si>
  <si>
    <t>17/02/2014</t>
  </si>
  <si>
    <t>COMPTABLE</t>
  </si>
  <si>
    <t>LAUDE</t>
  </si>
  <si>
    <t>MAXIME</t>
  </si>
  <si>
    <t>14/01/2019</t>
  </si>
  <si>
    <t xml:space="preserve">TECHNICIEN QUALIFIE</t>
  </si>
  <si>
    <t>MARTIN</t>
  </si>
  <si>
    <t>CHRISTELLE</t>
  </si>
  <si>
    <t>07/06/2017</t>
  </si>
  <si>
    <t>MENIAL</t>
  </si>
  <si>
    <t>XAVIER</t>
  </si>
  <si>
    <t>02/04/1993</t>
  </si>
  <si>
    <t xml:space="preserve">AGENT POLYVALENT</t>
  </si>
  <si>
    <t>NOUICHI</t>
  </si>
  <si>
    <t>MUSTAPHA</t>
  </si>
  <si>
    <t>01/09/2016</t>
  </si>
  <si>
    <t>POTEAU</t>
  </si>
  <si>
    <t>ALEXANDRA</t>
  </si>
  <si>
    <t xml:space="preserve">GILMET </t>
  </si>
  <si>
    <t>SYLVIE</t>
  </si>
  <si>
    <t xml:space="preserve">GESTIONNAIRE PAIE</t>
  </si>
  <si>
    <t>BOUACHRA</t>
  </si>
  <si>
    <t>KAMEL</t>
  </si>
  <si>
    <t>01/09/2022</t>
  </si>
  <si>
    <t>TOMMASINI</t>
  </si>
  <si>
    <t>Marion</t>
  </si>
  <si>
    <t>MONNIER</t>
  </si>
  <si>
    <t>MATTHIEU</t>
  </si>
  <si>
    <t>Période</t>
  </si>
  <si>
    <t xml:space="preserve">Date début contrat</t>
  </si>
  <si>
    <t xml:space="preserve">Date fin contrat</t>
  </si>
  <si>
    <t xml:space="preserve">Charges sociales</t>
  </si>
  <si>
    <t xml:space="preserve">CHARGES SOCIALES 2023 RETENUES</t>
  </si>
  <si>
    <t xml:space="preserve">DETAIL MOD - PERMANENTS AFERTES </t>
  </si>
  <si>
    <t>Statut</t>
  </si>
  <si>
    <t xml:space="preserve">Date début</t>
  </si>
  <si>
    <t xml:space="preserve">Date Fin</t>
  </si>
  <si>
    <t>Poste</t>
  </si>
  <si>
    <t>Filière</t>
  </si>
  <si>
    <t>Affectation</t>
  </si>
  <si>
    <t xml:space="preserve">Temps h/mois</t>
  </si>
  <si>
    <t xml:space="preserve">Salaire brut (+2% majo pt)</t>
  </si>
  <si>
    <t xml:space="preserve">Cout employeur</t>
  </si>
  <si>
    <t xml:space="preserve">Cotis patro</t>
  </si>
  <si>
    <t>ANDREAU</t>
  </si>
  <si>
    <t>DIDIER</t>
  </si>
  <si>
    <t>CDI/CADRE</t>
  </si>
  <si>
    <t xml:space="preserve">FI ES</t>
  </si>
  <si>
    <t>Formation</t>
  </si>
  <si>
    <t xml:space="preserve">FI ME</t>
  </si>
  <si>
    <t>FC</t>
  </si>
  <si>
    <t xml:space="preserve">CDI/NON CADRE</t>
  </si>
  <si>
    <t xml:space="preserve">AGENT DE BUREAU</t>
  </si>
  <si>
    <t>AUTRE</t>
  </si>
  <si>
    <t>Documentation</t>
  </si>
  <si>
    <t>DELPLANQUE</t>
  </si>
  <si>
    <t>Margot</t>
  </si>
  <si>
    <t>APPRENTISSAGE</t>
  </si>
  <si>
    <t>APPRENTI</t>
  </si>
  <si>
    <t>Comm</t>
  </si>
  <si>
    <t>Administratif</t>
  </si>
  <si>
    <t>Secrétariat</t>
  </si>
  <si>
    <t xml:space="preserve">DEFACQUES </t>
  </si>
  <si>
    <t>CDI</t>
  </si>
  <si>
    <t>Direction</t>
  </si>
  <si>
    <t xml:space="preserve">FI AVION</t>
  </si>
  <si>
    <t xml:space="preserve">Resp site</t>
  </si>
  <si>
    <t xml:space="preserve">Resp filière</t>
  </si>
  <si>
    <t>FAUQUEMBERGUE</t>
  </si>
  <si>
    <t>GILLES</t>
  </si>
  <si>
    <t>GILMET</t>
  </si>
  <si>
    <t xml:space="preserve">CDD CUI CAE/NON CADRE</t>
  </si>
  <si>
    <t xml:space="preserve">AGENT ADMINISTRATIF PRINCIPAL</t>
  </si>
  <si>
    <t xml:space="preserve">Employé polyvalent</t>
  </si>
  <si>
    <t xml:space="preserve">CDI NON CADRE</t>
  </si>
  <si>
    <t>Compta</t>
  </si>
  <si>
    <t xml:space="preserve">Agent accueil</t>
  </si>
  <si>
    <t xml:space="preserve">Assist FC</t>
  </si>
  <si>
    <t xml:space="preserve">Resp technique</t>
  </si>
  <si>
    <t>Alexandra</t>
  </si>
  <si>
    <t>COUVILLERS</t>
  </si>
  <si>
    <t xml:space="preserve">Laurent </t>
  </si>
  <si>
    <t xml:space="preserve">FORMATEUR/ chargé de developpement </t>
  </si>
  <si>
    <t>XXX</t>
  </si>
  <si>
    <t xml:space="preserve">AGENT DE MENAGE</t>
  </si>
  <si>
    <t xml:space="preserve">Femme de ménage</t>
  </si>
  <si>
    <t>Olivier</t>
  </si>
  <si>
    <t>CDI/CAFRE</t>
  </si>
  <si>
    <t xml:space="preserve">RESP DOC</t>
  </si>
  <si>
    <t xml:space="preserve">TOMMASINI </t>
  </si>
  <si>
    <t xml:space="preserve">Marion </t>
  </si>
  <si>
    <t xml:space="preserve">CDI/CADRE </t>
  </si>
  <si>
    <t xml:space="preserve">MONNIER </t>
  </si>
  <si>
    <t>Matthieu</t>
  </si>
  <si>
    <t xml:space="preserve">Tx moyens cotis' pro</t>
  </si>
  <si>
    <t xml:space="preserve">VERIF MANUELLE (attention obsolète si modif hyp. post 21/12/2022) :</t>
  </si>
  <si>
    <t>janv</t>
  </si>
  <si>
    <t xml:space="preserve">fevr-&gt;juin inclus</t>
  </si>
  <si>
    <t xml:space="preserve">juill-&gt;aout inclus</t>
  </si>
  <si>
    <t xml:space="preserve">sept-&gt;déc inclus</t>
  </si>
  <si>
    <t xml:space="preserve">Début du prévisionnel</t>
  </si>
  <si>
    <t>X</t>
  </si>
  <si>
    <t xml:space="preserve">Section à affecter 1</t>
  </si>
  <si>
    <t>Montant</t>
  </si>
  <si>
    <t xml:space="preserve">Section à affecter 2</t>
  </si>
  <si>
    <t xml:space="preserve">Section à affecter 3</t>
  </si>
  <si>
    <t xml:space="preserve">Section à affecter 4</t>
  </si>
  <si>
    <t xml:space="preserve">Section à affecter 5</t>
  </si>
  <si>
    <t xml:space="preserve">Section à affecter 6</t>
  </si>
  <si>
    <t xml:space="preserve">HYPOTHESES D'EXPLOITATION</t>
  </si>
  <si>
    <t xml:space="preserve">TOTAL ANNUEL</t>
  </si>
  <si>
    <t xml:space="preserve">Modalités paiement</t>
  </si>
  <si>
    <t>Alerte</t>
  </si>
  <si>
    <t xml:space="preserve">RYTHME D'ENGAGEMENT</t>
  </si>
  <si>
    <t xml:space="preserve">Détermination de Chiffre d'Affaires (€)</t>
  </si>
  <si>
    <t xml:space="preserve">Droits d'inscription</t>
  </si>
  <si>
    <t xml:space="preserve">Prix moyen (en €)</t>
  </si>
  <si>
    <t>Quantités</t>
  </si>
  <si>
    <t>0j</t>
  </si>
  <si>
    <t xml:space="preserve">Frais de selection</t>
  </si>
  <si>
    <t xml:space="preserve">Conventions formation (CAFERUIS, ALEFPA, Prepa, CNFPT, GAP, Formation perm)</t>
  </si>
  <si>
    <t xml:space="preserve">Conventions formation CAFERUISE</t>
  </si>
  <si>
    <t>Structure</t>
  </si>
  <si>
    <t>Apprentissage</t>
  </si>
  <si>
    <t>VAE</t>
  </si>
  <si>
    <t xml:space="preserve">Formation continue - micro formation</t>
  </si>
  <si>
    <t>DSB</t>
  </si>
  <si>
    <t xml:space="preserve">Autres segments de CA</t>
  </si>
  <si>
    <t>Cotisations</t>
  </si>
  <si>
    <t xml:space="preserve">Remboursement frais site Avion</t>
  </si>
  <si>
    <t>30j</t>
  </si>
  <si>
    <t xml:space="preserve">Segment 12</t>
  </si>
  <si>
    <t xml:space="preserve">Segment 13</t>
  </si>
  <si>
    <t xml:space="preserve">Segment 14</t>
  </si>
  <si>
    <t xml:space="preserve">Segment 15</t>
  </si>
  <si>
    <t xml:space="preserve">RYTHME D'ENCAISSEMENT</t>
  </si>
  <si>
    <t xml:space="preserve">Détermination de Subventions (€)</t>
  </si>
  <si>
    <t xml:space="preserve">Montants conventionnés</t>
  </si>
  <si>
    <t>Région</t>
  </si>
  <si>
    <t>Département</t>
  </si>
  <si>
    <t>Communes</t>
  </si>
  <si>
    <t xml:space="preserve">Autres financeurs</t>
  </si>
  <si>
    <t xml:space="preserve">Aides à l'emploi</t>
  </si>
  <si>
    <t xml:space="preserve">Aide apprentissage</t>
  </si>
  <si>
    <t xml:space="preserve">Financeur 7</t>
  </si>
  <si>
    <t xml:space="preserve">Financeur 8</t>
  </si>
  <si>
    <t xml:space="preserve">Financeur 9</t>
  </si>
  <si>
    <t xml:space="preserve">Financeur 10</t>
  </si>
  <si>
    <t xml:space="preserve">Financeur 11</t>
  </si>
  <si>
    <t xml:space="preserve">Financeur 12</t>
  </si>
  <si>
    <t xml:space="preserve">Financeur 13</t>
  </si>
  <si>
    <t xml:space="preserve">Financeur 14</t>
  </si>
  <si>
    <t xml:space="preserve">Financeur 15</t>
  </si>
  <si>
    <t xml:space="preserve">Financeur 16</t>
  </si>
  <si>
    <t xml:space="preserve">Financeur 17</t>
  </si>
  <si>
    <t xml:space="preserve">Financeur 18</t>
  </si>
  <si>
    <t xml:space="preserve">Financeur 19</t>
  </si>
  <si>
    <t xml:space="preserve">Financeur 20</t>
  </si>
  <si>
    <t xml:space="preserve">Autres produits de gestion courantes</t>
  </si>
  <si>
    <t xml:space="preserve">Reprises sur amortissements et provisions</t>
  </si>
  <si>
    <t xml:space="preserve">Transferts de charges</t>
  </si>
  <si>
    <t xml:space="preserve">Produits financiers</t>
  </si>
  <si>
    <t xml:space="preserve">Produits exceptionnels</t>
  </si>
  <si>
    <t xml:space="preserve">Analyse des charges (€)</t>
  </si>
  <si>
    <t xml:space="preserve">ACHATS ET FRAIS GENERAUX</t>
  </si>
  <si>
    <t xml:space="preserve">Voyage SENEGAL</t>
  </si>
  <si>
    <t>STC</t>
  </si>
  <si>
    <t xml:space="preserve">Projet Voltaire et autres</t>
  </si>
  <si>
    <t xml:space="preserve">Carre potager</t>
  </si>
  <si>
    <t>Carburant</t>
  </si>
  <si>
    <t xml:space="preserve">Produits d'entretien</t>
  </si>
  <si>
    <t xml:space="preserve">Petites fournitures</t>
  </si>
  <si>
    <t xml:space="preserve">Photocopies et frais éducatifs</t>
  </si>
  <si>
    <t xml:space="preserve">Sous-traitance générale</t>
  </si>
  <si>
    <t xml:space="preserve">Stages techniques</t>
  </si>
  <si>
    <t xml:space="preserve">Prestataires formation</t>
  </si>
  <si>
    <t xml:space="preserve">Location immobilière</t>
  </si>
  <si>
    <t xml:space="preserve">Location mobilière</t>
  </si>
  <si>
    <t xml:space="preserve">Entretien sur locaux</t>
  </si>
  <si>
    <t xml:space="preserve">Maintenance  générale</t>
  </si>
  <si>
    <t>Assurance</t>
  </si>
  <si>
    <t xml:space="preserve">Honoraires EC/CAC</t>
  </si>
  <si>
    <t xml:space="preserve">Honoraires paie</t>
  </si>
  <si>
    <t xml:space="preserve">Honoraires divers</t>
  </si>
  <si>
    <t>Communication</t>
  </si>
  <si>
    <t xml:space="preserve">Frais déplacement</t>
  </si>
  <si>
    <t xml:space="preserve">Déplacement vacataires/stagiaires</t>
  </si>
  <si>
    <t xml:space="preserve">Déplacement formateurs</t>
  </si>
  <si>
    <t xml:space="preserve">Déplacements admin</t>
  </si>
  <si>
    <t xml:space="preserve">Frais de mission</t>
  </si>
  <si>
    <t>Téléphonie</t>
  </si>
  <si>
    <t>Affranchissement</t>
  </si>
  <si>
    <t>Internet</t>
  </si>
  <si>
    <t xml:space="preserve">Services bancaires</t>
  </si>
  <si>
    <t>Certification</t>
  </si>
  <si>
    <t>Divers</t>
  </si>
  <si>
    <t xml:space="preserve">Colloques et formations</t>
  </si>
  <si>
    <t xml:space="preserve">Logiciel de documentation</t>
  </si>
  <si>
    <t xml:space="preserve">Charges locatives</t>
  </si>
  <si>
    <t xml:space="preserve">IMPOTS ET TAXES</t>
  </si>
  <si>
    <t xml:space="preserve">Taxe sur les salaires</t>
  </si>
  <si>
    <t xml:space="preserve">Participation à la formation pro</t>
  </si>
  <si>
    <t xml:space="preserve">Redevance TV</t>
  </si>
  <si>
    <t xml:space="preserve">MASSE SALARIALE</t>
  </si>
  <si>
    <t xml:space="preserve">Salaires bruts formateurs permanents/documentation</t>
  </si>
  <si>
    <t xml:space="preserve">Salaires bruts direction et administratif</t>
  </si>
  <si>
    <t xml:space="preserve">Salaires bruts formateurs vacataires</t>
  </si>
  <si>
    <t xml:space="preserve">Charges patronales formateurs permanents/documentation</t>
  </si>
  <si>
    <t xml:space="preserve">Charges patronales direction et administratif</t>
  </si>
  <si>
    <t xml:space="preserve">Charges patronales formateurs vacataires</t>
  </si>
  <si>
    <t>Mutuelles</t>
  </si>
  <si>
    <t xml:space="preserve">Médecine du travail</t>
  </si>
  <si>
    <t xml:space="preserve">Indemnités départ</t>
  </si>
  <si>
    <t xml:space="preserve">Versement CE</t>
  </si>
  <si>
    <t xml:space="preserve">Ticket restaurants</t>
  </si>
  <si>
    <t xml:space="preserve">AUTRES CHARGES DE GESTION COURANTE</t>
  </si>
  <si>
    <t xml:space="preserve">Pertes sur créances irrécouvrables</t>
  </si>
  <si>
    <t>60j</t>
  </si>
  <si>
    <t xml:space="preserve">Cotisations vie statuaire</t>
  </si>
  <si>
    <t xml:space="preserve">Autres charges de gestion courante</t>
  </si>
  <si>
    <t xml:space="preserve">CHARGES FINANCIERES</t>
  </si>
  <si>
    <t xml:space="preserve">Autres charges financières</t>
  </si>
  <si>
    <t xml:space="preserve">CHARGES EXCEPTIONNELLES</t>
  </si>
  <si>
    <t xml:space="preserve">Provisions pour risques et charges</t>
  </si>
  <si>
    <t xml:space="preserve">Autres charges exceptionnelles</t>
  </si>
  <si>
    <t>DAP</t>
  </si>
  <si>
    <t>Amortissements</t>
  </si>
  <si>
    <t>Provisions</t>
  </si>
  <si>
    <t xml:space="preserve">TOTAL CHARGES (en €)</t>
  </si>
  <si>
    <t xml:space="preserve">TOTAL PRODUITS (en €)</t>
  </si>
  <si>
    <t xml:space="preserve">RESULTAT (en €)</t>
  </si>
  <si>
    <t xml:space="preserve">Conventions formation (CAFERUIS, ALEFPA, Prepa, GAP, Formation perm)</t>
  </si>
  <si>
    <t xml:space="preserve">Conventions formation CAFERUIS</t>
  </si>
  <si>
    <t>Electricité</t>
  </si>
  <si>
    <t xml:space="preserve">Emprunt - Prêt automobile</t>
  </si>
  <si>
    <t xml:space="preserve">HYPOTHESES HORS EXPLOITATION</t>
  </si>
  <si>
    <t>Ressources</t>
  </si>
  <si>
    <t xml:space="preserve">Apport associatif</t>
  </si>
  <si>
    <t>Emprunt</t>
  </si>
  <si>
    <t>Autres</t>
  </si>
  <si>
    <t>Besoins</t>
  </si>
  <si>
    <t>Investissement</t>
  </si>
  <si>
    <t xml:space="preserve">Remboursement emprunt</t>
  </si>
  <si>
    <t xml:space="preserve">TVA due (fonctionnement courant)</t>
  </si>
  <si>
    <t xml:space="preserve">BUDGET PREVISIONNEL ANALYTIQUE (hors fisca)</t>
  </si>
  <si>
    <t xml:space="preserve">LIBELLE PREVISIONNEL BUDGETAIRE</t>
  </si>
  <si>
    <t>Clé</t>
  </si>
  <si>
    <t>GLOBAL</t>
  </si>
  <si>
    <t xml:space="preserve">Chiffre d'affaires</t>
  </si>
  <si>
    <t xml:space="preserve">Subventions d'exploitation</t>
  </si>
  <si>
    <t xml:space="preserve">Autres produits de gestion courante</t>
  </si>
  <si>
    <t xml:space="preserve">Reprise sur amortissements et provisions</t>
  </si>
  <si>
    <t xml:space="preserve">TOTAL PRODUITS D'EXPLOITATION</t>
  </si>
  <si>
    <t xml:space="preserve">Achats/Frais généraux</t>
  </si>
  <si>
    <t xml:space="preserve">Emprunt - Parc automobile</t>
  </si>
  <si>
    <t xml:space="preserve">Impôts, taxes et versements assimilés</t>
  </si>
  <si>
    <t xml:space="preserve">Masse salariale</t>
  </si>
  <si>
    <t xml:space="preserve">Dotations aux amortissements et provisions</t>
  </si>
  <si>
    <t xml:space="preserve">Productivité (pour 1€ de MS chargé, …€ de revenus dégagés)</t>
  </si>
  <si>
    <t xml:space="preserve">Total charges d'exploitation</t>
  </si>
  <si>
    <t xml:space="preserve">Résultat d'exploitation</t>
  </si>
  <si>
    <t xml:space="preserve">Charges financières</t>
  </si>
  <si>
    <t xml:space="preserve">Résultat financier</t>
  </si>
  <si>
    <t xml:space="preserve">Charges exceptionnelles</t>
  </si>
  <si>
    <t xml:space="preserve">Résultat exceptionnel</t>
  </si>
  <si>
    <t xml:space="preserve">Résultat général avant affectation des charges indirectes</t>
  </si>
  <si>
    <t xml:space="preserve">Résultat général après affectation des charges indirectes</t>
  </si>
  <si>
    <t xml:space="preserve">SOLDES INTERMEDIAIRES DE GESTION (dont fisca)</t>
  </si>
  <si>
    <t xml:space="preserve">  Production stockée/immobilisée </t>
  </si>
  <si>
    <t xml:space="preserve">  Achats consommés (dont 604 : achat études et prestations de service) </t>
  </si>
  <si>
    <t xml:space="preserve"> Marge brute </t>
  </si>
  <si>
    <t xml:space="preserve"> Autres achats et charges externes </t>
  </si>
  <si>
    <t xml:space="preserve"> Valeur ajoutée </t>
  </si>
  <si>
    <t xml:space="preserve"> Subventions d'exploitation </t>
  </si>
  <si>
    <t xml:space="preserve"> Frais de personnel </t>
  </si>
  <si>
    <t xml:space="preserve"> Impôts, taxes et versements assimilés </t>
  </si>
  <si>
    <t xml:space="preserve"> Transfert de charges </t>
  </si>
  <si>
    <t xml:space="preserve"> Excédent brut d'exploitation </t>
  </si>
  <si>
    <t xml:space="preserve"> Autres charges de gestion courante </t>
  </si>
  <si>
    <t xml:space="preserve"> Autres produits de gestion courante </t>
  </si>
  <si>
    <t xml:space="preserve"> Dotations aux amortissements et provisions </t>
  </si>
  <si>
    <t xml:space="preserve"> Reprise sur amortissements et provisions </t>
  </si>
  <si>
    <t xml:space="preserve"> Résultat d'exploitation </t>
  </si>
  <si>
    <t xml:space="preserve"> Résultat financier </t>
  </si>
  <si>
    <t xml:space="preserve"> Résultat exceptionnel </t>
  </si>
  <si>
    <t xml:space="preserve">Impôts sur les bénéfices</t>
  </si>
  <si>
    <t xml:space="preserve"> Résultat net </t>
  </si>
  <si>
    <t xml:space="preserve">CAF = </t>
  </si>
  <si>
    <t xml:space="preserve">TVA théorique due (fonctionnement courant)</t>
  </si>
  <si>
    <t xml:space="preserve">Tableau d'affectation des charges indirectes prévisionnelles</t>
  </si>
  <si>
    <t xml:space="preserve">Charges indirectes à répartir</t>
  </si>
  <si>
    <t xml:space="preserve">Liste des clés de répartition</t>
  </si>
  <si>
    <t xml:space="preserve">Nature clé</t>
  </si>
  <si>
    <t>N°clé</t>
  </si>
  <si>
    <t xml:space="preserve">Nombre d'UO</t>
  </si>
  <si>
    <t>Total</t>
  </si>
  <si>
    <t xml:space="preserve">Nombre d'étudiants FI</t>
  </si>
  <si>
    <t xml:space="preserve">Volumétrie horaire face-à-face pédagogique</t>
  </si>
  <si>
    <t xml:space="preserve">Masse salariale formateur</t>
  </si>
  <si>
    <t xml:space="preserve">CA + subvention</t>
  </si>
  <si>
    <t xml:space="preserve">PLAN DE TRESORERIE</t>
  </si>
  <si>
    <t xml:space="preserve">Solde initiale</t>
  </si>
  <si>
    <t xml:space="preserve">Entrées fonctionnement</t>
  </si>
  <si>
    <t xml:space="preserve">Facturations / Adhésions</t>
  </si>
  <si>
    <t xml:space="preserve">Entrées hors fonctionnement</t>
  </si>
  <si>
    <t xml:space="preserve">Sorties fonctionnement</t>
  </si>
  <si>
    <t xml:space="preserve">Sorties hors fonctionnement</t>
  </si>
  <si>
    <t xml:space="preserve">Créances antérieures</t>
  </si>
  <si>
    <t xml:space="preserve">Dettes antérieures</t>
  </si>
  <si>
    <t xml:space="preserve">Solde mensuel</t>
  </si>
  <si>
    <t xml:space="preserve">Solde de fin de mois</t>
  </si>
  <si>
    <t xml:space="preserve">PLAN DE TRESORERIE THEORIQUE</t>
  </si>
  <si>
    <t xml:space="preserve">Solde initiale (épargne + compte courant)</t>
  </si>
  <si>
    <t xml:space="preserve">Solde 2021 - région</t>
  </si>
  <si>
    <t xml:space="preserve">Solde 2022 - région</t>
  </si>
  <si>
    <t>ALEFPA</t>
  </si>
  <si>
    <t>CAFERUIS</t>
  </si>
  <si>
    <t>EESTS</t>
  </si>
  <si>
    <t xml:space="preserve">CREANCES DIVERSES</t>
  </si>
  <si>
    <t xml:space="preserve">Cotisations patronales</t>
  </si>
  <si>
    <t xml:space="preserve">Nets vacataires</t>
  </si>
  <si>
    <t xml:space="preserve">Fournisseurs divers</t>
  </si>
  <si>
    <t>Loyers</t>
  </si>
  <si>
    <t xml:space="preserve">Prestataires déc. 2022</t>
  </si>
  <si>
    <t xml:space="preserve">Mobilisation DAILLY (solde 2022 + solde 2023)</t>
  </si>
  <si>
    <t xml:space="preserve">Remboursement crfpe</t>
  </si>
  <si>
    <t xml:space="preserve">Pole recherche</t>
  </si>
  <si>
    <t>PREFAS</t>
  </si>
  <si>
    <t xml:space="preserve">Interêts prêts parc auto</t>
  </si>
  <si>
    <t>SEGUR</t>
  </si>
  <si>
    <t xml:space="preserve">Mobilisation DAILLY</t>
  </si>
  <si>
    <t xml:space="preserve">aout 2026</t>
  </si>
  <si>
    <t xml:space="preserve">decembre 2026</t>
  </si>
  <si>
    <t xml:space="preserve">Solde initial</t>
  </si>
  <si>
    <t xml:space="preserve">Prestation service prev et cohésion sociale</t>
  </si>
  <si>
    <t xml:space="preserve">CAF et DRAC</t>
  </si>
  <si>
    <t xml:space="preserve">Subventions service prev et cohésion sociale ANCT</t>
  </si>
  <si>
    <t xml:space="preserve">Subventions service prev et cohésion sociale CALL</t>
  </si>
  <si>
    <t xml:space="preserve">Subventions service prev et cohésion sociale CAHC</t>
  </si>
  <si>
    <t xml:space="preserve">Subventions service prev et cohésion sociale CUA</t>
  </si>
  <si>
    <t xml:space="preserve">Suventions serv prev et cohésion sociale Region</t>
  </si>
  <si>
    <t xml:space="preserve">Subventions serv prev et cohésion sociale DDFE</t>
  </si>
  <si>
    <t>Mécénat</t>
  </si>
  <si>
    <t xml:space="preserve">Projet Tunisie</t>
  </si>
  <si>
    <t xml:space="preserve">Déménagement + travaux Avion + mise au propre Arras</t>
  </si>
  <si>
    <t xml:space="preserve">moyenne produit</t>
  </si>
  <si>
    <t xml:space="preserve">moyenne charges</t>
  </si>
  <si>
    <t>delta</t>
  </si>
  <si>
    <t xml:space="preserve">PLAN DE FINANCEMENT PREVISIONNEL</t>
  </si>
  <si>
    <t>BESOINS</t>
  </si>
  <si>
    <t xml:space="preserve">INVESTISSEMENTS A REALISER</t>
  </si>
  <si>
    <t xml:space="preserve">Immobilisations Incorporelles</t>
  </si>
  <si>
    <t xml:space="preserve">Immobilisations Corporelles</t>
  </si>
  <si>
    <t xml:space="preserve">Immobilisations Financières </t>
  </si>
  <si>
    <t xml:space="preserve">BESOIN EN FONDS DE ROULEMENT</t>
  </si>
  <si>
    <t xml:space="preserve">Variation du BFR</t>
  </si>
  <si>
    <t xml:space="preserve">REMBOURSEMENT DES EMPRUNTS</t>
  </si>
  <si>
    <t>AUTRES</t>
  </si>
  <si>
    <t xml:space="preserve">TOTAL BESOINS</t>
  </si>
  <si>
    <t>RESSOURCES</t>
  </si>
  <si>
    <t xml:space="preserve">CAPACITE D'AUTO FINANCEMENT</t>
  </si>
  <si>
    <t xml:space="preserve">FONDS PROPRES</t>
  </si>
  <si>
    <t xml:space="preserve">Subvention d'investissement</t>
  </si>
  <si>
    <t xml:space="preserve">QUASI FONDS PROPRES</t>
  </si>
  <si>
    <t xml:space="preserve">Apport en compte courant d'associé</t>
  </si>
  <si>
    <t xml:space="preserve">Prêt participatif, prêt d'honneur, avance remboursable (encours et nouvelles souscriptions)</t>
  </si>
  <si>
    <t>EMPRUNTS</t>
  </si>
  <si>
    <t xml:space="preserve">Prêt bancaire (encours et nouvelles souscriptions)</t>
  </si>
  <si>
    <t xml:space="preserve">TOTAL RESSOURCES</t>
  </si>
  <si>
    <t xml:space="preserve">TRESORERIE CLOTURE N-1</t>
  </si>
  <si>
    <t xml:space="preserve">ECART ANNUEL</t>
  </si>
  <si>
    <t xml:space="preserve">CUMULE FIN D'ANNEE</t>
  </si>
  <si>
    <t xml:space="preserve">DATE DU SUIVI BUDGETAIRE</t>
  </si>
  <si>
    <t xml:space="preserve">SITUATION AU </t>
  </si>
  <si>
    <t xml:space="preserve">N°COMPTE 1</t>
  </si>
  <si>
    <t xml:space="preserve">N°COMPTE 2</t>
  </si>
  <si>
    <t xml:space="preserve">N°COMPTE 3</t>
  </si>
  <si>
    <t xml:space="preserve">N°COMPTE 4</t>
  </si>
  <si>
    <t xml:space="preserve">N°COMPTE 5</t>
  </si>
  <si>
    <t>PREVU</t>
  </si>
  <si>
    <t>REEL</t>
  </si>
  <si>
    <t>ECART</t>
  </si>
  <si>
    <t xml:space="preserve">CHIFFRE D'AFFAIRES</t>
  </si>
  <si>
    <t xml:space="preserve">SUBVENTIONS D'EXPLOITATION</t>
  </si>
  <si>
    <t xml:space="preserve">AUTRES PRODUITS (exploitation, financiers, exceptionnels)</t>
  </si>
  <si>
    <t xml:space="preserve">AUTRES PRODUITS</t>
  </si>
  <si>
    <t xml:space="preserve">TOTAL PRODUITS</t>
  </si>
  <si>
    <t xml:space="preserve">CHARGES D'EXPLOITATION</t>
  </si>
  <si>
    <t xml:space="preserve">AUTRES CHARGES (exploitation, financieres, exceptionnelles)</t>
  </si>
  <si>
    <t xml:space="preserve">AUTRES CHARGES</t>
  </si>
  <si>
    <t xml:space="preserve">TOTAL CHARGES</t>
  </si>
  <si>
    <t>RESULTAT</t>
  </si>
  <si>
    <t xml:space="preserve">vérif' balance comptable</t>
  </si>
  <si>
    <t xml:space="preserve">TABLEAU DE BORD DE L'ACTIVITE</t>
  </si>
  <si>
    <t xml:space="preserve">Indicateur 1</t>
  </si>
  <si>
    <t xml:space="preserve">Indicateur 2</t>
  </si>
  <si>
    <t xml:space="preserve">Indicateur 3</t>
  </si>
  <si>
    <t xml:space="preserve">RESULTAT COMPTABLE</t>
  </si>
  <si>
    <t xml:space="preserve">Objectif : </t>
  </si>
  <si>
    <t xml:space="preserve">Tx réal.</t>
  </si>
  <si>
    <t xml:space="preserve">Indicateur 4</t>
  </si>
  <si>
    <t xml:space="preserve">Indicateur 5</t>
  </si>
  <si>
    <t xml:space="preserve">Indicateur 6</t>
  </si>
  <si>
    <t xml:space="preserve">SOLDE BANCAIRE</t>
  </si>
  <si>
    <t xml:space="preserve">Indicateur 7</t>
  </si>
  <si>
    <t xml:space="preserve">Indicateur 8</t>
  </si>
  <si>
    <t xml:space="preserve">Indicateur 9</t>
  </si>
  <si>
    <t xml:space="preserve">EN-COURS FINANCEURS</t>
  </si>
  <si>
    <t xml:space="preserve">EN-COURS 
CLIENTS</t>
  </si>
  <si>
    <t xml:space="preserve">Commentaires :</t>
  </si>
  <si>
    <t xml:space="preserve">ZONE DE COPIER-COLLER DE LA BALANCE MENSUELLE CUMULEE</t>
  </si>
  <si>
    <t xml:space="preserve">Export des comptes généraux</t>
  </si>
  <si>
    <t>N°Compte</t>
  </si>
  <si>
    <t>Libellé</t>
  </si>
  <si>
    <t>Débit</t>
  </si>
  <si>
    <t>Crédit</t>
  </si>
  <si>
    <t>Solde</t>
  </si>
  <si>
    <t xml:space="preserve">Racine 1</t>
  </si>
  <si>
    <t xml:space="preserve">Racine 2</t>
  </si>
  <si>
    <t xml:space="preserve"> &lt;= DATE BALANCE</t>
  </si>
  <si>
    <t xml:space="preserve">Sections analytiques</t>
  </si>
  <si>
    <t xml:space="preserve">Impôts commerciaux</t>
  </si>
  <si>
    <t xml:space="preserve">Taux TVA moyen</t>
  </si>
  <si>
    <t>NON</t>
  </si>
  <si>
    <t xml:space="preserve">GUIDE D'UTILISATION</t>
  </si>
  <si>
    <r>
      <rPr>
        <b/>
        <u val="single"/>
        <sz val="12"/>
        <rFont val="Arial Narrow"/>
      </rPr>
      <t>PREAMBULE</t>
    </r>
    <r>
      <rPr>
        <sz val="11"/>
        <rFont val="Arial Narrow"/>
      </rPr>
      <t xml:space="preserve">
Acc'ESS est un outil financier au service du projet stratégique des acteurs de l'ESS; il permet d'en évaluer les moyens et les objectifs. Cet outil identife, mesure et prévient les besoins financiers. Il replace la comptabilité et la finance au service de la stratégie et du développement. 
Trois zones de travail sont identifiées sur Ass'ESS : 
 1 - Zone de saisies
 2 - Zone de paramètres
 3 - Zone d'imports
 4 - Zone de rapports
Acc'ESS est un outil libre d'accès que le cabinet Soco&amp;FI met à disposition des structures qu'il accompagne. Toute utilisation du fichier en dehors d'une relation contractuelle avec le cabinet est proscrite. L'utilisateur ayant accès aux fonctions développées par le cabinet Soco&amp;FI, il est le seul responsable de la fiabilité des informations une fois le fichier source transmis. Un contrôle de cohérence doit être systèmatique avant toute analyse/transmission des rapports.
Pour guider l'utilisateur, Soco&amp;FI a volontairement supprimer l'accès aux onglets du tableur excel. Les liaisons sont assurées par des liens hypertextes intégrés aux icones. Dans tous les cas, le nom des onglets ne doit pas être modifié et de la même manière les onglets actuels ne doivent pas être supprimés. Il est toujours possible, le cas échéant, d'insérer de nouveaux onglets en complément de ceux existants. 
</t>
    </r>
  </si>
  <si>
    <t xml:space="preserve">LEGENDES : </t>
  </si>
  <si>
    <t xml:space="preserve"> =&gt; Fond turquoise = Résultat calculé sous contrôle de la structure utilisatrice</t>
  </si>
  <si>
    <t xml:space="preserve"> =&gt; Fond neutre/coloré (hors turquoise) = Saisie libre</t>
  </si>
  <si>
    <t xml:space="preserve">RECOMMANDATIONS D'UTILISATION : </t>
  </si>
  <si>
    <t xml:space="preserve">Acc'ESS ayant été développé sur Excel (logiciel microsoft), son utilisation via d'autres systèmes est susceptible de l'endommagé (openoffice,googlesheets,…). De fait, Soco&amp;FI recommande à l'utilisateur de faire l'acquisition d'une licence Microsoft (cf lien ci-dessous).</t>
  </si>
  <si>
    <t>https://www.microsoft.com/fr-fr/microsoft-365/business/compare-all-microsoft-365-business-products-b?ef_id=a275907fbdda1c620a54f29dede74e45:G:s&amp;OCID=AIDcmm409lj8ne_SEM_a275907fbdda1c620a54f29dede74e45:G:s&amp;lnkd=Bing_O365SMB_Brand&amp;msclkid=a275907fbdda1c620a54f29dede74e45</t>
  </si>
  <si>
    <r>
      <rPr>
        <b/>
        <u val="single"/>
        <sz val="14"/>
        <color rgb="FF002060"/>
        <rFont val="Arial Narrow"/>
      </rPr>
      <t xml:space="preserve">1- ZONES DE SAISIE</t>
    </r>
    <r>
      <rPr>
        <u val="single"/>
        <sz val="11"/>
        <rFont val="Arial Narrow"/>
      </rPr>
      <t xml:space="preserve">
</t>
    </r>
    <r>
      <rPr>
        <i/>
        <u val="single"/>
        <sz val="11"/>
        <rFont val="Arial Narrow"/>
      </rPr>
      <t xml:space="preserve">1.1 Les hypothèses d'exploitation
</t>
    </r>
    <r>
      <rPr>
        <u val="single"/>
        <sz val="11"/>
        <rFont val="Arial Narrow"/>
      </rPr>
      <t xml:space="preserve">
</t>
    </r>
    <r>
      <rPr>
        <sz val="11"/>
        <rFont val="Arial Narrow"/>
      </rPr>
      <t xml:space="preserve">Enjeux
Complétude
Remarques
Conseils</t>
    </r>
    <r>
      <rPr>
        <u val="single"/>
        <sz val="11"/>
        <rFont val="Arial Narrow"/>
      </rPr>
      <t xml:space="preserve">
1.2 Les hypothèses hors exploitation
</t>
    </r>
    <r>
      <rPr>
        <sz val="11"/>
        <rFont val="Arial Narrow"/>
      </rPr>
      <t xml:space="preserve">Enjeux
Complétude
Remarques
Conseils</t>
    </r>
  </si>
  <si>
    <t xml:space="preserve">L'ingénierie déployée dans Acc'ESS permet à son utilisateur d'être guidé dans la construction de ses prévisions financières et de capitaliser sur l'approche itérative de la conduite de projet. Les rapports qui sont générés automatiquement permettent un gain de temps à l'utilisateur, et une fiabilité des données financières. Ils permettent d'amorcer un travail de réflexion sur le pilotage de l'entreprise.
</t>
  </si>
  <si>
    <t xml:space="preserve">L'équipe de Soco&amp;FI vous souhaite une belle aventure entrepreneuriale engagée et de jolies réussites professionnelles</t>
  </si>
</sst>
</file>

<file path=xl/styles.xml><?xml version="1.0" encoding="utf-8"?>
<styleSheet xmlns="http://schemas.openxmlformats.org/spreadsheetml/2006/main" xmlns:mc="http://schemas.openxmlformats.org/markup-compatibility/2006" xmlns:x14="http://schemas.microsoft.com/office/spreadsheetml/2009/9/main" xmlns:x14ac="http://schemas.microsoft.com/office/spreadsheetml/2009/9/ac" xmlns:x16r2="http://schemas.microsoft.com/office/spreadsheetml/2015/02/main" mc:Ignorable="x14ac x16r2">
  <numFmts count="13">
    <numFmt numFmtId="164" formatCode="#,##0.00_);\-#,##0.00;_0;@"/>
    <numFmt numFmtId="165" formatCode="_-* #,##0.00_-;\-* #,##0.00_-;_-* &quot;-&quot;??_-;_-@_-"/>
    <numFmt numFmtId="166" formatCode="_(* #,##0.00_);_(* \(#,##0.00\);_(* &quot;-&quot;??_);_(@_)"/>
    <numFmt numFmtId="167" formatCode="_-* #,##0.00\ &quot;€&quot;_-;\-* #,##0.00\ &quot;€&quot;_-;_-* &quot;-&quot;??\ &quot;€&quot;_-;_-@_-"/>
    <numFmt numFmtId="168" formatCode="_(&quot;€&quot;* #,##0.00_);_(&quot;€&quot;* \(#,##0.00\);_(&quot;€&quot;* &quot;-&quot;??_);_(@_)"/>
    <numFmt numFmtId="169" formatCode="_-* #,##0.00\ _€_-;\-* #,##0.00\ _€_-;_-* &quot;-&quot;??\ _€_-;_-@_-"/>
    <numFmt numFmtId="170" formatCode="[$-40C]mmmm\-yy;@"/>
    <numFmt numFmtId="171" formatCode="_-* #,##0.0_-;\-* #,##0.0_-;_-* &quot;-&quot;??_-;_-@_-"/>
    <numFmt numFmtId="172" formatCode="_-* #,##0_-;\-* #,##0_-;_-* &quot;-&quot;??_-;_-@_-"/>
    <numFmt numFmtId="173" formatCode="_-* #,##0.00\ [$€-40C]_-;\-* #,##0.00\ [$€-40C]_-;_-* &quot;-&quot;??\ [$€-40C]_-;_-@_-"/>
    <numFmt numFmtId="174" formatCode="_-* #,##0\ &quot;€&quot;_-;\-* #,##0\ &quot;€&quot;_-;_-* &quot;-&quot;??\ &quot;€&quot;_-;_-@_-"/>
    <numFmt numFmtId="175" formatCode="&quot;€&quot;#,##0.00_);[Red]\(&quot;€&quot;#,##0.00\)"/>
    <numFmt numFmtId="176" formatCode="_-* #,##0\ [$€-40C]_-;\-* #,##0\ [$€-40C]_-;_-* &quot;-&quot;??\ [$€-40C]_-;_-@_-"/>
  </numFmts>
  <fonts count="72">
    <font>
      <sz val="11.000000"/>
      <color theme="1"/>
      <name val="Calibri"/>
      <scheme val="minor"/>
    </font>
    <font>
      <sz val="10.000000"/>
      <color indexed="64"/>
      <name val="Arial"/>
    </font>
    <font>
      <sz val="11.000000"/>
      <color theme="0"/>
      <name val="Calibri"/>
      <scheme val="minor"/>
    </font>
    <font>
      <sz val="11.000000"/>
      <color indexed="2"/>
      <name val="Calibri"/>
      <scheme val="minor"/>
    </font>
    <font>
      <b/>
      <sz val="11.000000"/>
      <color rgb="FFFA7D00"/>
      <name val="Calibri"/>
      <scheme val="minor"/>
    </font>
    <font>
      <sz val="11.000000"/>
      <color rgb="FFFA7D00"/>
      <name val="Calibri"/>
      <scheme val="minor"/>
    </font>
    <font>
      <b/>
      <sz val="10.000000"/>
      <color indexed="64"/>
      <name val="Arial"/>
    </font>
    <font>
      <sz val="11.000000"/>
      <color rgb="FF3F3F76"/>
      <name val="Calibri"/>
      <scheme val="minor"/>
    </font>
    <font>
      <sz val="11.000000"/>
      <color rgb="FF9C0006"/>
      <name val="Calibri"/>
      <scheme val="minor"/>
    </font>
    <font>
      <u/>
      <sz val="11.000000"/>
      <color theme="10"/>
      <name val="Calibri"/>
      <scheme val="minor"/>
    </font>
    <font>
      <sz val="11.000000"/>
      <color rgb="FF9C5700"/>
      <name val="Calibri"/>
      <scheme val="minor"/>
    </font>
    <font>
      <sz val="11.000000"/>
      <color rgb="FF006100"/>
      <name val="Calibri"/>
      <scheme val="minor"/>
    </font>
    <font>
      <b/>
      <sz val="11.000000"/>
      <color rgb="FF3F3F3F"/>
      <name val="Calibri"/>
      <scheme val="minor"/>
    </font>
    <font>
      <i/>
      <sz val="11.000000"/>
      <color rgb="FF7F7F7F"/>
      <name val="Calibri"/>
      <scheme val="minor"/>
    </font>
    <font>
      <sz val="18.000000"/>
      <color theme="3"/>
      <name val="Calibri Light"/>
      <scheme val="major"/>
    </font>
    <font>
      <b/>
      <sz val="15.000000"/>
      <color theme="3"/>
      <name val="Calibri"/>
      <scheme val="minor"/>
    </font>
    <font>
      <b/>
      <sz val="13.000000"/>
      <color theme="3"/>
      <name val="Calibri"/>
      <scheme val="minor"/>
    </font>
    <font>
      <b/>
      <sz val="11.000000"/>
      <color theme="3"/>
      <name val="Calibri"/>
      <scheme val="minor"/>
    </font>
    <font>
      <b/>
      <sz val="11.000000"/>
      <color theme="1"/>
      <name val="Calibri"/>
      <scheme val="minor"/>
    </font>
    <font>
      <b/>
      <sz val="11.000000"/>
      <color theme="0"/>
      <name val="Calibri"/>
      <scheme val="minor"/>
    </font>
    <font>
      <sz val="10.000000"/>
      <color indexed="2"/>
      <name val="Arial"/>
    </font>
    <font>
      <b/>
      <u/>
      <sz val="14.000000"/>
      <color theme="1"/>
      <name val="Calibri"/>
      <scheme val="minor"/>
    </font>
    <font>
      <sz val="11.000000"/>
      <name val="Calibri"/>
      <scheme val="minor"/>
    </font>
    <font>
      <b/>
      <sz val="12.000000"/>
      <color theme="1"/>
      <name val="Calibri"/>
      <scheme val="minor"/>
    </font>
    <font>
      <b/>
      <u/>
      <sz val="11.000000"/>
      <color theme="1"/>
      <name val="Calibri"/>
      <scheme val="minor"/>
    </font>
    <font>
      <i/>
      <sz val="9.000000"/>
      <color theme="1"/>
      <name val="Calibri"/>
      <scheme val="minor"/>
    </font>
    <font>
      <b/>
      <sz val="16.000000"/>
      <name val="Calibri"/>
      <scheme val="minor"/>
    </font>
    <font>
      <b/>
      <i/>
      <sz val="12.000000"/>
      <color theme="1"/>
      <name val="Calibri"/>
      <scheme val="minor"/>
    </font>
    <font>
      <b/>
      <sz val="14.000000"/>
      <color theme="1"/>
      <name val="Calibri"/>
      <scheme val="minor"/>
    </font>
    <font>
      <b/>
      <i/>
      <sz val="11.000000"/>
      <color theme="1"/>
      <name val="Calibri"/>
      <scheme val="minor"/>
    </font>
    <font>
      <i/>
      <sz val="9.000000"/>
      <name val="Calibri"/>
      <scheme val="minor"/>
    </font>
    <font>
      <b/>
      <i/>
      <sz val="9.000000"/>
      <color theme="1"/>
      <name val="Calibri"/>
      <scheme val="minor"/>
    </font>
    <font>
      <b/>
      <i/>
      <sz val="10.000000"/>
      <color theme="1"/>
      <name val="Calibri"/>
      <scheme val="minor"/>
    </font>
    <font>
      <b/>
      <sz val="16.000000"/>
      <color theme="1"/>
      <name val="Calibri"/>
      <scheme val="minor"/>
    </font>
    <font>
      <sz val="16.000000"/>
      <color theme="0"/>
      <name val="Calibri"/>
      <scheme val="minor"/>
    </font>
    <font>
      <b/>
      <sz val="18.000000"/>
      <color theme="1"/>
      <name val="Calibri"/>
      <scheme val="minor"/>
    </font>
    <font>
      <b/>
      <sz val="14.000000"/>
      <color theme="0"/>
      <name val="Calibri"/>
      <scheme val="minor"/>
    </font>
    <font>
      <i/>
      <sz val="11.000000"/>
      <color indexed="2"/>
      <name val="Calibri"/>
      <scheme val="minor"/>
    </font>
    <font>
      <b/>
      <i/>
      <sz val="14.000000"/>
      <color indexed="2"/>
      <name val="Calibri"/>
      <scheme val="minor"/>
    </font>
    <font>
      <b/>
      <sz val="13.500000"/>
      <name val="Calibri"/>
      <scheme val="minor"/>
    </font>
    <font>
      <b/>
      <sz val="13.500000"/>
      <color theme="0"/>
      <name val="Calibri"/>
      <scheme val="minor"/>
    </font>
    <font>
      <i/>
      <sz val="11.000000"/>
      <color theme="1"/>
      <name val="Calibri"/>
      <scheme val="minor"/>
    </font>
    <font>
      <sz val="10.000000"/>
      <color theme="1"/>
      <name val="Calibri"/>
      <scheme val="minor"/>
    </font>
    <font>
      <sz val="11.000000"/>
      <color theme="1"/>
      <name val="Arial Narrow"/>
    </font>
    <font>
      <b/>
      <sz val="11.000000"/>
      <color theme="0"/>
      <name val="Arial Narrow"/>
    </font>
    <font>
      <b/>
      <sz val="11.000000"/>
      <color theme="1"/>
      <name val="Arial Narrow"/>
    </font>
    <font>
      <i/>
      <sz val="11.000000"/>
      <color theme="1"/>
      <name val="Arial Narrow"/>
    </font>
    <font>
      <b/>
      <sz val="11.000000"/>
      <color rgb="FF002060"/>
      <name val="Calibri"/>
      <scheme val="minor"/>
    </font>
    <font>
      <b/>
      <sz val="16.000000"/>
      <color rgb="FF002060"/>
      <name val="Calibri"/>
      <scheme val="minor"/>
    </font>
    <font>
      <i/>
      <sz val="10.000000"/>
      <color theme="1"/>
      <name val="Calibri"/>
      <scheme val="minor"/>
    </font>
    <font>
      <b/>
      <sz val="20.000000"/>
      <color theme="1"/>
      <name val="Calibri"/>
      <scheme val="minor"/>
    </font>
    <font>
      <b/>
      <i/>
      <sz val="12.000000"/>
      <color rgb="FF002060"/>
      <name val="Calibri"/>
      <scheme val="minor"/>
    </font>
    <font>
      <sz val="11.000000"/>
      <color theme="0" tint="-0.14999847407452621"/>
      <name val="Calibri"/>
      <scheme val="minor"/>
    </font>
    <font>
      <sz val="36.000000"/>
      <color theme="1"/>
      <name val="Calibri"/>
      <scheme val="minor"/>
    </font>
    <font>
      <b/>
      <sz val="16.000000"/>
      <color theme="0"/>
      <name val="Calibri"/>
      <scheme val="minor"/>
    </font>
    <font>
      <b/>
      <i/>
      <sz val="14.000000"/>
      <color theme="1"/>
      <name val="Calibri"/>
      <scheme val="minor"/>
    </font>
    <font>
      <i/>
      <sz val="11.000000"/>
      <color rgb="FF002060"/>
      <name val="Calibri"/>
      <scheme val="minor"/>
    </font>
    <font>
      <b/>
      <sz val="12.000000"/>
      <color theme="0"/>
      <name val="Calibri"/>
      <scheme val="minor"/>
    </font>
    <font>
      <b/>
      <sz val="12.000000"/>
      <name val="Calibri"/>
      <scheme val="minor"/>
    </font>
    <font>
      <b/>
      <sz val="14.000000"/>
      <color rgb="FF002060"/>
      <name val="Calibri"/>
      <scheme val="minor"/>
    </font>
    <font>
      <b/>
      <sz val="11.000000"/>
      <name val="Calibri"/>
      <scheme val="minor"/>
    </font>
    <font>
      <i/>
      <sz val="10.000000"/>
      <color indexed="2"/>
      <name val="Calibri"/>
      <scheme val="minor"/>
    </font>
    <font>
      <b/>
      <sz val="14.000000"/>
      <color rgb="FF00B0F0"/>
      <name val="Calibri"/>
      <scheme val="minor"/>
    </font>
    <font>
      <b/>
      <sz val="48.000000"/>
      <color theme="1"/>
      <name val="Calibri"/>
      <scheme val="minor"/>
    </font>
    <font>
      <b/>
      <sz val="11.000000"/>
      <name val="Arial Narrow"/>
    </font>
    <font>
      <u/>
      <sz val="11.000000"/>
      <name val="Arial Narrow"/>
    </font>
    <font>
      <sz val="11.000000"/>
      <name val="Arial Narrow"/>
    </font>
    <font>
      <i/>
      <sz val="16.000000"/>
      <color rgb="FF002060"/>
      <name val="Arial Narrow"/>
    </font>
    <font>
      <b/>
      <i/>
      <sz val="11.500000"/>
      <name val="Calibri"/>
      <scheme val="minor"/>
    </font>
    <font>
      <b/>
      <sz val="16.000000"/>
      <name val="MV Boli"/>
    </font>
    <font>
      <sz val="11.000000"/>
      <color theme="8" tint="-0.249977111117893"/>
      <name val="Calibri"/>
      <scheme val="minor"/>
    </font>
    <font>
      <b/>
      <i/>
      <u/>
      <sz val="16.000000"/>
      <color theme="1"/>
      <name val="Calibri"/>
      <scheme val="minor"/>
    </font>
  </fonts>
  <fills count="54">
    <fill>
      <patternFill patternType="none"/>
    </fill>
    <fill>
      <patternFill patternType="gray125"/>
    </fill>
    <fill>
      <patternFill patternType="solid">
        <fgColor theme="4" tint="0.79998168889431442"/>
        <bgColor indexed="65"/>
      </patternFill>
    </fill>
    <fill>
      <patternFill patternType="solid">
        <fgColor theme="5" tint="0.79998168889431442"/>
        <bgColor indexed="65"/>
      </patternFill>
    </fill>
    <fill>
      <patternFill patternType="solid">
        <fgColor theme="6" tint="0.79998168889431442"/>
        <bgColor indexed="65"/>
      </patternFill>
    </fill>
    <fill>
      <patternFill patternType="solid">
        <fgColor theme="7" tint="0.79998168889431442"/>
        <bgColor indexed="65"/>
      </patternFill>
    </fill>
    <fill>
      <patternFill patternType="solid">
        <fgColor theme="8" tint="0.79998168889431442"/>
        <bgColor indexed="65"/>
      </patternFill>
    </fill>
    <fill>
      <patternFill patternType="solid">
        <fgColor theme="9" tint="0.79998168889431442"/>
        <bgColor indexed="65"/>
      </patternFill>
    </fill>
    <fill>
      <patternFill patternType="solid">
        <fgColor indexed="65"/>
      </patternFill>
    </fill>
    <fill>
      <patternFill patternType="solid">
        <fgColor theme="4" tint="0.59999389629810485"/>
        <bgColor indexed="65"/>
      </patternFill>
    </fill>
    <fill>
      <patternFill patternType="solid">
        <fgColor theme="5" tint="0.59999389629810485"/>
        <bgColor indexed="65"/>
      </patternFill>
    </fill>
    <fill>
      <patternFill patternType="solid">
        <fgColor theme="6" tint="0.59999389629810485"/>
        <bgColor indexed="65"/>
      </patternFill>
    </fill>
    <fill>
      <patternFill patternType="solid">
        <fgColor theme="7" tint="0.59999389629810485"/>
        <bgColor indexed="65"/>
      </patternFill>
    </fill>
    <fill>
      <patternFill patternType="solid">
        <fgColor theme="8" tint="0.59999389629810485"/>
        <bgColor indexed="65"/>
      </patternFill>
    </fill>
    <fill>
      <patternFill patternType="solid">
        <fgColor theme="9" tint="0.59999389629810485"/>
        <bgColor indexed="65"/>
      </patternFill>
    </fill>
    <fill>
      <patternFill patternType="solid">
        <fgColor theme="4" tint="0.39997558519241921"/>
        <bgColor indexed="65"/>
      </patternFill>
    </fill>
    <fill>
      <patternFill patternType="solid">
        <fgColor theme="5" tint="0.39997558519241921"/>
        <bgColor indexed="65"/>
      </patternFill>
    </fill>
    <fill>
      <patternFill patternType="solid">
        <fgColor theme="6" tint="0.39997558519241921"/>
        <bgColor indexed="65"/>
      </patternFill>
    </fill>
    <fill>
      <patternFill patternType="solid">
        <fgColor theme="7" tint="0.39997558519241921"/>
        <bgColor indexed="65"/>
      </patternFill>
    </fill>
    <fill>
      <patternFill patternType="solid">
        <fgColor theme="8" tint="0.39997558519241921"/>
        <bgColor indexed="65"/>
      </patternFill>
    </fill>
    <fill>
      <patternFill patternType="solid">
        <fgColor theme="9" tint="0.39997558519241921"/>
        <bgColor indexed="65"/>
      </patternFill>
    </fill>
    <fill>
      <patternFill patternType="solid">
        <fgColor theme="4"/>
      </patternFill>
    </fill>
    <fill>
      <patternFill patternType="solid">
        <fgColor theme="5"/>
      </patternFill>
    </fill>
    <fill>
      <patternFill patternType="solid">
        <fgColor theme="6"/>
      </patternFill>
    </fill>
    <fill>
      <patternFill patternType="solid">
        <fgColor theme="7"/>
      </patternFill>
    </fill>
    <fill>
      <patternFill patternType="solid">
        <fgColor theme="8"/>
      </patternFill>
    </fill>
    <fill>
      <patternFill patternType="solid">
        <fgColor theme="9"/>
      </patternFill>
    </fill>
    <fill>
      <patternFill patternType="solid">
        <fgColor rgb="FFF2F2F2"/>
      </patternFill>
    </fill>
    <fill>
      <patternFill patternType="solid">
        <fgColor rgb="FFC6E2FF"/>
      </patternFill>
    </fill>
    <fill>
      <patternFill patternType="solid">
        <fgColor indexed="47"/>
      </patternFill>
    </fill>
    <fill>
      <patternFill patternType="solid">
        <fgColor rgb="FFFFC7CE"/>
      </patternFill>
    </fill>
    <fill>
      <patternFill patternType="solid">
        <fgColor rgb="FFFFEB9C"/>
      </patternFill>
    </fill>
    <fill>
      <patternFill patternType="solid">
        <fgColor indexed="26"/>
      </patternFill>
    </fill>
    <fill>
      <patternFill patternType="solid">
        <fgColor rgb="FFC6EFCE"/>
      </patternFill>
    </fill>
    <fill>
      <patternFill patternType="solid">
        <fgColor rgb="FFA5A5A5"/>
      </patternFill>
    </fill>
    <fill>
      <patternFill patternType="solid">
        <fgColor theme="7" tint="0.59999389629810485"/>
      </patternFill>
    </fill>
    <fill>
      <patternFill patternType="solid">
        <fgColor theme="0"/>
      </patternFill>
    </fill>
    <fill>
      <patternFill patternType="solid">
        <fgColor theme="1"/>
      </patternFill>
    </fill>
    <fill>
      <patternFill patternType="solid">
        <fgColor theme="0" tint="-0.049989318521683403"/>
      </patternFill>
    </fill>
    <fill>
      <patternFill patternType="solid">
        <fgColor theme="8" tint="0.79998168889431442"/>
      </patternFill>
    </fill>
    <fill>
      <patternFill patternType="solid">
        <fgColor rgb="FFFFEFFF"/>
      </patternFill>
    </fill>
    <fill>
      <patternFill patternType="solid">
        <fgColor rgb="FF92D050"/>
      </patternFill>
    </fill>
    <fill>
      <patternFill patternType="solid">
        <fgColor rgb="FFCEFEFC"/>
      </patternFill>
    </fill>
    <fill>
      <patternFill patternType="solid">
        <fgColor theme="8" tint="0.59999389629810485"/>
      </patternFill>
    </fill>
    <fill>
      <patternFill patternType="solid">
        <fgColor indexed="2"/>
      </patternFill>
    </fill>
    <fill>
      <patternFill patternType="solid">
        <fgColor rgb="FF00B050"/>
      </patternFill>
    </fill>
    <fill>
      <patternFill patternType="solid">
        <fgColor rgb="FF002060"/>
      </patternFill>
    </fill>
    <fill>
      <patternFill patternType="solid">
        <fgColor theme="0" tint="-0.14999847407452621"/>
      </patternFill>
    </fill>
    <fill>
      <patternFill patternType="solid">
        <fgColor theme="6" tint="0.39997558519241921"/>
      </patternFill>
    </fill>
    <fill>
      <patternFill patternType="solid">
        <fgColor theme="0" tint="-0.249977111117893"/>
      </patternFill>
    </fill>
    <fill>
      <patternFill patternType="solid">
        <fgColor theme="0" tint="-0.499984740745262"/>
      </patternFill>
    </fill>
    <fill>
      <patternFill patternType="solid">
        <fgColor rgb="FFC00000"/>
      </patternFill>
    </fill>
    <fill>
      <patternFill patternType="solid">
        <fgColor rgb="FF70FCF5"/>
      </patternFill>
    </fill>
    <fill>
      <patternFill patternType="solid">
        <fgColor theme="4" tint="0.79998168889431442"/>
      </patternFill>
    </fill>
  </fills>
  <borders count="86">
    <border>
      <left style="none"/>
      <right style="none"/>
      <top style="none"/>
      <bottom style="none"/>
      <diagonal style="none"/>
    </border>
    <border>
      <left style="thin">
        <color auto="1"/>
      </left>
      <right style="thin">
        <color auto="1"/>
      </right>
      <top style="thin">
        <color auto="1"/>
      </top>
      <bottom style="thin">
        <color auto="1"/>
      </bottom>
      <diagonal style="none"/>
    </border>
    <border>
      <left style="thin">
        <color rgb="FF7F7F7F"/>
      </left>
      <right style="thin">
        <color rgb="FF7F7F7F"/>
      </right>
      <top style="thin">
        <color rgb="FF7F7F7F"/>
      </top>
      <bottom style="thin">
        <color rgb="FF7F7F7F"/>
      </bottom>
      <diagonal style="none"/>
    </border>
    <border>
      <left style="none"/>
      <right style="none"/>
      <top style="none"/>
      <bottom style="double">
        <color rgb="FFFF8001"/>
      </bottom>
      <diagonal style="none"/>
    </border>
    <border>
      <left style="thin">
        <color rgb="FFB2B2B2"/>
      </left>
      <right style="thin">
        <color rgb="FFB2B2B2"/>
      </right>
      <top style="thin">
        <color rgb="FFB2B2B2"/>
      </top>
      <bottom style="thin">
        <color rgb="FFB2B2B2"/>
      </bottom>
      <diagonal style="none"/>
    </border>
    <border>
      <left style="thin">
        <color rgb="FF3F3F3F"/>
      </left>
      <right style="thin">
        <color rgb="FF3F3F3F"/>
      </right>
      <top style="thin">
        <color rgb="FF3F3F3F"/>
      </top>
      <bottom style="thin">
        <color rgb="FF3F3F3F"/>
      </bottom>
      <diagonal style="none"/>
    </border>
    <border>
      <left style="none"/>
      <right style="none"/>
      <top style="none"/>
      <bottom style="thick">
        <color theme="4"/>
      </bottom>
      <diagonal style="none"/>
    </border>
    <border>
      <left style="none"/>
      <right style="none"/>
      <top style="none"/>
      <bottom style="thick">
        <color theme="4" tint="0.499984740745262"/>
      </bottom>
      <diagonal style="none"/>
    </border>
    <border>
      <left style="none"/>
      <right style="none"/>
      <top style="none"/>
      <bottom style="medium">
        <color theme="4" tint="0.39997558519241921"/>
      </bottom>
      <diagonal style="none"/>
    </border>
    <border>
      <left style="none"/>
      <right style="none"/>
      <top style="thin">
        <color theme="4"/>
      </top>
      <bottom style="double">
        <color theme="4"/>
      </bottom>
      <diagonal style="none"/>
    </border>
    <border>
      <left style="double">
        <color rgb="FF3F3F3F"/>
      </left>
      <right style="double">
        <color rgb="FF3F3F3F"/>
      </right>
      <top style="double">
        <color rgb="FF3F3F3F"/>
      </top>
      <bottom style="double">
        <color rgb="FF3F3F3F"/>
      </bottom>
      <diagonal style="none"/>
    </border>
    <border>
      <left style="thin">
        <color auto="1"/>
      </left>
      <right style="thin">
        <color auto="1"/>
      </right>
      <top style="none"/>
      <bottom style="none"/>
      <diagonal style="none"/>
    </border>
    <border>
      <left style="medium">
        <color auto="1"/>
      </left>
      <right style="thin">
        <color auto="1"/>
      </right>
      <top style="medium">
        <color auto="1"/>
      </top>
      <bottom style="thin">
        <color auto="1"/>
      </bottom>
      <diagonal style="none"/>
    </border>
    <border>
      <left style="thin">
        <color auto="1"/>
      </left>
      <right style="thin">
        <color auto="1"/>
      </right>
      <top style="medium">
        <color auto="1"/>
      </top>
      <bottom style="thin">
        <color auto="1"/>
      </bottom>
      <diagonal style="none"/>
    </border>
    <border>
      <left style="thin">
        <color auto="1"/>
      </left>
      <right style="medium">
        <color auto="1"/>
      </right>
      <top style="medium">
        <color auto="1"/>
      </top>
      <bottom style="thin">
        <color auto="1"/>
      </bottom>
      <diagonal style="none"/>
    </border>
    <border>
      <left style="medium">
        <color auto="1"/>
      </left>
      <right style="none"/>
      <top style="none"/>
      <bottom style="none"/>
      <diagonal style="none"/>
    </border>
    <border>
      <left style="none"/>
      <right style="medium">
        <color auto="1"/>
      </right>
      <top style="none"/>
      <bottom style="none"/>
      <diagonal style="none"/>
    </border>
    <border>
      <left style="medium">
        <color auto="1"/>
      </left>
      <right style="none"/>
      <top style="none"/>
      <bottom style="medium">
        <color auto="1"/>
      </bottom>
      <diagonal style="none"/>
    </border>
    <border>
      <left style="none"/>
      <right style="none"/>
      <top style="none"/>
      <bottom style="medium">
        <color auto="1"/>
      </bottom>
      <diagonal style="none"/>
    </border>
    <border>
      <left style="none"/>
      <right style="medium">
        <color auto="1"/>
      </right>
      <top style="none"/>
      <bottom style="medium">
        <color auto="1"/>
      </bottom>
      <diagonal style="none"/>
    </border>
    <border>
      <left style="medium">
        <color auto="1"/>
      </left>
      <right style="none"/>
      <top style="medium">
        <color auto="1"/>
      </top>
      <bottom style="medium">
        <color auto="1"/>
      </bottom>
      <diagonal style="none"/>
    </border>
    <border>
      <left style="none"/>
      <right style="none"/>
      <top style="medium">
        <color auto="1"/>
      </top>
      <bottom style="medium">
        <color auto="1"/>
      </bottom>
      <diagonal style="none"/>
    </border>
    <border>
      <left style="none"/>
      <right style="medium">
        <color auto="1"/>
      </right>
      <top style="medium">
        <color auto="1"/>
      </top>
      <bottom style="medium">
        <color auto="1"/>
      </bottom>
      <diagonal style="none"/>
    </border>
    <border>
      <left style="medium">
        <color auto="1"/>
      </left>
      <right style="thin">
        <color auto="1"/>
      </right>
      <top style="none"/>
      <bottom style="none"/>
      <diagonal style="none"/>
    </border>
    <border>
      <left style="thin">
        <color auto="1"/>
      </left>
      <right style="medium">
        <color auto="1"/>
      </right>
      <top style="none"/>
      <bottom style="none"/>
      <diagonal style="none"/>
    </border>
    <border>
      <left style="none"/>
      <right style="none"/>
      <top style="none"/>
      <bottom style="thick">
        <color auto="1"/>
      </bottom>
      <diagonal style="none"/>
    </border>
    <border>
      <left style="none"/>
      <right style="none"/>
      <top style="thin">
        <color auto="1"/>
      </top>
      <bottom style="thin">
        <color auto="1"/>
      </bottom>
      <diagonal style="none"/>
    </border>
    <border>
      <left style="none"/>
      <right style="none"/>
      <top style="thick">
        <color auto="1"/>
      </top>
      <bottom style="thick">
        <color auto="1"/>
      </bottom>
      <diagonal style="none"/>
    </border>
    <border>
      <left style="none"/>
      <right style="none"/>
      <top style="thick">
        <color auto="1"/>
      </top>
      <bottom style="thin">
        <color auto="1"/>
      </bottom>
      <diagonal style="none"/>
    </border>
    <border>
      <left style="none"/>
      <right style="none"/>
      <top style="none"/>
      <bottom style="thin">
        <color auto="1"/>
      </bottom>
      <diagonal style="none"/>
    </border>
    <border>
      <left style="none"/>
      <right style="none"/>
      <top style="thin">
        <color auto="1"/>
      </top>
      <bottom style="thick">
        <color auto="1"/>
      </bottom>
      <diagonal style="none"/>
    </border>
    <border>
      <left style="none"/>
      <right style="none"/>
      <top style="thick">
        <color auto="1"/>
      </top>
      <bottom style="none"/>
      <diagonal style="none"/>
    </border>
    <border>
      <left style="none"/>
      <right style="none"/>
      <top style="thin">
        <color auto="1"/>
      </top>
      <bottom style="none"/>
      <diagonal style="none"/>
    </border>
    <border>
      <left style="medium">
        <color auto="1"/>
      </left>
      <right style="thin">
        <color auto="1"/>
      </right>
      <top style="medium">
        <color auto="1"/>
      </top>
      <bottom style="none"/>
      <diagonal style="none"/>
    </border>
    <border>
      <left style="thin">
        <color auto="1"/>
      </left>
      <right style="medium">
        <color auto="1"/>
      </right>
      <top style="medium">
        <color auto="1"/>
      </top>
      <bottom style="none"/>
      <diagonal style="none"/>
    </border>
    <border>
      <left style="medium">
        <color auto="1"/>
      </left>
      <right style="thin">
        <color auto="1"/>
      </right>
      <top style="thin">
        <color auto="1"/>
      </top>
      <bottom style="medium">
        <color auto="1"/>
      </bottom>
      <diagonal style="none"/>
    </border>
    <border>
      <left style="thin">
        <color auto="1"/>
      </left>
      <right style="thin">
        <color auto="1"/>
      </right>
      <top style="thin">
        <color auto="1"/>
      </top>
      <bottom style="medium">
        <color auto="1"/>
      </bottom>
      <diagonal style="none"/>
    </border>
    <border>
      <left style="thin">
        <color auto="1"/>
      </left>
      <right style="medium">
        <color auto="1"/>
      </right>
      <top style="thin">
        <color auto="1"/>
      </top>
      <bottom style="medium">
        <color auto="1"/>
      </bottom>
      <diagonal style="none"/>
    </border>
    <border>
      <left style="medium">
        <color auto="1"/>
      </left>
      <right style="thin">
        <color auto="1"/>
      </right>
      <top style="none"/>
      <bottom style="medium">
        <color auto="1"/>
      </bottom>
      <diagonal style="none"/>
    </border>
    <border>
      <left style="thin">
        <color auto="1"/>
      </left>
      <right style="medium">
        <color auto="1"/>
      </right>
      <top style="none"/>
      <bottom style="medium">
        <color auto="1"/>
      </bottom>
      <diagonal style="none"/>
    </border>
    <border>
      <left style="thin">
        <color auto="1"/>
      </left>
      <right style="thin">
        <color auto="1"/>
      </right>
      <top style="none"/>
      <bottom style="medium">
        <color auto="1"/>
      </bottom>
      <diagonal style="none"/>
    </border>
    <border>
      <left style="medium">
        <color auto="1"/>
      </left>
      <right style="none"/>
      <top style="none"/>
      <bottom style="thin">
        <color auto="1"/>
      </bottom>
      <diagonal style="none"/>
    </border>
    <border>
      <left style="none"/>
      <right style="medium">
        <color auto="1"/>
      </right>
      <top style="none"/>
      <bottom style="thin">
        <color auto="1"/>
      </bottom>
      <diagonal style="none"/>
    </border>
    <border>
      <left style="medium">
        <color auto="1"/>
      </left>
      <right style="thin">
        <color auto="1"/>
      </right>
      <top style="none"/>
      <bottom style="thin">
        <color auto="1"/>
      </bottom>
      <diagonal style="none"/>
    </border>
    <border>
      <left style="none"/>
      <right style="thin">
        <color auto="1"/>
      </right>
      <top style="none"/>
      <bottom style="thin">
        <color auto="1"/>
      </bottom>
      <diagonal style="none"/>
    </border>
    <border>
      <left style="medium">
        <color auto="1"/>
      </left>
      <right style="thin">
        <color auto="1"/>
      </right>
      <top style="thin">
        <color auto="1"/>
      </top>
      <bottom style="thin">
        <color auto="1"/>
      </bottom>
      <diagonal style="none"/>
    </border>
    <border>
      <left style="thin">
        <color auto="1"/>
      </left>
      <right style="medium">
        <color auto="1"/>
      </right>
      <top style="thin">
        <color auto="1"/>
      </top>
      <bottom style="thin">
        <color auto="1"/>
      </bottom>
      <diagonal style="none"/>
    </border>
    <border>
      <left style="medium">
        <color auto="1"/>
      </left>
      <right style="none"/>
      <top style="thin">
        <color auto="1"/>
      </top>
      <bottom style="thin">
        <color auto="1"/>
      </bottom>
      <diagonal style="none"/>
    </border>
    <border>
      <left style="none"/>
      <right style="medium">
        <color auto="1"/>
      </right>
      <top style="thin">
        <color auto="1"/>
      </top>
      <bottom style="thin">
        <color auto="1"/>
      </bottom>
      <diagonal style="none"/>
    </border>
    <border>
      <left style="none"/>
      <right style="thin">
        <color auto="1"/>
      </right>
      <top style="thin">
        <color auto="1"/>
      </top>
      <bottom style="thin">
        <color auto="1"/>
      </bottom>
      <diagonal style="none"/>
    </border>
    <border>
      <left style="medium">
        <color auto="1"/>
      </left>
      <right style="thin">
        <color auto="1"/>
      </right>
      <top style="medium">
        <color auto="1"/>
      </top>
      <bottom style="medium">
        <color auto="1"/>
      </bottom>
      <diagonal style="none"/>
    </border>
    <border>
      <left style="medium">
        <color auto="1"/>
      </left>
      <right style="medium">
        <color auto="1"/>
      </right>
      <top style="medium">
        <color auto="1"/>
      </top>
      <bottom style="medium">
        <color auto="1"/>
      </bottom>
      <diagonal style="none"/>
    </border>
    <border>
      <left style="medium">
        <color auto="1"/>
      </left>
      <right style="none"/>
      <top style="medium">
        <color auto="1"/>
      </top>
      <bottom style="thin">
        <color auto="1"/>
      </bottom>
      <diagonal style="none"/>
    </border>
    <border>
      <left style="none"/>
      <right style="medium">
        <color auto="1"/>
      </right>
      <top style="medium">
        <color auto="1"/>
      </top>
      <bottom style="thin">
        <color auto="1"/>
      </bottom>
      <diagonal style="none"/>
    </border>
    <border>
      <left style="none"/>
      <right style="thin">
        <color auto="1"/>
      </right>
      <top style="medium">
        <color auto="1"/>
      </top>
      <bottom style="thin">
        <color auto="1"/>
      </bottom>
      <diagonal style="none"/>
    </border>
    <border>
      <left style="thin">
        <color auto="1"/>
      </left>
      <right style="thin">
        <color auto="1"/>
      </right>
      <top style="medium">
        <color auto="1"/>
      </top>
      <bottom style="medium">
        <color auto="1"/>
      </bottom>
      <diagonal style="none"/>
    </border>
    <border>
      <left style="thin">
        <color auto="1"/>
      </left>
      <right style="medium">
        <color auto="1"/>
      </right>
      <top style="medium">
        <color auto="1"/>
      </top>
      <bottom style="medium">
        <color auto="1"/>
      </bottom>
      <diagonal style="none"/>
    </border>
    <border>
      <left style="medium">
        <color auto="1"/>
      </left>
      <right style="medium">
        <color auto="1"/>
      </right>
      <top style="medium">
        <color auto="1"/>
      </top>
      <bottom style="none"/>
      <diagonal style="none"/>
    </border>
    <border>
      <left style="medium">
        <color auto="1"/>
      </left>
      <right style="medium">
        <color auto="1"/>
      </right>
      <top style="none"/>
      <bottom style="none"/>
      <diagonal style="none"/>
    </border>
    <border>
      <left style="thin">
        <color auto="1"/>
      </left>
      <right style="none"/>
      <top style="medium">
        <color auto="1"/>
      </top>
      <bottom style="none"/>
      <diagonal style="none"/>
    </border>
    <border>
      <left style="thin">
        <color auto="1"/>
      </left>
      <right style="none"/>
      <top style="none"/>
      <bottom style="medium">
        <color auto="1"/>
      </bottom>
      <diagonal style="none"/>
    </border>
    <border>
      <left style="thin">
        <color auto="1"/>
      </left>
      <right style="none"/>
      <top style="none"/>
      <bottom style="thin">
        <color auto="1"/>
      </bottom>
      <diagonal style="none"/>
    </border>
    <border>
      <left style="thin">
        <color auto="1"/>
      </left>
      <right style="thin">
        <color auto="1"/>
      </right>
      <top style="none"/>
      <bottom style="thin">
        <color auto="1"/>
      </bottom>
      <diagonal style="none"/>
    </border>
    <border>
      <left style="thin">
        <color auto="1"/>
      </left>
      <right style="medium">
        <color auto="1"/>
      </right>
      <top style="none"/>
      <bottom style="thin">
        <color auto="1"/>
      </bottom>
      <diagonal style="none"/>
    </border>
    <border>
      <left style="thin">
        <color auto="1"/>
      </left>
      <right style="none"/>
      <top style="thin">
        <color auto="1"/>
      </top>
      <bottom style="thin">
        <color auto="1"/>
      </bottom>
      <diagonal style="none"/>
    </border>
    <border>
      <left style="thin">
        <color auto="1"/>
      </left>
      <right style="thin">
        <color auto="1"/>
      </right>
      <top style="thin">
        <color auto="1"/>
      </top>
      <bottom style="none"/>
      <diagonal style="none"/>
    </border>
    <border>
      <left style="thin">
        <color auto="1"/>
      </left>
      <right style="medium">
        <color auto="1"/>
      </right>
      <top style="thin">
        <color auto="1"/>
      </top>
      <bottom style="none"/>
      <diagonal style="none"/>
    </border>
    <border>
      <left style="thin">
        <color auto="1"/>
      </left>
      <right style="none"/>
      <top style="thin">
        <color auto="1"/>
      </top>
      <bottom style="medium">
        <color auto="1"/>
      </bottom>
      <diagonal style="none"/>
    </border>
    <border>
      <left style="none"/>
      <right style="thin">
        <color auto="1"/>
      </right>
      <top style="medium">
        <color auto="1"/>
      </top>
      <bottom style="none"/>
      <diagonal style="none"/>
    </border>
    <border>
      <left style="none"/>
      <right style="thin">
        <color auto="1"/>
      </right>
      <top style="medium">
        <color auto="1"/>
      </top>
      <bottom style="medium">
        <color auto="1"/>
      </bottom>
      <diagonal style="none"/>
    </border>
    <border>
      <left style="medium">
        <color auto="1"/>
      </left>
      <right style="none"/>
      <top style="medium">
        <color auto="1"/>
      </top>
      <bottom style="none"/>
      <diagonal style="none"/>
    </border>
    <border>
      <left style="none"/>
      <right style="none"/>
      <top style="medium">
        <color auto="1"/>
      </top>
      <bottom style="none"/>
      <diagonal style="none"/>
    </border>
    <border>
      <left style="thin">
        <color auto="1"/>
      </left>
      <right style="thin">
        <color auto="1"/>
      </right>
      <top style="medium">
        <color auto="1"/>
      </top>
      <bottom style="none"/>
      <diagonal style="none"/>
    </border>
    <border>
      <left style="none"/>
      <right style="thin">
        <color auto="1"/>
      </right>
      <top style="none"/>
      <bottom style="none"/>
      <diagonal style="none"/>
    </border>
    <border>
      <left style="medium">
        <color auto="1"/>
      </left>
      <right style="none"/>
      <top style="thin">
        <color auto="1"/>
      </top>
      <bottom style="medium">
        <color auto="1"/>
      </bottom>
      <diagonal style="none"/>
    </border>
    <border>
      <left style="none"/>
      <right style="none"/>
      <top style="thin">
        <color auto="1"/>
      </top>
      <bottom style="medium">
        <color auto="1"/>
      </bottom>
      <diagonal style="none"/>
    </border>
    <border>
      <left style="none"/>
      <right style="thin">
        <color auto="1"/>
      </right>
      <top style="thin">
        <color auto="1"/>
      </top>
      <bottom style="medium">
        <color auto="1"/>
      </bottom>
      <diagonal style="none"/>
    </border>
    <border>
      <left style="medium">
        <color auto="1"/>
      </left>
      <right style="thin">
        <color auto="1"/>
      </right>
      <top style="thin">
        <color auto="1"/>
      </top>
      <bottom style="none"/>
      <diagonal style="none"/>
    </border>
    <border>
      <left style="none"/>
      <right style="medium">
        <color auto="1"/>
      </right>
      <top style="medium">
        <color auto="1"/>
      </top>
      <bottom style="none"/>
      <diagonal style="none"/>
    </border>
    <border>
      <left style="medium">
        <color auto="1"/>
      </left>
      <right style="medium">
        <color auto="1"/>
      </right>
      <top style="thin">
        <color auto="1"/>
      </top>
      <bottom style="medium">
        <color auto="1"/>
      </bottom>
      <diagonal style="none"/>
    </border>
    <border>
      <left style="medium">
        <color auto="1"/>
      </left>
      <right style="none"/>
      <top style="none"/>
      <bottom style="thin">
        <color rgb="FF00B0F0"/>
      </bottom>
      <diagonal style="none"/>
    </border>
    <border>
      <left style="none"/>
      <right style="none"/>
      <top style="none"/>
      <bottom style="thin">
        <color rgb="FF00B0F0"/>
      </bottom>
      <diagonal style="none"/>
    </border>
    <border>
      <left style="none"/>
      <right style="medium">
        <color auto="1"/>
      </right>
      <top style="none"/>
      <bottom style="thin">
        <color rgb="FF00B0F0"/>
      </bottom>
      <diagonal style="none"/>
    </border>
    <border>
      <left style="medium">
        <color auto="1"/>
      </left>
      <right style="none"/>
      <top style="medium">
        <color rgb="FF006666"/>
      </top>
      <bottom style="none"/>
      <diagonal style="none"/>
    </border>
    <border>
      <left style="none"/>
      <right style="none"/>
      <top style="medium">
        <color rgb="FF006666"/>
      </top>
      <bottom style="none"/>
      <diagonal style="none"/>
    </border>
    <border>
      <left style="none"/>
      <right style="medium">
        <color auto="1"/>
      </right>
      <top style="medium">
        <color rgb="FF006666"/>
      </top>
      <bottom style="none"/>
      <diagonal style="none"/>
    </border>
  </borders>
  <cellStyleXfs count="55">
    <xf fontId="0" fillId="0" borderId="0" numFmtId="0" applyNumberFormat="1" applyFont="1" applyFill="1" applyBorder="1"/>
    <xf fontId="0" fillId="2" borderId="0" numFmtId="0" applyNumberFormat="0" applyFont="1" applyFill="1" applyBorder="0" applyProtection="0"/>
    <xf fontId="0" fillId="3" borderId="0" numFmtId="0" applyNumberFormat="0" applyFont="1" applyFill="1" applyBorder="0" applyProtection="0"/>
    <xf fontId="0" fillId="4" borderId="0" numFmtId="0" applyNumberFormat="0" applyFont="1" applyFill="1" applyBorder="0" applyProtection="0"/>
    <xf fontId="0" fillId="5" borderId="0" numFmtId="0" applyNumberFormat="0" applyFont="1" applyFill="1" applyBorder="0" applyProtection="0"/>
    <xf fontId="0" fillId="6" borderId="0" numFmtId="0" applyNumberFormat="0" applyFont="1" applyFill="1" applyBorder="0" applyProtection="0"/>
    <xf fontId="0" fillId="7" borderId="0" numFmtId="0" applyNumberFormat="0" applyFont="1" applyFill="1" applyBorder="0" applyProtection="0"/>
    <xf fontId="1" fillId="8" borderId="1" numFmtId="164" applyNumberFormat="1" applyFont="1" applyFill="1" applyBorder="1" applyProtection="0">
      <alignment horizontal="right" vertical="center" wrapText="1"/>
    </xf>
    <xf fontId="0" fillId="9" borderId="0" numFmtId="0" applyNumberFormat="0" applyFont="1" applyFill="1" applyBorder="0" applyProtection="0"/>
    <xf fontId="0" fillId="10" borderId="0" numFmtId="0" applyNumberFormat="0" applyFont="1" applyFill="1" applyBorder="0" applyProtection="0"/>
    <xf fontId="0" fillId="11" borderId="0" numFmtId="0" applyNumberFormat="0" applyFont="1" applyFill="1" applyBorder="0" applyProtection="0"/>
    <xf fontId="0" fillId="12" borderId="0" numFmtId="0" applyNumberFormat="0" applyFont="1" applyFill="1" applyBorder="0" applyProtection="0"/>
    <xf fontId="0" fillId="13" borderId="0" numFmtId="0" applyNumberFormat="0" applyFont="1" applyFill="1" applyBorder="0" applyProtection="0"/>
    <xf fontId="0" fillId="14" borderId="0" numFmtId="0" applyNumberFormat="0" applyFont="1" applyFill="1" applyBorder="0" applyProtection="0"/>
    <xf fontId="0" fillId="15" borderId="0" numFmtId="0" applyNumberFormat="0" applyFont="1" applyFill="1" applyBorder="0" applyProtection="0"/>
    <xf fontId="0" fillId="16" borderId="0" numFmtId="0" applyNumberFormat="0" applyFont="1" applyFill="1" applyBorder="0" applyProtection="0"/>
    <xf fontId="0" fillId="17" borderId="0" numFmtId="0" applyNumberFormat="0" applyFont="1" applyFill="1" applyBorder="0" applyProtection="0"/>
    <xf fontId="0" fillId="18" borderId="0" numFmtId="0" applyNumberFormat="0" applyFont="1" applyFill="1" applyBorder="0" applyProtection="0"/>
    <xf fontId="0" fillId="19" borderId="0" numFmtId="0" applyNumberFormat="0" applyFont="1" applyFill="1" applyBorder="0" applyProtection="0"/>
    <xf fontId="0" fillId="20" borderId="0" numFmtId="0" applyNumberFormat="0" applyFont="1" applyFill="1" applyBorder="0" applyProtection="0"/>
    <xf fontId="2" fillId="21" borderId="0" numFmtId="0" applyNumberFormat="0" applyFont="1" applyFill="1" applyBorder="0" applyProtection="0"/>
    <xf fontId="2" fillId="22" borderId="0" numFmtId="0" applyNumberFormat="0" applyFont="1" applyFill="1" applyBorder="0" applyProtection="0"/>
    <xf fontId="2" fillId="23" borderId="0" numFmtId="0" applyNumberFormat="0" applyFont="1" applyFill="1" applyBorder="0" applyProtection="0"/>
    <xf fontId="2" fillId="24" borderId="0" numFmtId="0" applyNumberFormat="0" applyFont="1" applyFill="1" applyBorder="0" applyProtection="0"/>
    <xf fontId="2" fillId="25" borderId="0" numFmtId="0" applyNumberFormat="0" applyFont="1" applyFill="1" applyBorder="0" applyProtection="0"/>
    <xf fontId="2" fillId="26" borderId="0" numFmtId="0" applyNumberFormat="0" applyFont="1" applyFill="1" applyBorder="0" applyProtection="0"/>
    <xf fontId="1" fillId="8" borderId="1" numFmtId="164" applyNumberFormat="0" applyFont="1" applyFill="1" applyBorder="1" applyProtection="0">
      <alignment horizontal="center" vertical="center" wrapText="1"/>
    </xf>
    <xf fontId="1" fillId="8" borderId="1" numFmtId="164" applyNumberFormat="0" applyFont="1" applyFill="1" applyBorder="1" applyProtection="0">
      <alignment horizontal="left" vertical="center"/>
    </xf>
    <xf fontId="3" fillId="0" borderId="0" numFmtId="0" applyNumberFormat="0" applyFont="1" applyFill="0" applyBorder="0" applyProtection="0"/>
    <xf fontId="4" fillId="27" borderId="2" numFmtId="0" applyNumberFormat="0" applyFont="1" applyFill="1" applyBorder="1" applyProtection="0"/>
    <xf fontId="5" fillId="0" borderId="3" numFmtId="0" applyNumberFormat="0" applyFont="1" applyFill="0" applyBorder="1" applyProtection="0"/>
    <xf fontId="6" fillId="28" borderId="1" numFmtId="164" applyNumberFormat="0" applyFont="1" applyFill="1" applyBorder="1" applyProtection="0">
      <alignment horizontal="center" vertical="center" wrapText="1"/>
    </xf>
    <xf fontId="7" fillId="29" borderId="2" numFmtId="0" applyNumberFormat="0" applyFont="1" applyFill="1" applyBorder="1" applyProtection="0"/>
    <xf fontId="8" fillId="30" borderId="0" numFmtId="0" applyNumberFormat="0" applyFont="1" applyFill="1" applyBorder="0" applyProtection="0"/>
    <xf fontId="9" fillId="0" borderId="0" numFmtId="0" applyNumberFormat="0" applyFont="1" applyFill="0" applyBorder="0" applyProtection="0"/>
    <xf fontId="0" fillId="0" borderId="0" numFmtId="165" applyNumberFormat="1" applyFont="0" applyFill="0" applyBorder="0" applyProtection="0"/>
    <xf fontId="0" fillId="0" borderId="0" numFmtId="165" applyNumberFormat="1" applyFont="0" applyFill="0" applyBorder="0" applyProtection="0"/>
    <xf fontId="0" fillId="0" borderId="0" numFmtId="165" applyNumberFormat="1" applyFont="0" applyFill="0" applyBorder="0" applyProtection="0"/>
    <xf fontId="0" fillId="0" borderId="0" numFmtId="165" applyNumberFormat="1" applyFont="0" applyFill="0" applyBorder="0" applyProtection="0"/>
    <xf fontId="0" fillId="0" borderId="0" numFmtId="166" applyNumberFormat="1" applyFont="0" applyFill="0" applyBorder="0" applyProtection="0"/>
    <xf fontId="0" fillId="0" borderId="0" numFmtId="167" applyNumberFormat="1" applyFont="0" applyFill="0" applyBorder="0" applyProtection="0"/>
    <xf fontId="0" fillId="0" borderId="0" numFmtId="168" applyNumberFormat="1" applyFont="0" applyFill="0" applyBorder="0" applyProtection="0"/>
    <xf fontId="10" fillId="31" borderId="0" numFmtId="0" applyNumberFormat="0" applyFont="1" applyFill="1" applyBorder="0" applyProtection="0"/>
    <xf fontId="0" fillId="32" borderId="4" numFmtId="0" applyNumberFormat="0" applyFont="0" applyFill="1" applyBorder="1" applyProtection="0"/>
    <xf fontId="0" fillId="0" borderId="0" numFmtId="9" applyNumberFormat="1" applyFont="0" applyFill="0" applyBorder="0" applyProtection="0"/>
    <xf fontId="11" fillId="33" borderId="0" numFmtId="0" applyNumberFormat="0" applyFont="1" applyFill="1" applyBorder="0" applyProtection="0"/>
    <xf fontId="12" fillId="27" borderId="5" numFmtId="0" applyNumberFormat="0" applyFont="1" applyFill="1" applyBorder="1" applyProtection="0"/>
    <xf fontId="13" fillId="0" borderId="0" numFmtId="0" applyNumberFormat="0" applyFont="1" applyFill="0" applyBorder="0" applyProtection="0"/>
    <xf fontId="14" fillId="0" borderId="0" numFmtId="0" applyNumberFormat="0" applyFont="1" applyFill="0" applyBorder="0" applyProtection="0"/>
    <xf fontId="15" fillId="0" borderId="6" numFmtId="0" applyNumberFormat="0" applyFont="1" applyFill="0" applyBorder="1" applyProtection="0"/>
    <xf fontId="16" fillId="0" borderId="7" numFmtId="0" applyNumberFormat="0" applyFont="1" applyFill="0" applyBorder="1" applyProtection="0"/>
    <xf fontId="17" fillId="0" borderId="8" numFmtId="0" applyNumberFormat="0" applyFont="1" applyFill="0" applyBorder="1" applyProtection="0"/>
    <xf fontId="17" fillId="0" borderId="0" numFmtId="0" applyNumberFormat="0" applyFont="1" applyFill="0" applyBorder="0" applyProtection="0"/>
    <xf fontId="18" fillId="0" borderId="9" numFmtId="0" applyNumberFormat="0" applyFont="1" applyFill="0" applyBorder="1" applyProtection="0"/>
    <xf fontId="19" fillId="34" borderId="10" numFmtId="0" applyNumberFormat="0" applyFont="1" applyFill="1" applyBorder="1" applyProtection="0"/>
  </cellStyleXfs>
  <cellXfs count="609">
    <xf fontId="0" fillId="0" borderId="0" numFmtId="0" xfId="0"/>
    <xf fontId="6" fillId="28" borderId="1" numFmtId="164" xfId="31" applyNumberFormat="1" applyFont="1" applyFill="1" applyBorder="1" applyAlignment="1">
      <alignment horizontal="center" vertical="center" wrapText="1"/>
    </xf>
    <xf fontId="6" fillId="28" borderId="11" numFmtId="164" xfId="31" applyNumberFormat="1" applyFont="1" applyFill="1" applyBorder="1" applyAlignment="1">
      <alignment horizontal="center" vertical="center" wrapText="1"/>
    </xf>
    <xf fontId="6" fillId="28" borderId="12" numFmtId="164" xfId="31" applyNumberFormat="1" applyFont="1" applyFill="1" applyBorder="1" applyAlignment="1">
      <alignment horizontal="center" vertical="center" wrapText="1"/>
    </xf>
    <xf fontId="6" fillId="28" borderId="13" numFmtId="164" xfId="31" applyNumberFormat="1" applyFont="1" applyFill="1" applyBorder="1" applyAlignment="1">
      <alignment horizontal="center" vertical="center" wrapText="1"/>
    </xf>
    <xf fontId="6" fillId="28" borderId="14" numFmtId="164" xfId="31" applyNumberFormat="1" applyFont="1" applyFill="1" applyBorder="1" applyAlignment="1">
      <alignment horizontal="center" vertical="center" wrapText="1"/>
    </xf>
    <xf fontId="1" fillId="8" borderId="1" numFmtId="164" xfId="27" applyNumberFormat="1" applyFont="1" applyFill="1" applyBorder="1" applyAlignment="1">
      <alignment horizontal="left" vertical="center"/>
    </xf>
    <xf fontId="1" fillId="8" borderId="1" numFmtId="164" xfId="26" applyNumberFormat="1" applyFont="1" applyFill="1" applyBorder="1" applyAlignment="1">
      <alignment horizontal="center" vertical="center" wrapText="1"/>
    </xf>
    <xf fontId="1" fillId="8" borderId="1" numFmtId="164" xfId="7" applyNumberFormat="1" applyFont="1" applyFill="1" applyBorder="1" applyAlignment="1">
      <alignment horizontal="right" vertical="center" wrapText="1"/>
    </xf>
    <xf fontId="0" fillId="0" borderId="0" numFmtId="165" xfId="35" applyNumberFormat="1"/>
    <xf fontId="0" fillId="0" borderId="0" numFmtId="10" xfId="44" applyNumberFormat="1"/>
    <xf fontId="0" fillId="0" borderId="0" numFmtId="169" xfId="0" applyNumberFormat="1"/>
    <xf fontId="0" fillId="0" borderId="15" numFmtId="165" xfId="35" applyNumberFormat="1" applyBorder="1"/>
    <xf fontId="0" fillId="0" borderId="16" numFmtId="165" xfId="35" applyNumberFormat="1" applyBorder="1"/>
    <xf fontId="1" fillId="8" borderId="1" numFmtId="0" xfId="26" applyFont="1" applyFill="1" applyBorder="1" applyAlignment="1">
      <alignment horizontal="center" vertical="center" wrapText="1"/>
    </xf>
    <xf fontId="1" fillId="8" borderId="1" numFmtId="14" xfId="26" applyNumberFormat="1" applyFont="1" applyFill="1" applyBorder="1" applyAlignment="1">
      <alignment horizontal="center" vertical="center" wrapText="1"/>
    </xf>
    <xf fontId="20" fillId="8" borderId="1" numFmtId="164" xfId="27" applyNumberFormat="1" applyFont="1" applyFill="1" applyBorder="1" applyAlignment="1">
      <alignment horizontal="left" vertical="center"/>
    </xf>
    <xf fontId="20" fillId="8" borderId="1" numFmtId="14" xfId="26" applyNumberFormat="1" applyFont="1" applyFill="1" applyBorder="1" applyAlignment="1">
      <alignment horizontal="center" vertical="center" wrapText="1"/>
    </xf>
    <xf fontId="20" fillId="8" borderId="1" numFmtId="164" xfId="26" applyNumberFormat="1" applyFont="1" applyFill="1" applyBorder="1" applyAlignment="1">
      <alignment horizontal="center" vertical="center" wrapText="1"/>
    </xf>
    <xf fontId="20" fillId="8" borderId="1" numFmtId="164" xfId="7" applyNumberFormat="1" applyFont="1" applyFill="1" applyBorder="1" applyAlignment="1">
      <alignment horizontal="right" vertical="center" wrapText="1"/>
    </xf>
    <xf fontId="3" fillId="0" borderId="0" numFmtId="165" xfId="35" applyNumberFormat="1" applyFont="1"/>
    <xf fontId="3" fillId="0" borderId="0" numFmtId="10" xfId="44" applyNumberFormat="1" applyFont="1"/>
    <xf fontId="3" fillId="0" borderId="0" numFmtId="169" xfId="0" applyNumberFormat="1" applyFont="1"/>
    <xf fontId="20" fillId="0" borderId="1" numFmtId="164" xfId="27" applyNumberFormat="1" applyFont="1" applyBorder="1" applyAlignment="1">
      <alignment horizontal="left" vertical="center"/>
    </xf>
    <xf fontId="3" fillId="35" borderId="0" numFmtId="10" xfId="44" applyNumberFormat="1" applyFont="1" applyFill="1"/>
    <xf fontId="1" fillId="8" borderId="11" numFmtId="164" xfId="27" applyNumberFormat="1" applyFont="1" applyFill="1" applyBorder="1" applyAlignment="1">
      <alignment horizontal="left" vertical="center"/>
    </xf>
    <xf fontId="0" fillId="0" borderId="0" numFmtId="14" xfId="0" applyNumberFormat="1"/>
    <xf fontId="0" fillId="0" borderId="17" numFmtId="165" xfId="35" applyNumberFormat="1" applyBorder="1"/>
    <xf fontId="0" fillId="0" borderId="18" numFmtId="165" xfId="35" applyNumberFormat="1" applyBorder="1"/>
    <xf fontId="0" fillId="0" borderId="19" numFmtId="165" xfId="35" applyNumberFormat="1" applyBorder="1"/>
    <xf fontId="1" fillId="8" borderId="1" numFmtId="164" xfId="26" applyNumberFormat="1" applyFont="1" applyFill="1" applyBorder="1" applyAlignment="1">
      <alignment horizontal="right" vertical="center" wrapText="1"/>
    </xf>
    <xf fontId="0" fillId="0" borderId="20" numFmtId="165" xfId="35" applyNumberFormat="1" applyBorder="1"/>
    <xf fontId="0" fillId="0" borderId="21" numFmtId="165" xfId="35" applyNumberFormat="1" applyBorder="1"/>
    <xf fontId="0" fillId="0" borderId="22" numFmtId="165" xfId="35" applyNumberFormat="1" applyBorder="1"/>
    <xf fontId="0" fillId="0" borderId="0" numFmtId="165" xfId="0" applyNumberFormat="1"/>
    <xf fontId="6" fillId="28" borderId="0" numFmtId="164" xfId="31" applyNumberFormat="1" applyFont="1" applyFill="1" applyAlignment="1">
      <alignment horizontal="center" vertical="center" wrapText="1"/>
    </xf>
    <xf fontId="0" fillId="36" borderId="0" numFmtId="0" xfId="0" applyFill="1"/>
    <xf fontId="0" fillId="37" borderId="0" numFmtId="0" xfId="0" applyFill="1"/>
    <xf fontId="0" fillId="38" borderId="0" numFmtId="0" xfId="0" applyFill="1"/>
    <xf fontId="0" fillId="39" borderId="0" numFmtId="0" xfId="0" applyFill="1"/>
    <xf fontId="0" fillId="40" borderId="0" numFmtId="0" xfId="0" applyFill="1"/>
    <xf fontId="0" fillId="36" borderId="0" numFmtId="165" xfId="35" applyNumberFormat="1" applyFill="1"/>
    <xf fontId="21" fillId="36" borderId="0" numFmtId="0" xfId="0" applyFont="1" applyFill="1"/>
    <xf fontId="18" fillId="36" borderId="1" numFmtId="0" xfId="0" applyFont="1" applyFill="1" applyBorder="1"/>
    <xf fontId="18" fillId="36" borderId="1" numFmtId="165" xfId="35" applyNumberFormat="1" applyFont="1" applyFill="1" applyBorder="1"/>
    <xf fontId="0" fillId="36" borderId="1" numFmtId="0" xfId="0" applyFill="1" applyBorder="1"/>
    <xf fontId="0" fillId="36" borderId="1" numFmtId="14" xfId="0" applyNumberFormat="1" applyFill="1" applyBorder="1"/>
    <xf fontId="0" fillId="36" borderId="1" numFmtId="165" xfId="35" applyNumberFormat="1" applyFill="1" applyBorder="1"/>
    <xf fontId="0" fillId="41" borderId="1" numFmtId="165" xfId="35" applyNumberFormat="1" applyFill="1" applyBorder="1"/>
    <xf fontId="0" fillId="41" borderId="1" numFmtId="9" xfId="44" applyNumberFormat="1" applyFill="1" applyBorder="1"/>
    <xf fontId="0" fillId="36" borderId="0" numFmtId="169" xfId="0" applyNumberFormat="1" applyFill="1"/>
    <xf fontId="0" fillId="36" borderId="0" numFmtId="10" xfId="44" applyNumberFormat="1" applyFill="1"/>
    <xf fontId="22" fillId="36" borderId="0" numFmtId="0" xfId="0" applyFont="1" applyFill="1"/>
    <xf fontId="22" fillId="36" borderId="1" numFmtId="0" xfId="0" applyFont="1" applyFill="1" applyBorder="1"/>
    <xf fontId="22" fillId="36" borderId="1" numFmtId="14" xfId="0" applyNumberFormat="1" applyFont="1" applyFill="1" applyBorder="1"/>
    <xf fontId="22" fillId="36" borderId="1" numFmtId="165" xfId="35" applyNumberFormat="1" applyFont="1" applyFill="1" applyBorder="1"/>
    <xf fontId="22" fillId="41" borderId="1" numFmtId="165" xfId="35" applyNumberFormat="1" applyFont="1" applyFill="1" applyBorder="1"/>
    <xf fontId="22" fillId="41" borderId="1" numFmtId="9" xfId="44" applyNumberFormat="1" applyFont="1" applyFill="1" applyBorder="1"/>
    <xf fontId="0" fillId="36" borderId="1" numFmtId="9" xfId="44" applyNumberFormat="1" applyFill="1" applyBorder="1"/>
    <xf fontId="22" fillId="36" borderId="0" numFmtId="165" xfId="35" applyNumberFormat="1" applyFont="1" applyFill="1"/>
    <xf fontId="23" fillId="36" borderId="0" numFmtId="165" xfId="35" applyNumberFormat="1" applyFont="1" applyFill="1" applyAlignment="1">
      <alignment horizontal="center" vertical="center" wrapText="1"/>
    </xf>
    <xf fontId="0" fillId="36" borderId="0" numFmtId="9" xfId="44" applyNumberFormat="1" applyFill="1"/>
    <xf fontId="24" fillId="36" borderId="0" numFmtId="0" xfId="0" applyFont="1" applyFill="1"/>
    <xf fontId="18" fillId="36" borderId="0" numFmtId="0" xfId="0" applyFont="1" applyFill="1"/>
    <xf fontId="25" fillId="36" borderId="0" numFmtId="0" xfId="0" applyFont="1" applyFill="1" applyAlignment="1" applyProtection="1">
      <alignment horizontal="center"/>
      <protection locked="0"/>
    </xf>
    <xf fontId="25" fillId="36" borderId="0" numFmtId="0" xfId="0" applyFont="1" applyFill="1" applyAlignment="1">
      <alignment horizontal="center"/>
    </xf>
    <xf fontId="0" fillId="36" borderId="23" numFmtId="0" xfId="0" applyFill="1" applyBorder="1" applyProtection="1">
      <protection locked="0"/>
    </xf>
    <xf fontId="0" fillId="36" borderId="24" numFmtId="0" xfId="0" applyFill="1" applyBorder="1" applyProtection="1">
      <protection locked="0"/>
    </xf>
    <xf fontId="26" fillId="36" borderId="0" numFmtId="0" xfId="0" applyFont="1" applyFill="1" applyAlignment="1">
      <alignment horizontal="center"/>
    </xf>
    <xf fontId="26" fillId="42" borderId="0" numFmtId="14" xfId="0" applyNumberFormat="1" applyFont="1" applyFill="1" applyAlignment="1" applyProtection="1">
      <alignment horizontal="center"/>
      <protection locked="0"/>
    </xf>
    <xf fontId="27" fillId="36" borderId="23" numFmtId="0" xfId="0" applyFont="1" applyFill="1" applyBorder="1" applyAlignment="1" applyProtection="1">
      <alignment horizontal="center"/>
      <protection locked="0"/>
    </xf>
    <xf fontId="0" fillId="36" borderId="24" numFmtId="0" xfId="0" applyFill="1" applyBorder="1" applyAlignment="1" applyProtection="1">
      <alignment horizontal="center"/>
      <protection locked="0"/>
    </xf>
    <xf fontId="26" fillId="36" borderId="0" numFmtId="167" xfId="40" applyNumberFormat="1" applyFont="1" applyFill="1" applyAlignment="1" applyProtection="1">
      <alignment horizontal="left"/>
    </xf>
    <xf fontId="0" fillId="43" borderId="0" numFmtId="14" xfId="0" applyNumberFormat="1" applyFill="1"/>
    <xf fontId="0" fillId="43" borderId="0" numFmtId="170" xfId="0" applyNumberFormat="1" applyFill="1"/>
    <xf fontId="28" fillId="43" borderId="0" numFmtId="170" xfId="0" applyNumberFormat="1" applyFont="1" applyFill="1"/>
    <xf fontId="0" fillId="43" borderId="0" numFmtId="170" xfId="0" applyNumberFormat="1" applyFill="1" applyAlignment="1" applyProtection="1">
      <alignment horizontal="center" vertical="center" wrapText="1"/>
      <protection locked="0"/>
    </xf>
    <xf fontId="0" fillId="43" borderId="0" numFmtId="170" xfId="0" applyNumberFormat="1" applyFill="1" applyAlignment="1">
      <alignment horizontal="center" vertical="center"/>
    </xf>
    <xf fontId="0" fillId="36" borderId="0" numFmtId="170" xfId="0" applyNumberFormat="1" applyFill="1"/>
    <xf fontId="28" fillId="36" borderId="0" numFmtId="170" xfId="0" applyNumberFormat="1" applyFont="1" applyFill="1"/>
    <xf fontId="28" fillId="36" borderId="0" numFmtId="0" xfId="0" applyFont="1" applyFill="1" applyAlignment="1">
      <alignment horizontal="center"/>
    </xf>
    <xf fontId="29" fillId="36" borderId="25" numFmtId="0" xfId="0" applyFont="1" applyFill="1" applyBorder="1" applyAlignment="1">
      <alignment horizontal="left"/>
    </xf>
    <xf fontId="29" fillId="36" borderId="25" numFmtId="0" xfId="0" applyFont="1" applyFill="1" applyBorder="1" applyAlignment="1">
      <alignment horizontal="right"/>
    </xf>
    <xf fontId="0" fillId="36" borderId="25" numFmtId="170" xfId="0" applyNumberFormat="1" applyFill="1" applyBorder="1"/>
    <xf fontId="28" fillId="36" borderId="25" numFmtId="170" xfId="0" applyNumberFormat="1" applyFont="1" applyFill="1" applyBorder="1"/>
    <xf fontId="25" fillId="37" borderId="25" numFmtId="0" xfId="0" applyFont="1" applyFill="1" applyBorder="1" applyAlignment="1" applyProtection="1">
      <alignment horizontal="center"/>
      <protection locked="0"/>
    </xf>
    <xf fontId="0" fillId="42" borderId="0" numFmtId="0" xfId="0" applyFill="1" applyProtection="1">
      <protection locked="0"/>
    </xf>
    <xf fontId="0" fillId="36" borderId="0" numFmtId="0" xfId="0" applyFill="1" applyAlignment="1" applyProtection="1">
      <alignment horizontal="center"/>
      <protection locked="0"/>
    </xf>
    <xf fontId="0" fillId="42" borderId="26" numFmtId="0" xfId="0" applyFill="1" applyBorder="1" applyAlignment="1" applyProtection="1">
      <alignment horizontal="center"/>
      <protection locked="0"/>
    </xf>
    <xf fontId="0" fillId="42" borderId="26" numFmtId="0" xfId="0" applyFill="1" applyBorder="1" applyProtection="1">
      <protection locked="0"/>
    </xf>
    <xf fontId="18" fillId="36" borderId="26" numFmtId="171" xfId="35" applyNumberFormat="1" applyFont="1" applyFill="1" applyBorder="1" applyProtection="1"/>
    <xf fontId="29" fillId="36" borderId="27" numFmtId="0" xfId="0" applyFont="1" applyFill="1" applyBorder="1" applyAlignment="1">
      <alignment horizontal="center" wrapText="1"/>
    </xf>
    <xf fontId="18" fillId="36" borderId="27" numFmtId="167" xfId="40" applyNumberFormat="1" applyFont="1" applyFill="1" applyBorder="1" applyProtection="1"/>
    <xf fontId="30" fillId="42" borderId="27" numFmtId="0" xfId="0" applyFont="1" applyFill="1" applyBorder="1" applyAlignment="1" applyProtection="1">
      <alignment horizontal="center"/>
      <protection locked="0"/>
    </xf>
    <xf fontId="0" fillId="42" borderId="23" numFmtId="0" xfId="0" applyFill="1" applyBorder="1" applyProtection="1">
      <protection locked="0"/>
    </xf>
    <xf fontId="0" fillId="42" borderId="24" numFmtId="167" xfId="0" applyNumberFormat="1" applyFill="1" applyBorder="1" applyProtection="1">
      <protection locked="0"/>
    </xf>
    <xf fontId="0" fillId="42" borderId="24" numFmtId="0" xfId="0" applyFill="1" applyBorder="1" applyProtection="1">
      <protection locked="0"/>
    </xf>
    <xf fontId="18" fillId="36" borderId="26" numFmtId="172" xfId="35" applyNumberFormat="1" applyFont="1" applyFill="1" applyBorder="1" applyProtection="1"/>
    <xf fontId="0" fillId="42" borderId="0" numFmtId="167" xfId="40" applyNumberFormat="1" applyFill="1" applyProtection="1">
      <protection locked="0"/>
    </xf>
    <xf fontId="0" fillId="42" borderId="0" numFmtId="167" xfId="0" applyNumberFormat="1" applyFill="1" applyProtection="1">
      <protection locked="0"/>
    </xf>
    <xf fontId="18" fillId="36" borderId="28" numFmtId="172" xfId="35" applyNumberFormat="1" applyFont="1" applyFill="1" applyBorder="1" applyProtection="1"/>
    <xf fontId="25" fillId="37" borderId="0" numFmtId="0" xfId="0" applyFont="1" applyFill="1" applyAlignment="1" applyProtection="1">
      <alignment horizontal="center"/>
      <protection locked="0"/>
    </xf>
    <xf fontId="0" fillId="42" borderId="0" numFmtId="165" xfId="35" applyNumberFormat="1" applyFill="1" applyProtection="1">
      <protection locked="0"/>
    </xf>
    <xf fontId="0" fillId="42" borderId="24" numFmtId="172" xfId="0" applyNumberFormat="1" applyFill="1" applyBorder="1" applyProtection="1">
      <protection locked="0"/>
    </xf>
    <xf fontId="0" fillId="36" borderId="0" numFmtId="167" xfId="40" applyNumberFormat="1" applyFill="1" applyProtection="1"/>
    <xf fontId="25" fillId="37" borderId="0" numFmtId="167" xfId="40" applyNumberFormat="1" applyFont="1" applyFill="1" applyAlignment="1" applyProtection="1">
      <alignment horizontal="center"/>
      <protection locked="0"/>
    </xf>
    <xf fontId="0" fillId="42" borderId="23" numFmtId="167" xfId="40" applyNumberFormat="1" applyFill="1" applyBorder="1" applyProtection="1">
      <protection locked="0"/>
    </xf>
    <xf fontId="0" fillId="42" borderId="24" numFmtId="167" xfId="40" applyNumberFormat="1" applyFill="1" applyBorder="1" applyProtection="1">
      <protection locked="0"/>
    </xf>
    <xf fontId="18" fillId="36" borderId="29" numFmtId="172" xfId="35" applyNumberFormat="1" applyFont="1" applyFill="1" applyBorder="1" applyProtection="1"/>
    <xf fontId="0" fillId="42" borderId="25" numFmtId="0" xfId="0" applyFill="1" applyBorder="1" applyProtection="1">
      <protection locked="0"/>
    </xf>
    <xf fontId="0" fillId="42" borderId="25" numFmtId="167" xfId="40" applyNumberFormat="1" applyFill="1" applyBorder="1" applyProtection="1">
      <protection locked="0"/>
    </xf>
    <xf fontId="18" fillId="36" borderId="30" numFmtId="172" xfId="35" applyNumberFormat="1" applyFont="1" applyFill="1" applyBorder="1" applyProtection="1"/>
    <xf fontId="18" fillId="36" borderId="0" numFmtId="172" xfId="35" applyNumberFormat="1" applyFont="1" applyFill="1" applyProtection="1"/>
    <xf fontId="0" fillId="36" borderId="24" numFmtId="172" xfId="0" applyNumberFormat="1" applyFill="1" applyBorder="1" applyProtection="1">
      <protection locked="0"/>
    </xf>
    <xf fontId="29" fillId="36" borderId="0" numFmtId="0" xfId="0" applyFont="1" applyFill="1" applyAlignment="1">
      <alignment horizontal="left"/>
    </xf>
    <xf fontId="29" fillId="36" borderId="0" numFmtId="0" xfId="0" applyFont="1" applyFill="1" applyAlignment="1">
      <alignment horizontal="right"/>
    </xf>
    <xf fontId="0" fillId="42" borderId="0" numFmtId="172" xfId="35" applyNumberFormat="1" applyFill="1" applyProtection="1">
      <protection locked="0"/>
    </xf>
    <xf fontId="25" fillId="42" borderId="28" numFmtId="0" xfId="0" applyFont="1" applyFill="1" applyBorder="1" applyAlignment="1" applyProtection="1">
      <alignment horizontal="center"/>
      <protection locked="0"/>
    </xf>
    <xf fontId="25" fillId="37" borderId="26" numFmtId="0" xfId="0" applyFont="1" applyFill="1" applyBorder="1" applyAlignment="1" applyProtection="1">
      <alignment horizontal="center"/>
      <protection locked="0"/>
    </xf>
    <xf fontId="25" fillId="42" borderId="26" numFmtId="0" xfId="0" applyFont="1" applyFill="1" applyBorder="1" applyAlignment="1" applyProtection="1">
      <alignment horizontal="center"/>
      <protection locked="0"/>
    </xf>
    <xf fontId="0" fillId="42" borderId="25" numFmtId="172" xfId="35" applyNumberFormat="1" applyFill="1" applyBorder="1" applyProtection="1">
      <protection locked="0"/>
    </xf>
    <xf fontId="18" fillId="36" borderId="25" numFmtId="172" xfId="35" applyNumberFormat="1" applyFont="1" applyFill="1" applyBorder="1" applyProtection="1"/>
    <xf fontId="25" fillId="42" borderId="30" numFmtId="0" xfId="0" applyFont="1" applyFill="1" applyBorder="1" applyAlignment="1" applyProtection="1">
      <alignment horizontal="center"/>
      <protection locked="0"/>
    </xf>
    <xf fontId="31" fillId="36" borderId="0" numFmtId="0" xfId="0" applyFont="1" applyFill="1" applyAlignment="1" applyProtection="1">
      <alignment horizontal="right"/>
      <protection locked="0"/>
    </xf>
    <xf fontId="31" fillId="36" borderId="0" numFmtId="0" xfId="0" applyFont="1" applyFill="1" applyAlignment="1">
      <alignment horizontal="right"/>
    </xf>
    <xf fontId="32" fillId="36" borderId="31" numFmtId="0" xfId="0" applyFont="1" applyFill="1" applyBorder="1" applyAlignment="1">
      <alignment horizontal="center" vertical="center" wrapText="1"/>
    </xf>
    <xf fontId="25" fillId="42" borderId="28" numFmtId="172" xfId="35" applyNumberFormat="1" applyFont="1" applyFill="1" applyBorder="1" applyAlignment="1" applyProtection="1">
      <alignment horizontal="center"/>
      <protection locked="0"/>
    </xf>
    <xf fontId="32" fillId="36" borderId="0" numFmtId="0" xfId="0" applyFont="1" applyFill="1" applyAlignment="1">
      <alignment horizontal="center" vertical="center" wrapText="1"/>
    </xf>
    <xf fontId="25" fillId="42" borderId="26" numFmtId="172" xfId="35" applyNumberFormat="1" applyFont="1" applyFill="1" applyBorder="1" applyAlignment="1" applyProtection="1">
      <alignment horizontal="center"/>
      <protection locked="0"/>
    </xf>
    <xf fontId="32" fillId="36" borderId="25" numFmtId="0" xfId="0" applyFont="1" applyFill="1" applyBorder="1" applyAlignment="1">
      <alignment horizontal="center" vertical="center" wrapText="1"/>
    </xf>
    <xf fontId="25" fillId="42" borderId="30" numFmtId="172" xfId="35" applyNumberFormat="1" applyFont="1" applyFill="1" applyBorder="1" applyAlignment="1" applyProtection="1">
      <alignment horizontal="center"/>
      <protection locked="0"/>
    </xf>
    <xf fontId="32" fillId="36" borderId="31" numFmtId="0" xfId="0" applyFont="1" applyFill="1" applyBorder="1" applyAlignment="1">
      <alignment horizontal="center" vertical="center"/>
    </xf>
    <xf fontId="25" fillId="42" borderId="29" numFmtId="172" xfId="35" applyNumberFormat="1" applyFont="1" applyFill="1" applyBorder="1" applyAlignment="1" applyProtection="1">
      <alignment horizontal="center"/>
      <protection locked="0"/>
    </xf>
    <xf fontId="32" fillId="36" borderId="0" numFmtId="0" xfId="0" applyFont="1" applyFill="1" applyAlignment="1">
      <alignment horizontal="center" vertical="center"/>
    </xf>
    <xf fontId="32" fillId="36" borderId="25" numFmtId="0" xfId="0" applyFont="1" applyFill="1" applyBorder="1" applyAlignment="1">
      <alignment horizontal="center" vertical="center"/>
    </xf>
    <xf fontId="18" fillId="36" borderId="0" numFmtId="172" xfId="35" applyNumberFormat="1" applyFont="1" applyFill="1" applyAlignment="1" applyProtection="1">
      <alignment vertical="center"/>
    </xf>
    <xf fontId="0" fillId="42" borderId="23" numFmtId="0" xfId="0" applyFill="1" applyBorder="1" applyAlignment="1" applyProtection="1">
      <alignment vertical="center"/>
      <protection locked="0"/>
    </xf>
    <xf fontId="0" fillId="42" borderId="24" numFmtId="0" xfId="0" applyFill="1" applyBorder="1" applyAlignment="1" applyProtection="1">
      <alignment vertical="center"/>
      <protection locked="0"/>
    </xf>
    <xf fontId="18" fillId="36" borderId="32" numFmtId="172" xfId="35" applyNumberFormat="1" applyFont="1" applyFill="1" applyBorder="1" applyAlignment="1" applyProtection="1">
      <alignment vertical="center"/>
    </xf>
    <xf fontId="18" fillId="36" borderId="30" numFmtId="172" xfId="35" applyNumberFormat="1" applyFont="1" applyFill="1" applyBorder="1" applyAlignment="1" applyProtection="1">
      <alignment vertical="center"/>
    </xf>
    <xf fontId="0" fillId="42" borderId="0" numFmtId="172" xfId="35" applyNumberFormat="1" applyFill="1" applyAlignment="1" applyProtection="1">
      <alignment vertical="center"/>
      <protection locked="0"/>
    </xf>
    <xf fontId="0" fillId="42" borderId="24" numFmtId="172" xfId="0" applyNumberFormat="1" applyFill="1" applyBorder="1" applyAlignment="1" applyProtection="1">
      <alignment vertical="center"/>
      <protection locked="0"/>
    </xf>
    <xf fontId="0" fillId="42" borderId="25" numFmtId="172" xfId="35" applyNumberFormat="1" applyFill="1" applyBorder="1" applyAlignment="1" applyProtection="1">
      <alignment vertical="center"/>
      <protection locked="0"/>
    </xf>
    <xf fontId="25" fillId="44" borderId="29" numFmtId="172" xfId="35" applyNumberFormat="1" applyFont="1" applyFill="1" applyBorder="1" applyAlignment="1" applyProtection="1">
      <alignment horizontal="center"/>
      <protection locked="0"/>
    </xf>
    <xf fontId="0" fillId="36" borderId="0" numFmtId="0" xfId="0" applyFill="1" applyProtection="1">
      <protection locked="0"/>
    </xf>
    <xf fontId="25" fillId="37" borderId="29" numFmtId="172" xfId="35" applyNumberFormat="1" applyFont="1" applyFill="1" applyBorder="1" applyAlignment="1" applyProtection="1">
      <alignment horizontal="center"/>
      <protection locked="0"/>
    </xf>
    <xf fontId="25" fillId="37" borderId="26" numFmtId="172" xfId="35" applyNumberFormat="1" applyFont="1" applyFill="1" applyBorder="1" applyAlignment="1" applyProtection="1">
      <alignment horizontal="center"/>
      <protection locked="0"/>
    </xf>
    <xf fontId="29" fillId="36" borderId="27" numFmtId="0" xfId="0" applyFont="1" applyFill="1" applyBorder="1" applyAlignment="1">
      <alignment horizontal="left" wrapText="1"/>
    </xf>
    <xf fontId="29" fillId="36" borderId="27" numFmtId="0" xfId="0" applyFont="1" applyFill="1" applyBorder="1" applyAlignment="1">
      <alignment horizontal="right" wrapText="1"/>
    </xf>
    <xf fontId="18" fillId="36" borderId="27" numFmtId="165" xfId="35" applyNumberFormat="1" applyFont="1" applyFill="1" applyBorder="1" applyProtection="1"/>
    <xf fontId="18" fillId="37" borderId="0" numFmtId="165" xfId="35" applyNumberFormat="1" applyFont="1" applyFill="1" applyProtection="1">
      <protection locked="0"/>
    </xf>
    <xf fontId="18" fillId="36" borderId="0" numFmtId="165" xfId="35" applyNumberFormat="1" applyFont="1" applyFill="1" applyProtection="1"/>
    <xf fontId="18" fillId="36" borderId="0" numFmtId="169" xfId="0" applyNumberFormat="1" applyFont="1" applyFill="1"/>
    <xf fontId="0" fillId="45" borderId="0" numFmtId="172" xfId="35" applyNumberFormat="1" applyFill="1" applyProtection="1">
      <protection locked="0"/>
    </xf>
    <xf fontId="0" fillId="44" borderId="0" numFmtId="172" xfId="35" applyNumberFormat="1" applyFill="1" applyAlignment="1" applyProtection="1">
      <alignment vertical="center"/>
      <protection locked="0"/>
    </xf>
    <xf fontId="25" fillId="42" borderId="32" numFmtId="172" xfId="35" applyNumberFormat="1" applyFont="1" applyFill="1" applyBorder="1" applyAlignment="1" applyProtection="1">
      <alignment horizontal="center"/>
      <protection locked="0"/>
    </xf>
    <xf fontId="0" fillId="42" borderId="24" numFmtId="167" xfId="0" applyNumberFormat="1" applyFill="1" applyBorder="1" applyAlignment="1" applyProtection="1">
      <alignment vertical="center"/>
      <protection locked="0"/>
    </xf>
    <xf fontId="26" fillId="36" borderId="0" numFmtId="14" xfId="0" applyNumberFormat="1" applyFont="1" applyFill="1" applyAlignment="1">
      <alignment horizontal="center"/>
    </xf>
    <xf fontId="0" fillId="36" borderId="25" numFmtId="0" xfId="0" applyFill="1" applyBorder="1"/>
    <xf fontId="0" fillId="36" borderId="28" numFmtId="0" xfId="0" applyFill="1" applyBorder="1" applyAlignment="1">
      <alignment horizontal="left"/>
    </xf>
    <xf fontId="0" fillId="42" borderId="28" numFmtId="0" xfId="0" applyFill="1" applyBorder="1" applyAlignment="1" applyProtection="1">
      <alignment horizontal="right"/>
      <protection locked="0"/>
    </xf>
    <xf fontId="0" fillId="36" borderId="26" numFmtId="0" xfId="0" applyFill="1" applyBorder="1" applyAlignment="1">
      <alignment horizontal="left"/>
    </xf>
    <xf fontId="0" fillId="42" borderId="26" numFmtId="0" xfId="0" applyFill="1" applyBorder="1" applyAlignment="1" applyProtection="1">
      <alignment horizontal="right"/>
      <protection locked="0"/>
    </xf>
    <xf fontId="0" fillId="36" borderId="30" numFmtId="0" xfId="0" applyFill="1" applyBorder="1" applyAlignment="1">
      <alignment horizontal="left"/>
    </xf>
    <xf fontId="0" fillId="42" borderId="30" numFmtId="0" xfId="0" applyFill="1" applyBorder="1" applyAlignment="1" applyProtection="1">
      <alignment horizontal="right"/>
      <protection locked="0"/>
    </xf>
    <xf fontId="0" fillId="36" borderId="0" numFmtId="0" xfId="0" applyFill="1" applyAlignment="1">
      <alignment horizontal="right"/>
    </xf>
    <xf fontId="0" fillId="36" borderId="25" numFmtId="170" xfId="0" applyNumberFormat="1" applyFill="1" applyBorder="1" applyAlignment="1">
      <alignment horizontal="right"/>
    </xf>
    <xf fontId="0" fillId="36" borderId="32" numFmtId="0" xfId="0" applyFill="1" applyBorder="1" applyAlignment="1">
      <alignment horizontal="left"/>
    </xf>
    <xf fontId="0" fillId="36" borderId="32" numFmtId="167" xfId="0" applyNumberFormat="1" applyFill="1" applyBorder="1" applyAlignment="1" applyProtection="1">
      <alignment horizontal="right"/>
      <protection locked="0"/>
    </xf>
    <xf fontId="0" fillId="36" borderId="0" numFmtId="172" xfId="35" applyNumberFormat="1" applyFill="1" applyProtection="1"/>
    <xf fontId="0" fillId="36" borderId="0" numFmtId="172" xfId="35" applyNumberFormat="1" applyFill="1" applyProtection="1">
      <protection locked="0"/>
    </xf>
    <xf fontId="33" fillId="36" borderId="0" numFmtId="0" xfId="0" applyFont="1" applyFill="1"/>
    <xf fontId="18" fillId="39" borderId="33" numFmtId="0" xfId="0" applyFont="1" applyFill="1" applyBorder="1" applyAlignment="1">
      <alignment horizontal="center" vertical="center"/>
    </xf>
    <xf fontId="18" fillId="39" borderId="34" numFmtId="0" xfId="0" applyFont="1" applyFill="1" applyBorder="1" applyAlignment="1" applyProtection="1">
      <alignment horizontal="center" vertical="center"/>
      <protection locked="0"/>
    </xf>
    <xf fontId="28" fillId="39" borderId="12" numFmtId="14" xfId="35" applyNumberFormat="1" applyFont="1" applyFill="1" applyBorder="1" applyAlignment="1" applyProtection="1">
      <alignment horizontal="center" vertical="center"/>
    </xf>
    <xf fontId="28" fillId="39" borderId="13" numFmtId="14" xfId="35" applyNumberFormat="1" applyFont="1" applyFill="1" applyBorder="1" applyAlignment="1" applyProtection="1">
      <alignment horizontal="center" vertical="center"/>
    </xf>
    <xf fontId="28" fillId="39" borderId="14" numFmtId="14" xfId="35" applyNumberFormat="1" applyFont="1" applyFill="1" applyBorder="1" applyAlignment="1" applyProtection="1">
      <alignment horizontal="center" vertical="center"/>
    </xf>
    <xf fontId="34" fillId="46" borderId="33" numFmtId="14" xfId="0" applyNumberFormat="1" applyFont="1" applyFill="1" applyBorder="1" applyAlignment="1" applyProtection="1">
      <alignment horizontal="center" vertical="center"/>
      <protection locked="0"/>
    </xf>
    <xf fontId="34" fillId="46" borderId="34" numFmtId="14" xfId="0" applyNumberFormat="1" applyFont="1" applyFill="1" applyBorder="1" applyAlignment="1" applyProtection="1">
      <alignment horizontal="center" vertical="center"/>
      <protection locked="0"/>
    </xf>
    <xf fontId="18" fillId="39" borderId="23" numFmtId="0" xfId="0" applyFont="1" applyFill="1" applyBorder="1" applyAlignment="1">
      <alignment horizontal="center" vertical="center"/>
    </xf>
    <xf fontId="18" fillId="39" borderId="24" numFmtId="0" xfId="0" applyFont="1" applyFill="1" applyBorder="1" applyAlignment="1" applyProtection="1">
      <alignment horizontal="center" vertical="center"/>
      <protection locked="0"/>
    </xf>
    <xf fontId="28" fillId="39" borderId="35" numFmtId="14" xfId="35" applyNumberFormat="1" applyFont="1" applyFill="1" applyBorder="1" applyAlignment="1" applyProtection="1">
      <alignment horizontal="center" vertical="center"/>
    </xf>
    <xf fontId="28" fillId="39" borderId="36" numFmtId="14" xfId="35" applyNumberFormat="1" applyFont="1" applyFill="1" applyBorder="1" applyAlignment="1" applyProtection="1">
      <alignment horizontal="center" vertical="center"/>
    </xf>
    <xf fontId="28" fillId="39" borderId="37" numFmtId="14" xfId="35" applyNumberFormat="1" applyFont="1" applyFill="1" applyBorder="1" applyAlignment="1" applyProtection="1">
      <alignment horizontal="center" vertical="center"/>
    </xf>
    <xf fontId="34" fillId="46" borderId="23" numFmtId="14" xfId="0" applyNumberFormat="1" applyFont="1" applyFill="1" applyBorder="1" applyAlignment="1" applyProtection="1">
      <alignment horizontal="center" vertical="center"/>
      <protection locked="0"/>
    </xf>
    <xf fontId="34" fillId="46" borderId="24" numFmtId="14" xfId="0" applyNumberFormat="1" applyFont="1" applyFill="1" applyBorder="1" applyAlignment="1" applyProtection="1">
      <alignment horizontal="center" vertical="center"/>
      <protection locked="0"/>
    </xf>
    <xf fontId="18" fillId="39" borderId="38" numFmtId="0" xfId="0" applyFont="1" applyFill="1" applyBorder="1" applyAlignment="1">
      <alignment horizontal="center" vertical="center"/>
    </xf>
    <xf fontId="18" fillId="39" borderId="39" numFmtId="0" xfId="0" applyFont="1" applyFill="1" applyBorder="1" applyAlignment="1" applyProtection="1">
      <alignment horizontal="center" vertical="center"/>
      <protection locked="0"/>
    </xf>
    <xf fontId="35" fillId="39" borderId="38" numFmtId="172" xfId="35" applyNumberFormat="1" applyFont="1" applyFill="1" applyBorder="1" applyAlignment="1" applyProtection="1">
      <alignment horizontal="center" vertical="center" wrapText="1"/>
    </xf>
    <xf fontId="18" fillId="39" borderId="40" numFmtId="172" xfId="35" applyNumberFormat="1" applyFont="1" applyFill="1" applyBorder="1" applyAlignment="1" applyProtection="1">
      <alignment horizontal="center" vertical="center" wrapText="1"/>
    </xf>
    <xf fontId="18" fillId="39" borderId="39" numFmtId="172" xfId="35" applyNumberFormat="1" applyFont="1" applyFill="1" applyBorder="1" applyAlignment="1" applyProtection="1">
      <alignment horizontal="center" vertical="center" wrapText="1"/>
    </xf>
    <xf fontId="34" fillId="46" borderId="38" numFmtId="14" xfId="0" applyNumberFormat="1" applyFont="1" applyFill="1" applyBorder="1" applyAlignment="1" applyProtection="1">
      <alignment horizontal="center" vertical="center"/>
      <protection locked="0"/>
    </xf>
    <xf fontId="34" fillId="46" borderId="39" numFmtId="14" xfId="0" applyNumberFormat="1" applyFont="1" applyFill="1" applyBorder="1" applyAlignment="1" applyProtection="1">
      <alignment horizontal="center" vertical="center"/>
      <protection locked="0"/>
    </xf>
    <xf fontId="28" fillId="47" borderId="41" numFmtId="0" xfId="0" applyFont="1" applyFill="1" applyBorder="1"/>
    <xf fontId="28" fillId="37" borderId="42" numFmtId="0" xfId="0" applyFont="1" applyFill="1" applyBorder="1" applyAlignment="1" applyProtection="1">
      <alignment horizontal="center"/>
      <protection locked="0"/>
    </xf>
    <xf fontId="28" fillId="47" borderId="43" numFmtId="172" xfId="0" applyNumberFormat="1" applyFont="1" applyFill="1" applyBorder="1"/>
    <xf fontId="28" fillId="47" borderId="44" numFmtId="172" xfId="0" applyNumberFormat="1" applyFont="1" applyFill="1" applyBorder="1"/>
    <xf fontId="28" fillId="47" borderId="42" numFmtId="172" xfId="0" applyNumberFormat="1" applyFont="1" applyFill="1" applyBorder="1"/>
    <xf fontId="0" fillId="36" borderId="45" numFmtId="0" xfId="0" applyFill="1" applyBorder="1"/>
    <xf fontId="0" fillId="37" borderId="46" numFmtId="0" xfId="0" applyFill="1" applyBorder="1" applyAlignment="1" applyProtection="1">
      <alignment horizontal="center"/>
      <protection locked="0"/>
    </xf>
    <xf fontId="0" fillId="36" borderId="45" numFmtId="172" xfId="35" applyNumberFormat="1" applyFill="1" applyBorder="1" applyProtection="1"/>
    <xf fontId="0" fillId="36" borderId="1" numFmtId="172" xfId="35" applyNumberFormat="1" applyFill="1" applyBorder="1" applyProtection="1"/>
    <xf fontId="0" fillId="36" borderId="46" numFmtId="172" xfId="35" applyNumberFormat="1" applyFill="1" applyBorder="1" applyProtection="1"/>
    <xf fontId="0" fillId="42" borderId="45" numFmtId="172" xfId="35" applyNumberFormat="1" applyFill="1" applyBorder="1" applyProtection="1">
      <protection locked="0"/>
    </xf>
    <xf fontId="0" fillId="42" borderId="46" numFmtId="172" xfId="35" applyNumberFormat="1" applyFill="1" applyBorder="1" applyProtection="1">
      <protection locked="0"/>
    </xf>
    <xf fontId="28" fillId="47" borderId="47" numFmtId="0" xfId="0" applyFont="1" applyFill="1" applyBorder="1"/>
    <xf fontId="28" fillId="37" borderId="48" numFmtId="0" xfId="0" applyFont="1" applyFill="1" applyBorder="1" applyAlignment="1" applyProtection="1">
      <alignment horizontal="center"/>
      <protection locked="0"/>
    </xf>
    <xf fontId="28" fillId="47" borderId="45" numFmtId="172" xfId="0" applyNumberFormat="1" applyFont="1" applyFill="1" applyBorder="1"/>
    <xf fontId="28" fillId="47" borderId="49" numFmtId="172" xfId="0" applyNumberFormat="1" applyFont="1" applyFill="1" applyBorder="1"/>
    <xf fontId="28" fillId="47" borderId="48" numFmtId="172" xfId="0" applyNumberFormat="1" applyFont="1" applyFill="1" applyBorder="1"/>
    <xf fontId="0" fillId="36" borderId="45" numFmtId="165" xfId="35" applyNumberFormat="1" applyFill="1" applyBorder="1" applyProtection="1"/>
    <xf fontId="0" fillId="37" borderId="46" numFmtId="165" xfId="35" applyNumberFormat="1" applyFill="1" applyBorder="1" applyAlignment="1" applyProtection="1">
      <alignment horizontal="center"/>
      <protection locked="0"/>
    </xf>
    <xf fontId="0" fillId="36" borderId="15" numFmtId="0" xfId="0" applyFill="1" applyBorder="1"/>
    <xf fontId="0" fillId="36" borderId="16" numFmtId="0" xfId="0" applyFill="1" applyBorder="1" applyAlignment="1" applyProtection="1">
      <alignment horizontal="center"/>
      <protection locked="0"/>
    </xf>
    <xf fontId="0" fillId="36" borderId="15" numFmtId="172" xfId="35" applyNumberFormat="1" applyFill="1" applyBorder="1" applyProtection="1"/>
    <xf fontId="0" fillId="36" borderId="16" numFmtId="172" xfId="35" applyNumberFormat="1" applyFill="1" applyBorder="1" applyProtection="1"/>
    <xf fontId="0" fillId="36" borderId="15" numFmtId="172" xfId="35" applyNumberFormat="1" applyFill="1" applyBorder="1" applyProtection="1">
      <protection locked="0"/>
    </xf>
    <xf fontId="0" fillId="36" borderId="16" numFmtId="172" xfId="35" applyNumberFormat="1" applyFill="1" applyBorder="1" applyProtection="1">
      <protection locked="0"/>
    </xf>
    <xf fontId="36" fillId="46" borderId="20" numFmtId="0" xfId="0" applyFont="1" applyFill="1" applyBorder="1" applyAlignment="1">
      <alignment horizontal="left"/>
    </xf>
    <xf fontId="36" fillId="46" borderId="22" numFmtId="0" xfId="0" applyFont="1" applyFill="1" applyBorder="1" applyAlignment="1" applyProtection="1">
      <alignment horizontal="center"/>
      <protection locked="0"/>
    </xf>
    <xf fontId="36" fillId="46" borderId="50" numFmtId="172" xfId="0" applyNumberFormat="1" applyFont="1" applyFill="1" applyBorder="1"/>
    <xf fontId="36" fillId="46" borderId="51" numFmtId="172" xfId="0" applyNumberFormat="1" applyFont="1" applyFill="1" applyBorder="1"/>
    <xf fontId="28" fillId="36" borderId="15" numFmtId="0" xfId="0" applyFont="1" applyFill="1" applyBorder="1" applyAlignment="1">
      <alignment horizontal="left"/>
    </xf>
    <xf fontId="28" fillId="36" borderId="16" numFmtId="0" xfId="0" applyFont="1" applyFill="1" applyBorder="1" applyAlignment="1" applyProtection="1">
      <alignment horizontal="center"/>
      <protection locked="0"/>
    </xf>
    <xf fontId="28" fillId="36" borderId="15" numFmtId="172" xfId="0" applyNumberFormat="1" applyFont="1" applyFill="1" applyBorder="1"/>
    <xf fontId="28" fillId="36" borderId="0" numFmtId="172" xfId="0" applyNumberFormat="1" applyFont="1" applyFill="1"/>
    <xf fontId="28" fillId="36" borderId="16" numFmtId="172" xfId="0" applyNumberFormat="1" applyFont="1" applyFill="1" applyBorder="1"/>
    <xf fontId="28" fillId="36" borderId="15" numFmtId="172" xfId="0" applyNumberFormat="1" applyFont="1" applyFill="1" applyBorder="1" applyProtection="1">
      <protection locked="0"/>
    </xf>
    <xf fontId="28" fillId="36" borderId="16" numFmtId="172" xfId="0" applyNumberFormat="1" applyFont="1" applyFill="1" applyBorder="1" applyProtection="1">
      <protection locked="0"/>
    </xf>
    <xf fontId="28" fillId="47" borderId="52" numFmtId="0" xfId="0" applyFont="1" applyFill="1" applyBorder="1"/>
    <xf fontId="28" fillId="47" borderId="53" numFmtId="0" xfId="0" applyFont="1" applyFill="1" applyBorder="1" applyAlignment="1" applyProtection="1">
      <alignment horizontal="center"/>
      <protection locked="0"/>
    </xf>
    <xf fontId="28" fillId="47" borderId="12" numFmtId="172" xfId="0" applyNumberFormat="1" applyFont="1" applyFill="1" applyBorder="1"/>
    <xf fontId="28" fillId="47" borderId="54" numFmtId="172" xfId="0" applyNumberFormat="1" applyFont="1" applyFill="1" applyBorder="1"/>
    <xf fontId="28" fillId="47" borderId="53" numFmtId="172" xfId="0" applyNumberFormat="1" applyFont="1" applyFill="1" applyBorder="1"/>
    <xf fontId="0" fillId="42" borderId="46" numFmtId="0" xfId="0" applyFill="1" applyBorder="1" applyAlignment="1" applyProtection="1">
      <alignment horizontal="center"/>
      <protection locked="0"/>
    </xf>
    <xf fontId="0" fillId="36" borderId="46" numFmtId="0" xfId="0" applyFill="1" applyBorder="1" applyAlignment="1" applyProtection="1">
      <alignment horizontal="center"/>
      <protection locked="0"/>
    </xf>
    <xf fontId="0" fillId="0" borderId="45" numFmtId="172" xfId="35" applyNumberFormat="1" applyBorder="1" applyProtection="1"/>
    <xf fontId="28" fillId="42" borderId="53" numFmtId="0" xfId="0" applyFont="1" applyFill="1" applyBorder="1" applyAlignment="1" applyProtection="1">
      <alignment horizontal="center"/>
      <protection locked="0"/>
    </xf>
    <xf fontId="28" fillId="47" borderId="12" numFmtId="0" xfId="0" applyFont="1" applyFill="1" applyBorder="1"/>
    <xf fontId="28" fillId="47" borderId="54" numFmtId="0" xfId="0" applyFont="1" applyFill="1" applyBorder="1"/>
    <xf fontId="28" fillId="47" borderId="53" numFmtId="0" xfId="0" applyFont="1" applyFill="1" applyBorder="1"/>
    <xf fontId="28" fillId="42" borderId="12" numFmtId="0" xfId="0" applyFont="1" applyFill="1" applyBorder="1" applyProtection="1">
      <protection locked="0"/>
    </xf>
    <xf fontId="28" fillId="42" borderId="53" numFmtId="0" xfId="0" applyFont="1" applyFill="1" applyBorder="1" applyProtection="1">
      <protection locked="0"/>
    </xf>
    <xf fontId="37" fillId="36" borderId="15" numFmtId="0" xfId="0" applyFont="1" applyFill="1" applyBorder="1"/>
    <xf fontId="0" fillId="37" borderId="15" numFmtId="172" xfId="35" applyNumberFormat="1" applyFill="1" applyBorder="1" applyProtection="1"/>
    <xf fontId="37" fillId="36" borderId="0" numFmtId="165" xfId="35" applyNumberFormat="1" applyFont="1" applyFill="1" applyProtection="1"/>
    <xf fontId="0" fillId="37" borderId="16" numFmtId="172" xfId="35" applyNumberFormat="1" applyFill="1" applyBorder="1" applyProtection="1"/>
    <xf fontId="36" fillId="46" borderId="55" numFmtId="172" xfId="0" applyNumberFormat="1" applyFont="1" applyFill="1" applyBorder="1"/>
    <xf fontId="36" fillId="46" borderId="56" numFmtId="172" xfId="0" applyNumberFormat="1" applyFont="1" applyFill="1" applyBorder="1"/>
    <xf fontId="36" fillId="46" borderId="15" numFmtId="0" xfId="0" applyFont="1" applyFill="1" applyBorder="1" applyAlignment="1">
      <alignment horizontal="left"/>
    </xf>
    <xf fontId="36" fillId="46" borderId="16" numFmtId="0" xfId="0" applyFont="1" applyFill="1" applyBorder="1" applyAlignment="1" applyProtection="1">
      <alignment horizontal="center"/>
      <protection locked="0"/>
    </xf>
    <xf fontId="36" fillId="46" borderId="15" numFmtId="172" xfId="0" applyNumberFormat="1" applyFont="1" applyFill="1" applyBorder="1"/>
    <xf fontId="36" fillId="46" borderId="0" numFmtId="172" xfId="0" applyNumberFormat="1" applyFont="1" applyFill="1"/>
    <xf fontId="36" fillId="46" borderId="16" numFmtId="172" xfId="0" applyNumberFormat="1" applyFont="1" applyFill="1" applyBorder="1"/>
    <xf fontId="28" fillId="37" borderId="53" numFmtId="0" xfId="0" applyFont="1" applyFill="1" applyBorder="1" applyAlignment="1" applyProtection="1">
      <alignment horizontal="center"/>
      <protection locked="0"/>
    </xf>
    <xf fontId="28" fillId="42" borderId="12" numFmtId="172" xfId="0" applyNumberFormat="1" applyFont="1" applyFill="1" applyBorder="1" applyProtection="1">
      <protection locked="0"/>
    </xf>
    <xf fontId="28" fillId="42" borderId="53" numFmtId="172" xfId="0" applyNumberFormat="1" applyFont="1" applyFill="1" applyBorder="1" applyProtection="1">
      <protection locked="0"/>
    </xf>
    <xf fontId="36" fillId="46" borderId="15" numFmtId="172" xfId="0" applyNumberFormat="1" applyFont="1" applyFill="1" applyBorder="1" applyProtection="1">
      <protection locked="0"/>
    </xf>
    <xf fontId="36" fillId="46" borderId="16" numFmtId="172" xfId="0" applyNumberFormat="1" applyFont="1" applyFill="1" applyBorder="1" applyProtection="1">
      <protection locked="0"/>
    </xf>
    <xf fontId="38" fillId="36" borderId="15" numFmtId="172" xfId="0" applyNumberFormat="1" applyFont="1" applyFill="1" applyBorder="1"/>
    <xf fontId="38" fillId="36" borderId="15" numFmtId="172" xfId="0" applyNumberFormat="1" applyFont="1" applyFill="1" applyBorder="1" applyProtection="1">
      <protection locked="0"/>
    </xf>
    <xf fontId="38" fillId="36" borderId="16" numFmtId="172" xfId="0" applyNumberFormat="1" applyFont="1" applyFill="1" applyBorder="1" applyProtection="1">
      <protection locked="0"/>
    </xf>
    <xf fontId="36" fillId="46" borderId="17" numFmtId="0" xfId="0" applyFont="1" applyFill="1" applyBorder="1" applyAlignment="1">
      <alignment horizontal="left"/>
    </xf>
    <xf fontId="36" fillId="46" borderId="19" numFmtId="0" xfId="0" applyFont="1" applyFill="1" applyBorder="1" applyAlignment="1" applyProtection="1">
      <alignment horizontal="center"/>
      <protection locked="0"/>
    </xf>
    <xf fontId="36" fillId="46" borderId="17" numFmtId="172" xfId="0" applyNumberFormat="1" applyFont="1" applyFill="1" applyBorder="1"/>
    <xf fontId="36" fillId="46" borderId="18" numFmtId="172" xfId="0" applyNumberFormat="1" applyFont="1" applyFill="1" applyBorder="1"/>
    <xf fontId="36" fillId="46" borderId="19" numFmtId="172" xfId="0" applyNumberFormat="1" applyFont="1" applyFill="1" applyBorder="1"/>
    <xf fontId="36" fillId="37" borderId="17" numFmtId="172" xfId="0" applyNumberFormat="1" applyFont="1" applyFill="1" applyBorder="1" applyProtection="1">
      <protection locked="0"/>
    </xf>
    <xf fontId="36" fillId="37" borderId="19" numFmtId="172" xfId="0" applyNumberFormat="1" applyFont="1" applyFill="1" applyBorder="1" applyProtection="1">
      <protection locked="0"/>
    </xf>
    <xf fontId="36" fillId="36" borderId="0" numFmtId="0" xfId="0" applyFont="1" applyFill="1" applyAlignment="1">
      <alignment horizontal="left"/>
    </xf>
    <xf fontId="36" fillId="36" borderId="0" numFmtId="0" xfId="0" applyFont="1" applyFill="1" applyAlignment="1" applyProtection="1">
      <alignment horizontal="center"/>
      <protection locked="0"/>
    </xf>
    <xf fontId="38" fillId="36" borderId="0" numFmtId="172" xfId="0" applyNumberFormat="1" applyFont="1" applyFill="1"/>
    <xf fontId="36" fillId="36" borderId="0" numFmtId="172" xfId="0" applyNumberFormat="1" applyFont="1" applyFill="1"/>
    <xf fontId="38" fillId="36" borderId="0" numFmtId="172" xfId="0" applyNumberFormat="1" applyFont="1" applyFill="1" applyProtection="1">
      <protection locked="0"/>
    </xf>
    <xf fontId="0" fillId="36" borderId="0" numFmtId="172" xfId="0" applyNumberFormat="1" applyFill="1"/>
    <xf fontId="39" fillId="36" borderId="0" numFmtId="0" xfId="0" applyFont="1" applyFill="1" applyAlignment="1">
      <alignment horizontal="left"/>
    </xf>
    <xf fontId="33" fillId="39" borderId="20" numFmtId="14" xfId="35" applyNumberFormat="1" applyFont="1" applyFill="1" applyBorder="1" applyAlignment="1" applyProtection="1">
      <alignment horizontal="center"/>
    </xf>
    <xf fontId="33" fillId="39" borderId="21" numFmtId="14" xfId="35" applyNumberFormat="1" applyFont="1" applyFill="1" applyBorder="1" applyAlignment="1" applyProtection="1">
      <alignment horizontal="center"/>
    </xf>
    <xf fontId="33" fillId="39" borderId="22" numFmtId="14" xfId="35" applyNumberFormat="1" applyFont="1" applyFill="1" applyBorder="1" applyAlignment="1" applyProtection="1">
      <alignment horizontal="center"/>
    </xf>
    <xf fontId="34" fillId="46" borderId="57" numFmtId="14" xfId="0" applyNumberFormat="1" applyFont="1" applyFill="1" applyBorder="1" applyAlignment="1" applyProtection="1">
      <alignment horizontal="center" vertical="center"/>
      <protection locked="0"/>
    </xf>
    <xf fontId="34" fillId="46" borderId="58" numFmtId="14" xfId="0" applyNumberFormat="1" applyFont="1" applyFill="1" applyBorder="1" applyAlignment="1" applyProtection="1">
      <alignment horizontal="center" vertical="center"/>
      <protection locked="0"/>
    </xf>
    <xf fontId="0" fillId="48" borderId="0" numFmtId="0" xfId="0" applyFill="1" applyAlignment="1">
      <alignment horizontal="left"/>
    </xf>
    <xf fontId="0" fillId="48" borderId="15" numFmtId="172" xfId="0" applyNumberFormat="1" applyFill="1" applyBorder="1"/>
    <xf fontId="0" fillId="48" borderId="0" numFmtId="172" xfId="0" applyNumberFormat="1" applyFill="1"/>
    <xf fontId="0" fillId="48" borderId="16" numFmtId="172" xfId="0" applyNumberFormat="1" applyFill="1" applyBorder="1"/>
    <xf fontId="0" fillId="36" borderId="0" numFmtId="0" xfId="0" applyFill="1" applyAlignment="1">
      <alignment horizontal="left"/>
    </xf>
    <xf fontId="0" fillId="37" borderId="0" numFmtId="172" xfId="35" applyNumberFormat="1" applyFill="1" applyProtection="1"/>
    <xf fontId="18" fillId="48" borderId="20" numFmtId="0" xfId="0" applyFont="1" applyFill="1" applyBorder="1" applyAlignment="1">
      <alignment horizontal="left"/>
    </xf>
    <xf fontId="18" fillId="48" borderId="21" numFmtId="0" xfId="0" applyFont="1" applyFill="1" applyBorder="1" applyAlignment="1">
      <alignment horizontal="left"/>
    </xf>
    <xf fontId="18" fillId="48" borderId="20" numFmtId="172" xfId="0" applyNumberFormat="1" applyFont="1" applyFill="1" applyBorder="1"/>
    <xf fontId="18" fillId="48" borderId="21" numFmtId="172" xfId="0" applyNumberFormat="1" applyFont="1" applyFill="1" applyBorder="1"/>
    <xf fontId="18" fillId="48" borderId="22" numFmtId="172" xfId="0" applyNumberFormat="1" applyFont="1" applyFill="1" applyBorder="1"/>
    <xf fontId="0" fillId="42" borderId="15" numFmtId="172" xfId="0" applyNumberFormat="1" applyFill="1" applyBorder="1"/>
    <xf fontId="0" fillId="42" borderId="16" numFmtId="172" xfId="0" applyNumberFormat="1" applyFill="1" applyBorder="1"/>
    <xf fontId="18" fillId="37" borderId="20" numFmtId="172" xfId="0" applyNumberFormat="1" applyFont="1" applyFill="1" applyBorder="1"/>
    <xf fontId="18" fillId="37" borderId="22" numFmtId="172" xfId="0" applyNumberFormat="1" applyFont="1" applyFill="1" applyBorder="1"/>
    <xf fontId="40" fillId="46" borderId="0" numFmtId="0" xfId="0" applyFont="1" applyFill="1" applyAlignment="1">
      <alignment horizontal="left"/>
    </xf>
    <xf fontId="36" fillId="46" borderId="0" numFmtId="0" xfId="0" applyFont="1" applyFill="1" applyAlignment="1" applyProtection="1">
      <alignment horizontal="center"/>
      <protection locked="0"/>
    </xf>
    <xf fontId="36" fillId="46" borderId="0" numFmtId="172" xfId="0" applyNumberFormat="1" applyFont="1" applyFill="1" applyProtection="1">
      <protection locked="0"/>
    </xf>
    <xf fontId="22" fillId="36" borderId="26" numFmtId="0" xfId="0" applyFont="1" applyFill="1" applyBorder="1" applyAlignment="1">
      <alignment horizontal="left"/>
    </xf>
    <xf fontId="22" fillId="36" borderId="26" numFmtId="0" xfId="0" applyFont="1" applyFill="1" applyBorder="1" applyAlignment="1" applyProtection="1">
      <alignment horizontal="center" vertical="center"/>
      <protection locked="0"/>
    </xf>
    <xf fontId="22" fillId="37" borderId="26" numFmtId="172" xfId="35" applyNumberFormat="1" applyFont="1" applyFill="1" applyBorder="1" applyProtection="1"/>
    <xf fontId="22" fillId="36" borderId="26" numFmtId="172" xfId="35" applyNumberFormat="1" applyFont="1" applyFill="1" applyBorder="1" applyProtection="1"/>
    <xf fontId="22" fillId="37" borderId="26" numFmtId="172" xfId="35" applyNumberFormat="1" applyFont="1" applyFill="1" applyBorder="1" applyProtection="1">
      <protection locked="0"/>
    </xf>
    <xf fontId="22" fillId="36" borderId="0" numFmtId="0" xfId="0" applyFont="1" applyFill="1" applyAlignment="1">
      <alignment horizontal="left"/>
    </xf>
    <xf fontId="22" fillId="37" borderId="0" numFmtId="0" xfId="0" applyFont="1" applyFill="1" applyAlignment="1" applyProtection="1">
      <alignment horizontal="center" vertical="center"/>
      <protection locked="0"/>
    </xf>
    <xf fontId="22" fillId="37" borderId="0" numFmtId="172" xfId="35" applyNumberFormat="1" applyFont="1" applyFill="1" applyProtection="1"/>
    <xf fontId="22" fillId="36" borderId="0" numFmtId="172" xfId="35" applyNumberFormat="1" applyFont="1" applyFill="1" applyProtection="1"/>
    <xf fontId="22" fillId="37" borderId="0" numFmtId="172" xfId="35" applyNumberFormat="1" applyFont="1" applyFill="1" applyProtection="1">
      <protection locked="0"/>
    </xf>
    <xf fontId="22" fillId="37" borderId="26" numFmtId="0" xfId="0" applyFont="1" applyFill="1" applyBorder="1" applyAlignment="1" applyProtection="1">
      <alignment horizontal="center" vertical="center"/>
      <protection locked="0"/>
    </xf>
    <xf fontId="22" fillId="36" borderId="0" numFmtId="0" xfId="0" applyFont="1" applyFill="1" applyAlignment="1" applyProtection="1">
      <alignment horizontal="center" vertical="center"/>
      <protection locked="0"/>
    </xf>
    <xf fontId="22" fillId="36" borderId="0" numFmtId="172" xfId="35" applyNumberFormat="1" applyFont="1" applyFill="1" applyProtection="1">
      <protection locked="0"/>
    </xf>
    <xf fontId="18" fillId="49" borderId="33" numFmtId="0" xfId="0" applyFont="1" applyFill="1" applyBorder="1" applyAlignment="1">
      <alignment horizontal="center" vertical="center" wrapText="1"/>
    </xf>
    <xf fontId="18" fillId="49" borderId="59" numFmtId="0" xfId="0" applyFont="1" applyFill="1" applyBorder="1" applyAlignment="1" applyProtection="1">
      <alignment horizontal="center" vertical="center" wrapText="1"/>
      <protection locked="0"/>
    </xf>
    <xf fontId="28" fillId="49" borderId="20" numFmtId="0" xfId="0" applyFont="1" applyFill="1" applyBorder="1" applyAlignment="1">
      <alignment horizontal="center" vertical="center" wrapText="1"/>
    </xf>
    <xf fontId="28" fillId="49" borderId="21" numFmtId="0" xfId="0" applyFont="1" applyFill="1" applyBorder="1" applyAlignment="1">
      <alignment horizontal="center" vertical="center" wrapText="1"/>
    </xf>
    <xf fontId="28" fillId="49" borderId="22" numFmtId="0" xfId="0" applyFont="1" applyFill="1" applyBorder="1" applyAlignment="1">
      <alignment horizontal="center" vertical="center" wrapText="1"/>
    </xf>
    <xf fontId="0" fillId="37" borderId="0" numFmtId="0" xfId="0" applyFill="1" applyProtection="1">
      <protection locked="0"/>
    </xf>
    <xf fontId="18" fillId="49" borderId="38" numFmtId="0" xfId="0" applyFont="1" applyFill="1" applyBorder="1" applyAlignment="1">
      <alignment horizontal="center" vertical="center" wrapText="1"/>
    </xf>
    <xf fontId="18" fillId="49" borderId="60" numFmtId="0" xfId="0" applyFont="1" applyFill="1" applyBorder="1" applyAlignment="1" applyProtection="1">
      <alignment horizontal="center" vertical="center" wrapText="1"/>
      <protection locked="0"/>
    </xf>
    <xf fontId="18" fillId="49" borderId="50" numFmtId="0" xfId="0" applyFont="1" applyFill="1" applyBorder="1" applyAlignment="1">
      <alignment horizontal="center" vertical="center" wrapText="1"/>
    </xf>
    <xf fontId="18" fillId="49" borderId="55" numFmtId="172" xfId="0" applyNumberFormat="1" applyFont="1" applyFill="1" applyBorder="1" applyAlignment="1">
      <alignment horizontal="center" vertical="center" wrapText="1"/>
    </xf>
    <xf fontId="18" fillId="49" borderId="56" numFmtId="172" xfId="0" applyNumberFormat="1" applyFont="1" applyFill="1" applyBorder="1" applyAlignment="1">
      <alignment horizontal="center" vertical="center" wrapText="1"/>
    </xf>
    <xf fontId="18" fillId="37" borderId="50" numFmtId="0" xfId="0" applyFont="1" applyFill="1" applyBorder="1" applyAlignment="1" applyProtection="1">
      <alignment horizontal="center" vertical="center" wrapText="1"/>
      <protection locked="0"/>
    </xf>
    <xf fontId="0" fillId="42" borderId="43" numFmtId="0" xfId="0" applyFill="1" applyBorder="1" applyProtection="1">
      <protection locked="0"/>
    </xf>
    <xf fontId="0" fillId="36" borderId="61" numFmtId="0" xfId="0" applyFill="1" applyBorder="1" applyAlignment="1">
      <alignment horizontal="center"/>
    </xf>
    <xf fontId="0" fillId="36" borderId="43" numFmtId="172" xfId="0" applyNumberFormat="1" applyFill="1" applyBorder="1"/>
    <xf fontId="0" fillId="42" borderId="62" numFmtId="172" xfId="38" applyNumberFormat="1" applyFill="1" applyBorder="1" applyProtection="1">
      <protection locked="0"/>
    </xf>
    <xf fontId="0" fillId="37" borderId="63" numFmtId="172" xfId="38" applyNumberFormat="1" applyFill="1" applyBorder="1" applyProtection="1"/>
    <xf fontId="0" fillId="44" borderId="62" numFmtId="172" xfId="38" applyNumberFormat="1" applyFill="1" applyBorder="1" applyProtection="1">
      <protection locked="0"/>
    </xf>
    <xf fontId="0" fillId="37" borderId="43" numFmtId="172" xfId="0" applyNumberFormat="1" applyFill="1" applyBorder="1" applyProtection="1">
      <protection locked="0"/>
    </xf>
    <xf fontId="0" fillId="42" borderId="45" numFmtId="0" xfId="0" applyFill="1" applyBorder="1" applyProtection="1">
      <protection locked="0"/>
    </xf>
    <xf fontId="0" fillId="36" borderId="64" numFmtId="0" xfId="0" applyFill="1" applyBorder="1" applyAlignment="1">
      <alignment horizontal="center"/>
    </xf>
    <xf fontId="0" fillId="42" borderId="65" numFmtId="172" xfId="38" applyNumberFormat="1" applyFill="1" applyBorder="1" applyProtection="1">
      <protection locked="0"/>
    </xf>
    <xf fontId="0" fillId="37" borderId="66" numFmtId="172" xfId="38" applyNumberFormat="1" applyFill="1" applyBorder="1" applyProtection="1"/>
    <xf fontId="0" fillId="44" borderId="65" numFmtId="172" xfId="38" applyNumberFormat="1" applyFill="1" applyBorder="1" applyProtection="1">
      <protection locked="0"/>
    </xf>
    <xf fontId="0" fillId="42" borderId="1" numFmtId="172" xfId="38" applyNumberFormat="1" applyFill="1" applyBorder="1" applyProtection="1">
      <protection locked="0"/>
    </xf>
    <xf fontId="0" fillId="37" borderId="46" numFmtId="172" xfId="38" applyNumberFormat="1" applyFill="1" applyBorder="1" applyProtection="1"/>
    <xf fontId="0" fillId="42" borderId="35" numFmtId="0" xfId="0" applyFill="1" applyBorder="1" applyProtection="1">
      <protection locked="0"/>
    </xf>
    <xf fontId="0" fillId="36" borderId="67" numFmtId="0" xfId="0" applyFill="1" applyBorder="1" applyAlignment="1">
      <alignment horizontal="center"/>
    </xf>
    <xf fontId="0" fillId="36" borderId="38" numFmtId="172" xfId="0" applyNumberFormat="1" applyFill="1" applyBorder="1"/>
    <xf fontId="0" fillId="42" borderId="36" numFmtId="172" xfId="38" applyNumberFormat="1" applyFill="1" applyBorder="1" applyProtection="1">
      <protection locked="0"/>
    </xf>
    <xf fontId="0" fillId="37" borderId="37" numFmtId="172" xfId="38" applyNumberFormat="1" applyFill="1" applyBorder="1" applyProtection="1"/>
    <xf fontId="0" fillId="37" borderId="38" numFmtId="172" xfId="0" applyNumberFormat="1" applyFill="1" applyBorder="1" applyProtection="1">
      <protection locked="0"/>
    </xf>
    <xf fontId="0" fillId="0" borderId="0" numFmtId="0" xfId="0" applyProtection="1">
      <protection locked="0"/>
    </xf>
    <xf fontId="0" fillId="0" borderId="0" numFmtId="0" xfId="0" applyAlignment="1" applyProtection="1">
      <alignment horizontal="center"/>
      <protection locked="0"/>
    </xf>
    <xf fontId="33" fillId="36" borderId="0" numFmtId="0" xfId="0" applyFont="1" applyFill="1" applyProtection="1">
      <protection locked="0"/>
    </xf>
    <xf fontId="2" fillId="46" borderId="33" numFmtId="0" xfId="0" applyFont="1" applyFill="1" applyBorder="1" applyProtection="1">
      <protection locked="0"/>
    </xf>
    <xf fontId="2" fillId="46" borderId="68" numFmtId="170" xfId="0" applyNumberFormat="1" applyFont="1" applyFill="1" applyBorder="1" applyAlignment="1" applyProtection="1">
      <alignment horizontal="center"/>
      <protection locked="0"/>
    </xf>
    <xf fontId="18" fillId="39" borderId="50" numFmtId="0" xfId="0" applyFont="1" applyFill="1" applyBorder="1" applyProtection="1">
      <protection locked="0"/>
    </xf>
    <xf fontId="18" fillId="42" borderId="69" numFmtId="0" xfId="0" applyFont="1" applyFill="1" applyBorder="1" applyAlignment="1" applyProtection="1">
      <alignment horizontal="center"/>
      <protection locked="0"/>
    </xf>
    <xf fontId="18" fillId="39" borderId="69" numFmtId="172" xfId="0" applyNumberFormat="1" applyFont="1" applyFill="1" applyBorder="1" applyAlignment="1" applyProtection="1">
      <alignment horizontal="center"/>
      <protection locked="0"/>
    </xf>
    <xf fontId="0" fillId="36" borderId="0" numFmtId="172" xfId="35" applyNumberFormat="1" applyFill="1" applyAlignment="1" applyProtection="1">
      <alignment horizontal="center"/>
      <protection locked="0"/>
    </xf>
    <xf fontId="2" fillId="36" borderId="0" numFmtId="172" xfId="35" applyNumberFormat="1" applyFont="1" applyFill="1" applyAlignment="1" applyProtection="1">
      <alignment horizontal="center"/>
      <protection locked="0"/>
    </xf>
    <xf fontId="0" fillId="47" borderId="0" numFmtId="0" xfId="0" applyFill="1" applyProtection="1">
      <protection locked="0"/>
    </xf>
    <xf fontId="18" fillId="47" borderId="1" numFmtId="0" xfId="0" applyFont="1" applyFill="1" applyBorder="1" applyProtection="1">
      <protection locked="0"/>
    </xf>
    <xf fontId="18" fillId="47" borderId="1" numFmtId="172" xfId="35" applyNumberFormat="1" applyFont="1" applyFill="1" applyBorder="1" applyAlignment="1" applyProtection="1">
      <alignment horizontal="center"/>
      <protection locked="0"/>
    </xf>
    <xf fontId="18" fillId="0" borderId="0" numFmtId="0" xfId="0" applyFont="1" applyProtection="1">
      <protection locked="0"/>
    </xf>
    <xf fontId="18" fillId="0" borderId="1" numFmtId="0" xfId="0" applyFont="1" applyBorder="1" applyProtection="1">
      <protection locked="0"/>
    </xf>
    <xf fontId="18" fillId="0" borderId="1" numFmtId="172" xfId="35" applyNumberFormat="1" applyFont="1" applyBorder="1" applyAlignment="1" applyProtection="1">
      <alignment horizontal="center"/>
      <protection locked="0"/>
    </xf>
    <xf fontId="18" fillId="36" borderId="0" numFmtId="0" xfId="0" applyFont="1" applyFill="1" applyProtection="1">
      <protection locked="0"/>
    </xf>
    <xf fontId="41" fillId="42" borderId="1" numFmtId="0" xfId="0" applyFont="1" applyFill="1" applyBorder="1" applyAlignment="1" applyProtection="1">
      <alignment horizontal="left" indent="2"/>
      <protection locked="0"/>
    </xf>
    <xf fontId="0" fillId="42" borderId="1" numFmtId="172" xfId="35" applyNumberFormat="1" applyFill="1" applyBorder="1" applyAlignment="1" applyProtection="1">
      <alignment horizontal="center"/>
      <protection locked="0"/>
    </xf>
    <xf fontId="18" fillId="42" borderId="1" numFmtId="0" xfId="0" applyFont="1" applyFill="1" applyBorder="1" applyAlignment="1" applyProtection="1">
      <alignment horizontal="left"/>
      <protection locked="0"/>
    </xf>
    <xf fontId="18" fillId="42" borderId="1" numFmtId="172" xfId="35" applyNumberFormat="1" applyFont="1" applyFill="1" applyBorder="1" applyAlignment="1" applyProtection="1">
      <alignment horizontal="center"/>
      <protection locked="0"/>
    </xf>
    <xf fontId="18" fillId="47" borderId="1" numFmtId="0" xfId="0" applyFont="1" applyFill="1" applyBorder="1" applyAlignment="1" applyProtection="1">
      <alignment horizontal="center"/>
      <protection locked="0"/>
    </xf>
    <xf fontId="0" fillId="42" borderId="1" numFmtId="0" xfId="0" applyFill="1" applyBorder="1" applyProtection="1">
      <protection locked="0"/>
    </xf>
    <xf fontId="0" fillId="42" borderId="1" numFmtId="0" xfId="0" applyFill="1" applyBorder="1" applyAlignment="1" applyProtection="1">
      <alignment horizontal="center"/>
      <protection locked="0"/>
    </xf>
    <xf fontId="18" fillId="47" borderId="1" numFmtId="172" xfId="0" applyNumberFormat="1" applyFont="1" applyFill="1" applyBorder="1" applyAlignment="1" applyProtection="1">
      <alignment horizontal="center"/>
      <protection locked="0"/>
    </xf>
    <xf fontId="18" fillId="36" borderId="1" numFmtId="0" xfId="0" applyFont="1" applyFill="1" applyBorder="1" applyAlignment="1" applyProtection="1">
      <alignment horizontal="left"/>
      <protection locked="0"/>
    </xf>
    <xf fontId="0" fillId="39" borderId="50" numFmtId="0" xfId="0" applyFill="1" applyBorder="1" applyProtection="1">
      <protection locked="0"/>
    </xf>
    <xf fontId="0" fillId="39" borderId="69" numFmtId="172" xfId="0" applyNumberFormat="1" applyFill="1" applyBorder="1" applyAlignment="1" applyProtection="1">
      <alignment horizontal="center"/>
      <protection locked="0"/>
    </xf>
    <xf fontId="0" fillId="0" borderId="0" numFmtId="172" xfId="35" applyNumberFormat="1" applyAlignment="1" applyProtection="1">
      <alignment horizontal="center"/>
      <protection locked="0"/>
    </xf>
    <xf fontId="18" fillId="39" borderId="55" numFmtId="172" xfId="35" applyNumberFormat="1" applyFont="1" applyFill="1" applyBorder="1" applyAlignment="1" applyProtection="1">
      <alignment horizontal="center"/>
      <protection locked="0"/>
    </xf>
    <xf fontId="0" fillId="0" borderId="0" numFmtId="0" xfId="0" applyAlignment="1">
      <alignment horizontal="center"/>
    </xf>
    <xf fontId="0" fillId="36" borderId="0" numFmtId="0" xfId="0" applyFill="1" applyAlignment="1">
      <alignment horizontal="center"/>
    </xf>
    <xf fontId="0" fillId="36" borderId="0" numFmtId="165" xfId="35" applyNumberFormat="1" applyFill="1" applyAlignment="1">
      <alignment horizontal="center"/>
    </xf>
    <xf fontId="2" fillId="46" borderId="33" numFmtId="0" xfId="0" applyFont="1" applyFill="1" applyBorder="1"/>
    <xf fontId="2" fillId="46" borderId="68" numFmtId="170" xfId="0" applyNumberFormat="1" applyFont="1" applyFill="1" applyBorder="1" applyAlignment="1">
      <alignment horizontal="center"/>
    </xf>
    <xf fontId="18" fillId="39" borderId="50" numFmtId="0" xfId="0" applyFont="1" applyFill="1" applyBorder="1"/>
    <xf fontId="18" fillId="39" borderId="69" numFmtId="172" xfId="0" applyNumberFormat="1" applyFont="1" applyFill="1" applyBorder="1" applyAlignment="1">
      <alignment horizontal="center"/>
    </xf>
    <xf fontId="0" fillId="36" borderId="0" numFmtId="172" xfId="35" applyNumberFormat="1" applyFill="1" applyAlignment="1" applyProtection="1">
      <alignment horizontal="center"/>
    </xf>
    <xf fontId="2" fillId="36" borderId="0" numFmtId="172" xfId="35" applyNumberFormat="1" applyFont="1" applyFill="1" applyAlignment="1" applyProtection="1">
      <alignment horizontal="center"/>
    </xf>
    <xf fontId="0" fillId="47" borderId="0" numFmtId="0" xfId="0" applyFill="1"/>
    <xf fontId="18" fillId="47" borderId="1" numFmtId="0" xfId="0" applyFont="1" applyFill="1" applyBorder="1"/>
    <xf fontId="18" fillId="47" borderId="1" numFmtId="172" xfId="35" applyNumberFormat="1" applyFont="1" applyFill="1" applyBorder="1" applyAlignment="1" applyProtection="1">
      <alignment horizontal="center"/>
    </xf>
    <xf fontId="18" fillId="0" borderId="0" numFmtId="0" xfId="0" applyFont="1"/>
    <xf fontId="18" fillId="0" borderId="1" numFmtId="0" xfId="0" applyFont="1" applyBorder="1"/>
    <xf fontId="18" fillId="0" borderId="1" numFmtId="172" xfId="35" applyNumberFormat="1" applyFont="1" applyBorder="1" applyAlignment="1" applyProtection="1">
      <alignment horizontal="center"/>
    </xf>
    <xf fontId="41" fillId="0" borderId="1" numFmtId="0" xfId="0" applyFont="1" applyBorder="1" applyAlignment="1">
      <alignment horizontal="left" indent="2"/>
    </xf>
    <xf fontId="0" fillId="0" borderId="1" numFmtId="172" xfId="35" applyNumberFormat="1" applyBorder="1" applyAlignment="1" applyProtection="1">
      <alignment horizontal="center"/>
    </xf>
    <xf fontId="18" fillId="36" borderId="1" numFmtId="0" xfId="0" applyFont="1" applyFill="1" applyBorder="1" applyAlignment="1">
      <alignment horizontal="left"/>
    </xf>
    <xf fontId="18" fillId="47" borderId="1" numFmtId="0" xfId="0" applyFont="1" applyFill="1" applyBorder="1" applyAlignment="1">
      <alignment horizontal="center"/>
    </xf>
    <xf fontId="0" fillId="0" borderId="1" numFmtId="0" xfId="0" applyBorder="1"/>
    <xf fontId="0" fillId="0" borderId="1" numFmtId="0" xfId="0" applyBorder="1" applyAlignment="1">
      <alignment horizontal="center"/>
    </xf>
    <xf fontId="18" fillId="47" borderId="1" numFmtId="172" xfId="0" applyNumberFormat="1" applyFont="1" applyFill="1" applyBorder="1" applyAlignment="1">
      <alignment horizontal="center"/>
    </xf>
    <xf fontId="2" fillId="0" borderId="1" numFmtId="0" xfId="0" applyFont="1" applyBorder="1"/>
    <xf fontId="0" fillId="0" borderId="0" numFmtId="172" xfId="35" applyNumberFormat="1"/>
    <xf fontId="0" fillId="0" borderId="1" numFmtId="172" xfId="35" applyNumberFormat="1" applyBorder="1"/>
    <xf fontId="0" fillId="0" borderId="1" numFmtId="172" xfId="35" applyNumberFormat="1" applyBorder="1" applyAlignment="1">
      <alignment horizontal="center"/>
    </xf>
    <xf fontId="0" fillId="36" borderId="0" numFmtId="172" xfId="35" applyNumberFormat="1" applyFill="1"/>
    <xf fontId="42" fillId="47" borderId="0" numFmtId="0" xfId="0" applyFont="1" applyFill="1"/>
    <xf fontId="42" fillId="47" borderId="1" numFmtId="0" xfId="0" applyFont="1" applyFill="1" applyBorder="1"/>
    <xf fontId="42" fillId="42" borderId="1" numFmtId="172" xfId="35" applyNumberFormat="1" applyFont="1" applyFill="1" applyBorder="1" applyAlignment="1" applyProtection="1">
      <alignment horizontal="center"/>
      <protection locked="0"/>
    </xf>
    <xf fontId="42" fillId="36" borderId="0" numFmtId="0" xfId="0" applyFont="1" applyFill="1"/>
    <xf fontId="0" fillId="39" borderId="50" numFmtId="0" xfId="0" applyFill="1" applyBorder="1"/>
    <xf fontId="0" fillId="39" borderId="69" numFmtId="172" xfId="0" applyNumberFormat="1" applyFill="1" applyBorder="1" applyAlignment="1">
      <alignment horizontal="center"/>
    </xf>
    <xf fontId="18" fillId="39" borderId="55" numFmtId="172" xfId="35" applyNumberFormat="1" applyFont="1" applyFill="1" applyBorder="1" applyAlignment="1" applyProtection="1">
      <alignment horizontal="center"/>
    </xf>
    <xf fontId="0" fillId="0" borderId="1" numFmtId="172" xfId="35" applyNumberFormat="1" applyBorder="1" applyAlignment="1" applyProtection="1">
      <alignment vertical="center"/>
    </xf>
    <xf fontId="0" fillId="36" borderId="0" numFmtId="172" xfId="0" applyNumberFormat="1" applyFill="1" applyAlignment="1">
      <alignment horizontal="center"/>
    </xf>
    <xf fontId="0" fillId="36" borderId="0" numFmtId="173" xfId="0" applyNumberFormat="1" applyFill="1" applyAlignment="1">
      <alignment horizontal="justify" vertical="center"/>
    </xf>
    <xf fontId="18" fillId="36" borderId="0" numFmtId="173" xfId="0" applyNumberFormat="1" applyFont="1" applyFill="1" applyAlignment="1">
      <alignment horizontal="justify" vertical="center"/>
    </xf>
    <xf fontId="0" fillId="36" borderId="1" numFmtId="0" xfId="0" applyFill="1" applyBorder="1" applyAlignment="1">
      <alignment horizontal="left"/>
    </xf>
    <xf fontId="0" fillId="36" borderId="0" numFmtId="0" xfId="0" applyFill="1"/>
    <xf fontId="0" fillId="36" borderId="0" numFmtId="0" xfId="0" applyFill="1" applyAlignment="1">
      <alignment horizontal="center"/>
    </xf>
    <xf fontId="43" fillId="36" borderId="0" numFmtId="0" xfId="0" applyFont="1" applyFill="1" applyProtection="1">
      <protection locked="0"/>
    </xf>
    <xf fontId="44" fillId="46" borderId="70" numFmtId="0" xfId="0" applyFont="1" applyFill="1" applyBorder="1" applyAlignment="1" applyProtection="1">
      <alignment horizontal="left" vertical="center"/>
      <protection locked="0"/>
    </xf>
    <xf fontId="44" fillId="46" borderId="71" numFmtId="14" xfId="0" applyNumberFormat="1" applyFont="1" applyFill="1" applyBorder="1" applyAlignment="1" applyProtection="1">
      <alignment horizontal="center" vertical="center"/>
      <protection locked="0"/>
    </xf>
    <xf fontId="44" fillId="46" borderId="71" numFmtId="14" xfId="0" applyNumberFormat="1" applyFont="1" applyFill="1" applyBorder="1" applyAlignment="1" applyProtection="1">
      <alignment vertical="center"/>
      <protection locked="0"/>
    </xf>
    <xf fontId="44" fillId="46" borderId="15" numFmtId="0" xfId="0" applyFont="1" applyFill="1" applyBorder="1" applyAlignment="1" applyProtection="1">
      <alignment horizontal="left" vertical="center"/>
      <protection locked="0"/>
    </xf>
    <xf fontId="44" fillId="46" borderId="0" numFmtId="14" xfId="0" applyNumberFormat="1" applyFont="1" applyFill="1" applyAlignment="1" applyProtection="1">
      <alignment horizontal="center" vertical="center"/>
      <protection locked="0"/>
    </xf>
    <xf fontId="44" fillId="46" borderId="0" numFmtId="14" xfId="0" applyNumberFormat="1" applyFont="1" applyFill="1" applyAlignment="1" applyProtection="1">
      <alignment vertical="center"/>
      <protection locked="0"/>
    </xf>
    <xf fontId="44" fillId="50" borderId="15" numFmtId="174" xfId="41" applyNumberFormat="1" applyFont="1" applyFill="1" applyBorder="1" applyAlignment="1" applyProtection="1">
      <alignment horizontal="left" vertical="center"/>
      <protection locked="0"/>
    </xf>
    <xf fontId="44" fillId="50" borderId="0" numFmtId="174" xfId="41" applyNumberFormat="1" applyFont="1" applyFill="1" applyAlignment="1" applyProtection="1">
      <alignment horizontal="center"/>
      <protection locked="0"/>
    </xf>
    <xf fontId="43" fillId="36" borderId="0" numFmtId="174" xfId="41" applyNumberFormat="1" applyFont="1" applyFill="1" applyProtection="1">
      <protection locked="0"/>
    </xf>
    <xf fontId="43" fillId="36" borderId="47" numFmtId="174" xfId="41" applyNumberFormat="1" applyFont="1" applyFill="1" applyBorder="1" applyProtection="1">
      <protection locked="0"/>
    </xf>
    <xf fontId="43" fillId="42" borderId="26" numFmtId="174" xfId="41" applyNumberFormat="1" applyFont="1" applyFill="1" applyBorder="1" applyProtection="1">
      <protection locked="0"/>
    </xf>
    <xf fontId="44" fillId="50" borderId="47" numFmtId="174" xfId="41" applyNumberFormat="1" applyFont="1" applyFill="1" applyBorder="1" applyAlignment="1" applyProtection="1">
      <alignment horizontal="left" vertical="center"/>
      <protection locked="0"/>
    </xf>
    <xf fontId="44" fillId="50" borderId="26" numFmtId="174" xfId="41" applyNumberFormat="1" applyFont="1" applyFill="1" applyBorder="1" applyAlignment="1" applyProtection="1">
      <alignment horizontal="center"/>
      <protection locked="0"/>
    </xf>
    <xf fontId="43" fillId="36" borderId="41" numFmtId="174" xfId="41" applyNumberFormat="1" applyFont="1" applyFill="1" applyBorder="1" applyProtection="1">
      <protection locked="0"/>
    </xf>
    <xf fontId="43" fillId="42" borderId="29" numFmtId="174" xfId="41" applyNumberFormat="1" applyFont="1" applyFill="1" applyBorder="1" applyProtection="1">
      <protection locked="0"/>
    </xf>
    <xf fontId="43" fillId="36" borderId="0" numFmtId="168" xfId="0" applyNumberFormat="1" applyFont="1" applyFill="1" applyProtection="1">
      <protection locked="0"/>
    </xf>
    <xf fontId="44" fillId="42" borderId="26" numFmtId="174" xfId="41" applyNumberFormat="1" applyFont="1" applyFill="1" applyBorder="1" applyAlignment="1" applyProtection="1">
      <alignment horizontal="center"/>
      <protection locked="0"/>
    </xf>
    <xf fontId="43" fillId="36" borderId="0" numFmtId="175" xfId="0" applyNumberFormat="1" applyFont="1" applyFill="1" applyProtection="1">
      <protection locked="0"/>
    </xf>
    <xf fontId="45" fillId="39" borderId="17" numFmtId="174" xfId="41" applyNumberFormat="1" applyFont="1" applyFill="1" applyBorder="1" applyProtection="1">
      <protection locked="0"/>
    </xf>
    <xf fontId="45" fillId="39" borderId="18" numFmtId="174" xfId="41" applyNumberFormat="1" applyFont="1" applyFill="1" applyBorder="1" applyProtection="1">
      <protection locked="0"/>
    </xf>
    <xf fontId="44" fillId="46" borderId="29" numFmtId="0" xfId="0" applyFont="1" applyFill="1" applyBorder="1" applyAlignment="1" applyProtection="1">
      <alignment horizontal="center" vertical="center"/>
      <protection locked="0"/>
    </xf>
    <xf fontId="44" fillId="50" borderId="47" numFmtId="0" xfId="0" applyFont="1" applyFill="1" applyBorder="1" applyAlignment="1" applyProtection="1">
      <alignment horizontal="left" vertical="center"/>
      <protection locked="0"/>
    </xf>
    <xf fontId="44" fillId="42" borderId="26" numFmtId="174" xfId="41" applyNumberFormat="1" applyFont="1" applyFill="1" applyBorder="1" applyAlignment="1" applyProtection="1">
      <alignment horizontal="left" vertical="center"/>
      <protection locked="0"/>
    </xf>
    <xf fontId="44" fillId="50" borderId="15" numFmtId="0" xfId="0" applyFont="1" applyFill="1" applyBorder="1" applyAlignment="1" applyProtection="1">
      <alignment horizontal="left" vertical="center"/>
      <protection locked="0"/>
    </xf>
    <xf fontId="44" fillId="50" borderId="0" numFmtId="174" xfId="0" applyNumberFormat="1" applyFont="1" applyFill="1" applyAlignment="1" applyProtection="1">
      <alignment horizontal="center"/>
      <protection locked="0"/>
    </xf>
    <xf fontId="44" fillId="50" borderId="26" numFmtId="174" xfId="0" applyNumberFormat="1" applyFont="1" applyFill="1" applyBorder="1" applyAlignment="1" applyProtection="1">
      <alignment horizontal="center"/>
      <protection locked="0"/>
    </xf>
    <xf fontId="44" fillId="42" borderId="26" numFmtId="0" xfId="0" applyFont="1" applyFill="1" applyBorder="1" applyAlignment="1" applyProtection="1">
      <alignment horizontal="center"/>
      <protection locked="0"/>
    </xf>
    <xf fontId="45" fillId="39" borderId="17" numFmtId="0" xfId="0" applyFont="1" applyFill="1" applyBorder="1" applyProtection="1">
      <protection locked="0"/>
    </xf>
    <xf fontId="45" fillId="39" borderId="18" numFmtId="174" xfId="0" applyNumberFormat="1" applyFont="1" applyFill="1" applyBorder="1" applyProtection="1">
      <protection locked="0"/>
    </xf>
    <xf fontId="46" fillId="0" borderId="0" numFmtId="0" xfId="0" applyFont="1" applyProtection="1">
      <protection locked="0"/>
    </xf>
    <xf fontId="45" fillId="39" borderId="71" numFmtId="174" xfId="0" applyNumberFormat="1" applyFont="1" applyFill="1" applyBorder="1" applyProtection="1">
      <protection locked="0"/>
    </xf>
    <xf fontId="45" fillId="39" borderId="70" numFmtId="0" xfId="0" applyFont="1" applyFill="1" applyBorder="1" applyProtection="1">
      <protection locked="0"/>
    </xf>
    <xf fontId="45" fillId="39" borderId="18" numFmtId="174" xfId="0" applyNumberFormat="1" applyFont="1" applyFill="1" applyBorder="1" applyAlignment="1" applyProtection="1">
      <alignment horizontal="center"/>
      <protection locked="0"/>
    </xf>
    <xf fontId="47" fillId="36" borderId="0" numFmtId="0" xfId="0" applyFont="1" applyFill="1" applyAlignment="1">
      <alignment horizontal="left" vertical="center"/>
    </xf>
    <xf fontId="48" fillId="36" borderId="0" numFmtId="14" xfId="0" applyNumberFormat="1" applyFont="1" applyFill="1" applyAlignment="1">
      <alignment vertical="center"/>
    </xf>
    <xf fontId="0" fillId="39" borderId="12" numFmtId="0" xfId="0" applyFill="1" applyBorder="1" applyAlignment="1">
      <alignment horizontal="center"/>
    </xf>
    <xf fontId="0" fillId="39" borderId="13" numFmtId="0" xfId="0" applyFill="1" applyBorder="1" applyAlignment="1">
      <alignment horizontal="center"/>
    </xf>
    <xf fontId="28" fillId="39" borderId="72" numFmtId="14" xfId="35" applyNumberFormat="1" applyFont="1" applyFill="1" applyBorder="1" applyAlignment="1" applyProtection="1">
      <alignment horizontal="center" vertical="center"/>
    </xf>
    <xf fontId="28" fillId="39" borderId="13" numFmtId="172" xfId="35" applyNumberFormat="1" applyFont="1" applyFill="1" applyBorder="1" applyAlignment="1" applyProtection="1">
      <alignment horizontal="center"/>
    </xf>
    <xf fontId="28" fillId="39" borderId="14" numFmtId="172" xfId="35" applyNumberFormat="1" applyFont="1" applyFill="1" applyBorder="1" applyAlignment="1" applyProtection="1">
      <alignment horizontal="center"/>
    </xf>
    <xf fontId="0" fillId="39" borderId="35" numFmtId="0" xfId="0" applyFill="1" applyBorder="1" applyAlignment="1">
      <alignment horizontal="center"/>
    </xf>
    <xf fontId="0" fillId="39" borderId="36" numFmtId="0" xfId="0" applyFill="1" applyBorder="1" applyAlignment="1">
      <alignment horizontal="center"/>
    </xf>
    <xf fontId="28" fillId="39" borderId="40" numFmtId="14" xfId="35" applyNumberFormat="1" applyFont="1" applyFill="1" applyBorder="1" applyAlignment="1" applyProtection="1">
      <alignment horizontal="center" vertical="center"/>
    </xf>
    <xf fontId="28" fillId="39" borderId="36" numFmtId="14" xfId="35" applyNumberFormat="1" applyFont="1" applyFill="1" applyBorder="1" applyAlignment="1" applyProtection="1">
      <alignment horizontal="center"/>
    </xf>
    <xf fontId="28" fillId="39" borderId="37" numFmtId="14" xfId="35" applyNumberFormat="1" applyFont="1" applyFill="1" applyBorder="1" applyAlignment="1" applyProtection="1">
      <alignment horizontal="center"/>
    </xf>
    <xf fontId="18" fillId="39" borderId="55" numFmtId="0" xfId="0" applyFont="1" applyFill="1" applyBorder="1"/>
    <xf fontId="18" fillId="39" borderId="56" numFmtId="172" xfId="35" applyNumberFormat="1" applyFont="1" applyFill="1" applyBorder="1" applyAlignment="1" applyProtection="1">
      <alignment horizontal="center"/>
    </xf>
    <xf fontId="28" fillId="47" borderId="43" numFmtId="0" xfId="0" applyFont="1" applyFill="1" applyBorder="1" applyAlignment="1">
      <alignment horizontal="left"/>
    </xf>
    <xf fontId="28" fillId="47" borderId="62" numFmtId="0" xfId="0" applyFont="1" applyFill="1" applyBorder="1" applyAlignment="1">
      <alignment horizontal="left"/>
    </xf>
    <xf fontId="28" fillId="47" borderId="63" numFmtId="0" xfId="0" applyFont="1" applyFill="1" applyBorder="1" applyAlignment="1">
      <alignment horizontal="left"/>
    </xf>
    <xf fontId="49" fillId="42" borderId="11" numFmtId="0" xfId="0" applyFont="1" applyFill="1" applyBorder="1" applyProtection="1">
      <protection locked="0"/>
    </xf>
    <xf fontId="0" fillId="36" borderId="1" numFmtId="172" xfId="35" applyNumberFormat="1" applyFill="1" applyBorder="1" applyAlignment="1" applyProtection="1">
      <alignment vertical="center"/>
    </xf>
    <xf fontId="0" fillId="36" borderId="46" numFmtId="172" xfId="35" applyNumberFormat="1" applyFill="1" applyBorder="1" applyAlignment="1" applyProtection="1">
      <alignment horizontal="right"/>
    </xf>
    <xf fontId="49" fillId="42" borderId="23" numFmtId="0" xfId="0" applyFont="1" applyFill="1" applyBorder="1" applyAlignment="1" applyProtection="1">
      <alignment horizontal="left"/>
      <protection locked="0"/>
    </xf>
    <xf fontId="49" fillId="42" borderId="11" numFmtId="0" xfId="0" applyFont="1" applyFill="1" applyBorder="1" applyAlignment="1" applyProtection="1">
      <alignment horizontal="left"/>
      <protection locked="0"/>
    </xf>
    <xf fontId="0" fillId="42" borderId="73" numFmtId="0" xfId="0" applyFill="1" applyBorder="1" applyProtection="1">
      <protection locked="0"/>
    </xf>
    <xf fontId="0" fillId="42" borderId="11" numFmtId="0" xfId="0" applyFill="1" applyBorder="1" applyProtection="1">
      <protection locked="0"/>
    </xf>
    <xf fontId="28" fillId="47" borderId="45" numFmtId="0" xfId="0" applyFont="1" applyFill="1" applyBorder="1" applyAlignment="1">
      <alignment horizontal="left"/>
    </xf>
    <xf fontId="28" fillId="47" borderId="1" numFmtId="0" xfId="0" applyFont="1" applyFill="1" applyBorder="1" applyAlignment="1">
      <alignment horizontal="left"/>
    </xf>
    <xf fontId="28" fillId="47" borderId="46" numFmtId="0" xfId="0" applyFont="1" applyFill="1" applyBorder="1" applyAlignment="1">
      <alignment horizontal="left"/>
    </xf>
    <xf fontId="49" fillId="42" borderId="65" numFmtId="0" xfId="0" applyFont="1" applyFill="1" applyBorder="1" applyProtection="1">
      <protection locked="0"/>
    </xf>
    <xf fontId="0" fillId="36" borderId="1" numFmtId="165" xfId="35" applyNumberFormat="1" applyFill="1" applyBorder="1" applyProtection="1"/>
    <xf fontId="3" fillId="51" borderId="74" numFmtId="0" xfId="0" applyFont="1" applyFill="1" applyBorder="1" applyAlignment="1">
      <alignment horizontal="left"/>
    </xf>
    <xf fontId="3" fillId="51" borderId="75" numFmtId="0" xfId="0" applyFont="1" applyFill="1" applyBorder="1" applyAlignment="1">
      <alignment horizontal="left"/>
    </xf>
    <xf fontId="0" fillId="51" borderId="75" numFmtId="0" xfId="0" applyFill="1" applyBorder="1" applyAlignment="1">
      <alignment horizontal="left"/>
    </xf>
    <xf fontId="0" fillId="51" borderId="76" numFmtId="0" xfId="0" applyFill="1" applyBorder="1" applyAlignment="1">
      <alignment horizontal="left"/>
    </xf>
    <xf fontId="0" fillId="36" borderId="36" numFmtId="0" xfId="0" applyFill="1" applyBorder="1"/>
    <xf fontId="0" fillId="36" borderId="36" numFmtId="172" xfId="35" applyNumberFormat="1" applyFill="1" applyBorder="1" applyProtection="1"/>
    <xf fontId="0" fillId="36" borderId="37" numFmtId="172" xfId="35" applyNumberFormat="1" applyFill="1" applyBorder="1" applyAlignment="1" applyProtection="1">
      <alignment horizontal="right"/>
    </xf>
    <xf fontId="3" fillId="36" borderId="0" numFmtId="0" xfId="0" applyFont="1" applyFill="1"/>
    <xf fontId="36" fillId="46" borderId="21" numFmtId="0" xfId="0" applyFont="1" applyFill="1" applyBorder="1" applyAlignment="1">
      <alignment horizontal="left"/>
    </xf>
    <xf fontId="28" fillId="36" borderId="0" numFmtId="0" xfId="0" applyFont="1" applyFill="1" applyAlignment="1">
      <alignment horizontal="left"/>
    </xf>
    <xf fontId="28" fillId="36" borderId="0" numFmtId="0" xfId="0" applyFont="1" applyFill="1"/>
    <xf fontId="28" fillId="47" borderId="12" numFmtId="0" xfId="0" applyFont="1" applyFill="1" applyBorder="1" applyAlignment="1">
      <alignment horizontal="left"/>
    </xf>
    <xf fontId="28" fillId="47" borderId="13" numFmtId="0" xfId="0" applyFont="1" applyFill="1" applyBorder="1" applyAlignment="1">
      <alignment horizontal="left"/>
    </xf>
    <xf fontId="28" fillId="47" borderId="14" numFmtId="0" xfId="0" applyFont="1" applyFill="1" applyBorder="1" applyAlignment="1">
      <alignment horizontal="left"/>
    </xf>
    <xf fontId="27" fillId="47" borderId="43" numFmtId="0" xfId="0" applyFont="1" applyFill="1" applyBorder="1" applyAlignment="1">
      <alignment horizontal="left"/>
    </xf>
    <xf fontId="27" fillId="47" borderId="62" numFmtId="0" xfId="0" applyFont="1" applyFill="1" applyBorder="1" applyAlignment="1">
      <alignment horizontal="left"/>
    </xf>
    <xf fontId="27" fillId="47" borderId="63" numFmtId="0" xfId="0" applyFont="1" applyFill="1" applyBorder="1" applyAlignment="1">
      <alignment horizontal="left"/>
    </xf>
    <xf fontId="0" fillId="42" borderId="77" numFmtId="0" xfId="0" applyFill="1" applyBorder="1" applyAlignment="1" applyProtection="1">
      <alignment horizontal="left"/>
      <protection locked="0"/>
    </xf>
    <xf fontId="0" fillId="42" borderId="65" numFmtId="0" xfId="0" applyFill="1" applyBorder="1" applyAlignment="1" applyProtection="1">
      <alignment horizontal="left"/>
      <protection locked="0"/>
    </xf>
    <xf fontId="22" fillId="36" borderId="1" numFmtId="172" xfId="35" applyNumberFormat="1" applyFont="1" applyFill="1" applyBorder="1" applyProtection="1"/>
    <xf fontId="0" fillId="42" borderId="23" numFmtId="0" xfId="0" applyFill="1" applyBorder="1" applyAlignment="1" applyProtection="1">
      <alignment horizontal="left"/>
      <protection locked="0"/>
    </xf>
    <xf fontId="0" fillId="42" borderId="11" numFmtId="0" xfId="0" applyFill="1" applyBorder="1" applyAlignment="1" applyProtection="1">
      <alignment horizontal="left"/>
      <protection locked="0"/>
    </xf>
    <xf fontId="0" fillId="36" borderId="63" numFmtId="172" xfId="35" applyNumberFormat="1" applyFill="1" applyBorder="1" applyProtection="1"/>
    <xf fontId="22" fillId="36" borderId="1" numFmtId="172" xfId="35" applyNumberFormat="1" applyFont="1" applyFill="1" applyBorder="1" applyAlignment="1" applyProtection="1">
      <alignment vertical="center"/>
    </xf>
    <xf fontId="0" fillId="42" borderId="43" numFmtId="0" xfId="0" applyFill="1" applyBorder="1" applyAlignment="1" applyProtection="1">
      <alignment horizontal="left"/>
      <protection locked="0"/>
    </xf>
    <xf fontId="0" fillId="42" borderId="62" numFmtId="0" xfId="0" applyFill="1" applyBorder="1" applyAlignment="1" applyProtection="1">
      <alignment horizontal="left"/>
      <protection locked="0"/>
    </xf>
    <xf fontId="27" fillId="47" borderId="62" numFmtId="0" xfId="0" applyFont="1" applyFill="1" applyBorder="1"/>
    <xf fontId="0" fillId="47" borderId="62" numFmtId="0" xfId="0" applyFill="1" applyBorder="1"/>
    <xf fontId="27" fillId="47" borderId="63" numFmtId="0" xfId="0" applyFont="1" applyFill="1" applyBorder="1"/>
    <xf fontId="0" fillId="36" borderId="37" numFmtId="172" xfId="35" applyNumberFormat="1" applyFill="1" applyBorder="1" applyProtection="1"/>
    <xf fontId="28" fillId="39" borderId="20" numFmtId="0" xfId="0" applyFont="1" applyFill="1" applyBorder="1" applyAlignment="1">
      <alignment horizontal="left"/>
    </xf>
    <xf fontId="28" fillId="39" borderId="21" numFmtId="0" xfId="0" applyFont="1" applyFill="1" applyBorder="1" applyAlignment="1">
      <alignment horizontal="left"/>
    </xf>
    <xf fontId="28" fillId="39" borderId="55" numFmtId="172" xfId="0" applyNumberFormat="1" applyFont="1" applyFill="1" applyBorder="1"/>
    <xf fontId="28" fillId="39" borderId="56" numFmtId="172" xfId="0" applyNumberFormat="1" applyFont="1" applyFill="1" applyBorder="1"/>
    <xf fontId="41" fillId="36" borderId="0" numFmtId="0" xfId="0" applyFont="1" applyFill="1"/>
    <xf fontId="41" fillId="36" borderId="0" numFmtId="1" xfId="0" applyNumberFormat="1" applyFont="1" applyFill="1" applyAlignment="1">
      <alignment horizontal="center"/>
    </xf>
    <xf fontId="41" fillId="36" borderId="0" numFmtId="172" xfId="35" applyNumberFormat="1" applyFont="1" applyFill="1" applyProtection="1"/>
    <xf fontId="50" fillId="47" borderId="0" numFmtId="0" xfId="0" applyFont="1" applyFill="1" applyAlignment="1">
      <alignment horizontal="left" vertical="center"/>
    </xf>
    <xf fontId="51" fillId="47" borderId="75" numFmtId="14" xfId="0" applyNumberFormat="1" applyFont="1" applyFill="1" applyBorder="1" applyAlignment="1">
      <alignment horizontal="left"/>
    </xf>
    <xf fontId="0" fillId="47" borderId="75" numFmtId="0" xfId="0" applyFill="1" applyBorder="1"/>
    <xf fontId="52" fillId="47" borderId="75" numFmtId="0" xfId="0" applyFont="1" applyFill="1" applyBorder="1"/>
    <xf fontId="0" fillId="47" borderId="18" numFmtId="0" xfId="0" applyFill="1" applyBorder="1"/>
    <xf fontId="18" fillId="42" borderId="70" numFmtId="0" xfId="0" applyFont="1" applyFill="1" applyBorder="1" applyAlignment="1">
      <alignment horizontal="center" vertical="center" wrapText="1"/>
    </xf>
    <xf fontId="18" fillId="42" borderId="71" numFmtId="0" xfId="0" applyFont="1" applyFill="1" applyBorder="1" applyAlignment="1">
      <alignment horizontal="center" vertical="center" wrapText="1"/>
    </xf>
    <xf fontId="18" fillId="42" borderId="78" numFmtId="0" xfId="0" applyFont="1" applyFill="1" applyBorder="1" applyAlignment="1">
      <alignment horizontal="center" vertical="center" wrapText="1"/>
    </xf>
    <xf fontId="26" fillId="36" borderId="0" numFmtId="0" xfId="0" applyFont="1" applyFill="1" applyAlignment="1">
      <alignment horizontal="center" vertical="center" wrapText="1"/>
    </xf>
    <xf fontId="18" fillId="42" borderId="15" numFmtId="0" xfId="0" applyFont="1" applyFill="1" applyBorder="1" applyAlignment="1">
      <alignment horizontal="center" vertical="center" wrapText="1"/>
    </xf>
    <xf fontId="18" fillId="42" borderId="0" numFmtId="0" xfId="0" applyFont="1" applyFill="1" applyAlignment="1">
      <alignment horizontal="center" vertical="center" wrapText="1"/>
    </xf>
    <xf fontId="18" fillId="42" borderId="16" numFmtId="0" xfId="0" applyFont="1" applyFill="1" applyBorder="1" applyAlignment="1">
      <alignment horizontal="center" vertical="center" wrapText="1"/>
    </xf>
    <xf fontId="53" fillId="52" borderId="15" numFmtId="0" xfId="0" applyFont="1" applyFill="1" applyBorder="1" applyAlignment="1" applyProtection="1">
      <alignment horizontal="center" vertical="center"/>
      <protection locked="0"/>
    </xf>
    <xf fontId="53" fillId="52" borderId="0" numFmtId="0" xfId="0" applyFont="1" applyFill="1" applyAlignment="1" applyProtection="1">
      <alignment horizontal="center" vertical="center"/>
      <protection locked="0"/>
    </xf>
    <xf fontId="53" fillId="52" borderId="16" numFmtId="0" xfId="0" applyFont="1" applyFill="1" applyBorder="1" applyAlignment="1" applyProtection="1">
      <alignment horizontal="center" vertical="center"/>
      <protection locked="0"/>
    </xf>
    <xf fontId="54" fillId="46" borderId="0" numFmtId="176" xfId="35" applyNumberFormat="1" applyFont="1" applyFill="1" applyAlignment="1" applyProtection="1">
      <alignment horizontal="center" vertical="center" wrapText="1"/>
    </xf>
    <xf fontId="53" fillId="52" borderId="17" numFmtId="0" xfId="0" applyFont="1" applyFill="1" applyBorder="1" applyAlignment="1" applyProtection="1">
      <alignment horizontal="center" vertical="center"/>
      <protection locked="0"/>
    </xf>
    <xf fontId="53" fillId="52" borderId="18" numFmtId="0" xfId="0" applyFont="1" applyFill="1" applyBorder="1" applyAlignment="1" applyProtection="1">
      <alignment horizontal="center" vertical="center"/>
      <protection locked="0"/>
    </xf>
    <xf fontId="53" fillId="52" borderId="19" numFmtId="0" xfId="0" applyFont="1" applyFill="1" applyBorder="1" applyAlignment="1" applyProtection="1">
      <alignment horizontal="center" vertical="center"/>
      <protection locked="0"/>
    </xf>
    <xf fontId="55" fillId="36" borderId="0" numFmtId="0" xfId="0" applyFont="1" applyFill="1" applyAlignment="1">
      <alignment horizontal="right"/>
    </xf>
    <xf fontId="55" fillId="42" borderId="0" numFmtId="0" xfId="0" applyFont="1" applyFill="1" applyAlignment="1" applyProtection="1">
      <alignment horizontal="left"/>
      <protection locked="0"/>
    </xf>
    <xf fontId="56" fillId="36" borderId="0" numFmtId="0" xfId="0" applyFont="1" applyFill="1" applyAlignment="1">
      <alignment horizontal="right"/>
    </xf>
    <xf fontId="56" fillId="36" borderId="0" numFmtId="9" xfId="44" applyNumberFormat="1" applyFont="1" applyFill="1" applyAlignment="1" applyProtection="1">
      <alignment horizontal="left"/>
    </xf>
    <xf fontId="54" fillId="36" borderId="0" numFmtId="0" xfId="0" applyFont="1" applyFill="1" applyAlignment="1">
      <alignment vertical="center" wrapText="1"/>
    </xf>
    <xf fontId="57" fillId="36" borderId="0" numFmtId="0" xfId="0" applyFont="1" applyFill="1" applyAlignment="1">
      <alignment vertical="center" wrapText="1"/>
    </xf>
    <xf fontId="36" fillId="36" borderId="0" numFmtId="0" xfId="0" applyFont="1" applyFill="1" applyAlignment="1">
      <alignment vertical="center" wrapText="1"/>
    </xf>
    <xf fontId="58" fillId="36" borderId="0" numFmtId="0" xfId="0" applyFont="1" applyFill="1" applyAlignment="1">
      <alignment horizontal="center" vertical="center" wrapText="1"/>
    </xf>
    <xf fontId="26" fillId="36" borderId="0" numFmtId="0" xfId="0" applyFont="1" applyFill="1" applyAlignment="1">
      <alignment vertical="center" wrapText="1"/>
    </xf>
    <xf fontId="54" fillId="46" borderId="0" numFmtId="176" xfId="0" applyNumberFormat="1" applyFont="1" applyFill="1" applyAlignment="1">
      <alignment horizontal="center" vertical="center" wrapText="1"/>
    </xf>
    <xf fontId="24" fillId="36" borderId="70" numFmtId="0" xfId="0" applyFont="1" applyFill="1" applyBorder="1" applyProtection="1">
      <protection locked="0"/>
    </xf>
    <xf fontId="0" fillId="36" borderId="71" numFmtId="0" xfId="0" applyFill="1" applyBorder="1" applyProtection="1">
      <protection locked="0"/>
    </xf>
    <xf fontId="0" fillId="36" borderId="78" numFmtId="0" xfId="0" applyFill="1" applyBorder="1" applyProtection="1">
      <protection locked="0"/>
    </xf>
    <xf fontId="0" fillId="36" borderId="15" numFmtId="0" xfId="0" applyFill="1" applyBorder="1" applyProtection="1">
      <protection locked="0"/>
    </xf>
    <xf fontId="0" fillId="36" borderId="16" numFmtId="0" xfId="0" applyFill="1" applyBorder="1" applyProtection="1">
      <protection locked="0"/>
    </xf>
    <xf fontId="0" fillId="36" borderId="17" numFmtId="0" xfId="0" applyFill="1" applyBorder="1" applyProtection="1">
      <protection locked="0"/>
    </xf>
    <xf fontId="0" fillId="36" borderId="18" numFmtId="0" xfId="0" applyFill="1" applyBorder="1" applyProtection="1">
      <protection locked="0"/>
    </xf>
    <xf fontId="0" fillId="36" borderId="19" numFmtId="0" xfId="0" applyFill="1" applyBorder="1" applyProtection="1">
      <protection locked="0"/>
    </xf>
    <xf fontId="2" fillId="46" borderId="0" numFmtId="0" xfId="0" applyFont="1" applyFill="1"/>
    <xf fontId="2" fillId="46" borderId="0" numFmtId="0" xfId="0" applyFont="1" applyFill="1" applyAlignment="1">
      <alignment horizontal="center"/>
    </xf>
    <xf fontId="59" fillId="36" borderId="0" numFmtId="0" xfId="0" applyFont="1" applyFill="1" applyAlignment="1" applyProtection="1">
      <alignment horizontal="center" vertical="center"/>
      <protection locked="0"/>
    </xf>
    <xf fontId="60" fillId="36" borderId="0" numFmtId="0" xfId="0" applyFont="1" applyFill="1"/>
    <xf fontId="60" fillId="53" borderId="0" numFmtId="14" xfId="0" applyNumberFormat="1" applyFont="1" applyFill="1" applyProtection="1">
      <protection locked="0"/>
    </xf>
    <xf fontId="2" fillId="46" borderId="0" numFmtId="4" xfId="0" applyNumberFormat="1" applyFont="1" applyFill="1" applyAlignment="1">
      <alignment horizontal="center"/>
    </xf>
    <xf fontId="61" fillId="36" borderId="0" numFmtId="0" xfId="0" applyFont="1" applyFill="1"/>
    <xf fontId="0" fillId="42" borderId="0" numFmtId="4" xfId="0" applyNumberFormat="1" applyFill="1" applyProtection="1">
      <protection locked="0"/>
    </xf>
    <xf fontId="28" fillId="0" borderId="57" numFmtId="0" xfId="0" applyFont="1" applyBorder="1" applyAlignment="1">
      <alignment horizontal="center" vertical="center" wrapText="1"/>
    </xf>
    <xf fontId="62" fillId="36" borderId="0" numFmtId="0" xfId="0" applyFont="1" applyFill="1" applyAlignment="1">
      <alignment vertical="center"/>
    </xf>
    <xf fontId="18" fillId="42" borderId="79" numFmtId="0" xfId="0" applyFont="1" applyFill="1" applyBorder="1" applyAlignment="1" applyProtection="1">
      <alignment horizontal="center" vertical="center" wrapText="1"/>
      <protection locked="0"/>
    </xf>
    <xf fontId="18" fillId="42" borderId="79" numFmtId="10" xfId="44" applyNumberFormat="1" applyFont="1" applyFill="1" applyBorder="1" applyAlignment="1" applyProtection="1">
      <alignment horizontal="center" vertical="center" wrapText="1"/>
      <protection locked="0"/>
    </xf>
    <xf fontId="18" fillId="49" borderId="79" numFmtId="0" xfId="0" applyFont="1" applyFill="1" applyBorder="1" applyAlignment="1">
      <alignment horizontal="center" vertical="center" wrapText="1"/>
    </xf>
    <xf fontId="18" fillId="42" borderId="79" numFmtId="0" xfId="0" applyFont="1" applyFill="1" applyBorder="1" applyAlignment="1">
      <alignment horizontal="center" vertical="center" wrapText="1"/>
    </xf>
    <xf fontId="18" fillId="42" borderId="79" numFmtId="10" xfId="44" applyNumberFormat="1" applyFont="1" applyFill="1" applyBorder="1" applyAlignment="1" applyProtection="1">
      <alignment horizontal="center" vertical="center" wrapText="1"/>
    </xf>
    <xf fontId="63" fillId="36" borderId="0" numFmtId="0" xfId="0" applyFont="1" applyFill="1" applyAlignment="1">
      <alignment horizontal="center" vertical="center"/>
    </xf>
    <xf fontId="64" fillId="38" borderId="0" numFmtId="0" xfId="0" applyFont="1" applyFill="1" applyAlignment="1">
      <alignment horizontal="left" vertical="top" wrapText="1"/>
    </xf>
    <xf fontId="0" fillId="42" borderId="64" numFmtId="0" xfId="0" applyFill="1" applyBorder="1"/>
    <xf fontId="0" fillId="42" borderId="26" numFmtId="0" xfId="0" applyFill="1" applyBorder="1"/>
    <xf fontId="0" fillId="42" borderId="49" numFmtId="0" xfId="0" applyFill="1" applyBorder="1"/>
    <xf fontId="0" fillId="36" borderId="64" numFmtId="0" xfId="0" applyFill="1" applyBorder="1"/>
    <xf fontId="0" fillId="36" borderId="26" numFmtId="0" xfId="0" applyFill="1" applyBorder="1"/>
    <xf fontId="0" fillId="36" borderId="49" numFmtId="0" xfId="0" applyFill="1" applyBorder="1"/>
    <xf fontId="0" fillId="36" borderId="0" numFmtId="0" xfId="0" applyFill="1" applyAlignment="1">
      <alignment horizontal="left" wrapText="1"/>
    </xf>
    <xf fontId="9" fillId="36" borderId="0" numFmtId="0" xfId="34" applyFont="1" applyFill="1" applyAlignment="1">
      <alignment horizontal="left" vertical="center" wrapText="1"/>
    </xf>
    <xf fontId="65" fillId="38" borderId="0" numFmtId="0" xfId="0" applyFont="1" applyFill="1" applyAlignment="1">
      <alignment horizontal="left" vertical="top" wrapText="1"/>
    </xf>
    <xf fontId="66" fillId="38" borderId="0" numFmtId="0" xfId="0" applyFont="1" applyFill="1" applyAlignment="1">
      <alignment horizontal="left" vertical="top"/>
    </xf>
    <xf fontId="67" fillId="36" borderId="0" numFmtId="0" xfId="0" applyFont="1" applyFill="1" applyAlignment="1">
      <alignment horizontal="left" vertical="top" wrapText="1"/>
    </xf>
    <xf fontId="68" fillId="36" borderId="0" numFmtId="0" xfId="0" applyFont="1" applyFill="1"/>
    <xf fontId="0" fillId="38" borderId="70" numFmtId="0" xfId="0" applyFill="1" applyBorder="1"/>
    <xf fontId="0" fillId="38" borderId="71" numFmtId="0" xfId="0" applyFill="1" applyBorder="1"/>
    <xf fontId="0" fillId="38" borderId="78" numFmtId="0" xfId="0" applyFill="1" applyBorder="1"/>
    <xf fontId="0" fillId="38" borderId="15" numFmtId="0" xfId="0" applyFill="1" applyBorder="1"/>
    <xf fontId="0" fillId="38" borderId="16" numFmtId="0" xfId="0" applyFill="1" applyBorder="1"/>
    <xf fontId="69" fillId="38" borderId="80" numFmtId="0" xfId="0" applyFont="1" applyFill="1" applyBorder="1"/>
    <xf fontId="70" fillId="38" borderId="81" numFmtId="0" xfId="0" applyFont="1" applyFill="1" applyBorder="1"/>
    <xf fontId="70" fillId="38" borderId="82" numFmtId="0" xfId="0" applyFont="1" applyFill="1" applyBorder="1"/>
    <xf fontId="70" fillId="38" borderId="80" numFmtId="0" xfId="0" applyFont="1" applyFill="1" applyBorder="1"/>
    <xf fontId="70" fillId="36" borderId="15" numFmtId="0" xfId="0" applyFont="1" applyFill="1" applyBorder="1"/>
    <xf fontId="70" fillId="36" borderId="0" numFmtId="0" xfId="0" applyFont="1" applyFill="1"/>
    <xf fontId="70" fillId="36" borderId="16" numFmtId="0" xfId="0" applyFont="1" applyFill="1" applyBorder="1"/>
    <xf fontId="0" fillId="36" borderId="83" numFmtId="0" xfId="0" applyFill="1" applyBorder="1"/>
    <xf fontId="0" fillId="36" borderId="84" numFmtId="0" xfId="0" applyFill="1" applyBorder="1"/>
    <xf fontId="0" fillId="36" borderId="85" numFmtId="0" xfId="0" applyFill="1" applyBorder="1"/>
    <xf fontId="0" fillId="36" borderId="16" numFmtId="0" xfId="0" applyFill="1" applyBorder="1"/>
    <xf fontId="43" fillId="36" borderId="15" numFmtId="0" xfId="0" applyFont="1" applyFill="1" applyBorder="1" applyAlignment="1">
      <alignment vertical="top" wrapText="1"/>
    </xf>
    <xf fontId="43" fillId="36" borderId="0" numFmtId="0" xfId="0" applyFont="1" applyFill="1" applyAlignment="1">
      <alignment vertical="top" wrapText="1"/>
    </xf>
    <xf fontId="43" fillId="36" borderId="16" numFmtId="0" xfId="0" applyFont="1" applyFill="1" applyBorder="1" applyAlignment="1">
      <alignment vertical="top" wrapText="1"/>
    </xf>
    <xf fontId="71" fillId="36" borderId="0" numFmtId="0" xfId="0" applyFont="1" applyFill="1"/>
    <xf fontId="0" fillId="37" borderId="15" numFmtId="0" xfId="0" applyFill="1" applyBorder="1"/>
    <xf fontId="0" fillId="37" borderId="16" numFmtId="0" xfId="0" applyFill="1" applyBorder="1"/>
    <xf fontId="0" fillId="36" borderId="17" numFmtId="0" xfId="0" applyFill="1" applyBorder="1"/>
    <xf fontId="0" fillId="36" borderId="18" numFmtId="0" xfId="0" applyFill="1" applyBorder="1"/>
    <xf fontId="0" fillId="36" borderId="19" numFmtId="0" xfId="0" applyFill="1" applyBorder="1"/>
    <xf fontId="0" fillId="37" borderId="17" numFmtId="0" xfId="0" applyFill="1" applyBorder="1"/>
    <xf fontId="0" fillId="37" borderId="18" numFmtId="0" xfId="0" applyFill="1" applyBorder="1"/>
    <xf fontId="0" fillId="37" borderId="19" numFmtId="0" xfId="0" applyFill="1" applyBorder="1"/>
  </cellXfs>
  <cellStyles count="55">
    <cellStyle name="20 % - Accent1" xfId="1" builtinId="30"/>
    <cellStyle name="20 % - Accent2" xfId="2" builtinId="34"/>
    <cellStyle name="20 % - Accent3" xfId="3" builtinId="38"/>
    <cellStyle name="20 % - Accent4" xfId="4" builtinId="42"/>
    <cellStyle name="20 % - Accent5" xfId="5" builtinId="46"/>
    <cellStyle name="20 % - Accent6" xfId="6" builtinId="50"/>
    <cellStyle name="2Decimal" xfId="7"/>
    <cellStyle name="40 % - Accent1" xfId="8" builtinId="31"/>
    <cellStyle name="40 % - Accent2" xfId="9" builtinId="35"/>
    <cellStyle name="40 % - Accent3" xfId="10" builtinId="39"/>
    <cellStyle name="40 % - Accent4" xfId="11" builtinId="43"/>
    <cellStyle name="40 % - Accent5" xfId="12" builtinId="47"/>
    <cellStyle name="40 % - Accent6" xfId="13" builtinId="51"/>
    <cellStyle name="60 % - Accent1" xfId="14" builtinId="32"/>
    <cellStyle name="60 % - Accent2" xfId="15" builtinId="36"/>
    <cellStyle name="60 % - Accent3" xfId="16" builtinId="40"/>
    <cellStyle name="60 % - Accent4" xfId="17" builtinId="44"/>
    <cellStyle name="60 % - Accent5" xfId="18" builtinId="48"/>
    <cellStyle name="60 % - Accent6" xfId="19" builtinId="52"/>
    <cellStyle name="Accent1" xfId="20" builtinId="29"/>
    <cellStyle name="Accent2" xfId="21" builtinId="33"/>
    <cellStyle name="Accent3" xfId="22" builtinId="37"/>
    <cellStyle name="Accent4" xfId="23" builtinId="41"/>
    <cellStyle name="Accent5" xfId="24" builtinId="45"/>
    <cellStyle name="Accent6" xfId="25" builtinId="49"/>
    <cellStyle name="AlignCenter" xfId="26"/>
    <cellStyle name="AlignLeft" xfId="27"/>
    <cellStyle name="Avertissement" xfId="28" builtinId="11"/>
    <cellStyle name="Calcul" xfId="29" builtinId="22"/>
    <cellStyle name="Cellule liée" xfId="30" builtinId="24"/>
    <cellStyle name="Entete" xfId="31"/>
    <cellStyle name="Entrée" xfId="32" builtinId="20"/>
    <cellStyle name="Insatisfaisant" xfId="33" builtinId="27"/>
    <cellStyle name="Lien hypertexte" xfId="34" builtinId="8"/>
    <cellStyle name="Milliers" xfId="35" builtinId="3"/>
    <cellStyle name="Milliers 2" xfId="36"/>
    <cellStyle name="Milliers 3" xfId="37"/>
    <cellStyle name="Milliers 4" xfId="38"/>
    <cellStyle name="Milliers 5" xfId="39"/>
    <cellStyle name="Monétaire" xfId="40" builtinId="4"/>
    <cellStyle name="Monétaire 2" xfId="41"/>
    <cellStyle name="Neutre" xfId="42" builtinId="28"/>
    <cellStyle name="Normal" xfId="0" builtinId="0"/>
    <cellStyle name="Note" xfId="43" builtinId="10"/>
    <cellStyle name="Pourcentage" xfId="44" builtinId="5"/>
    <cellStyle name="Satisfaisant" xfId="45" builtinId="26"/>
    <cellStyle name="Sortie" xfId="46" builtinId="21"/>
    <cellStyle name="Texte explicatif" xfId="47" builtinId="53"/>
    <cellStyle name="Titre" xfId="48" builtinId="15"/>
    <cellStyle name="Titre 1" xfId="49" builtinId="16"/>
    <cellStyle name="Titre 2" xfId="50" builtinId="17"/>
    <cellStyle name="Titre 3" xfId="51" builtinId="18"/>
    <cellStyle name="Titre 4" xfId="52" builtinId="19"/>
    <cellStyle name="Total" xfId="53" builtinId="25"/>
    <cellStyle name="Vérification" xfId="54" builtinId="23"/>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1" Type="http://schemas.openxmlformats.org/officeDocument/2006/relationships/externalLink" Target="externalLinks/externalLink1.xml"/><Relationship  Id="rId10" Type="http://schemas.openxmlformats.org/officeDocument/2006/relationships/worksheet" Target="worksheets/sheet8.xml"/><Relationship  Id="rId11" Type="http://schemas.openxmlformats.org/officeDocument/2006/relationships/worksheet" Target="worksheets/sheet9.xml"/><Relationship  Id="rId12" Type="http://schemas.openxmlformats.org/officeDocument/2006/relationships/worksheet" Target="worksheets/sheet10.xml"/><Relationship  Id="rId13" Type="http://schemas.openxmlformats.org/officeDocument/2006/relationships/worksheet" Target="worksheets/sheet11.xml"/><Relationship  Id="rId14" Type="http://schemas.openxmlformats.org/officeDocument/2006/relationships/worksheet" Target="worksheets/sheet12.xml"/><Relationship  Id="rId15" Type="http://schemas.openxmlformats.org/officeDocument/2006/relationships/worksheet" Target="worksheets/sheet13.xml"/><Relationship  Id="rId16" Type="http://schemas.openxmlformats.org/officeDocument/2006/relationships/worksheet" Target="worksheets/sheet14.xml"/><Relationship  Id="rId17" Type="http://schemas.openxmlformats.org/officeDocument/2006/relationships/worksheet" Target="worksheets/sheet15.xml"/><Relationship  Id="rId18" Type="http://schemas.openxmlformats.org/officeDocument/2006/relationships/worksheet" Target="worksheets/sheet16.xml"/><Relationship  Id="rId19" Type="http://schemas.openxmlformats.org/officeDocument/2006/relationships/worksheet" Target="worksheets/sheet17.xml"/><Relationship  Id="rId2" Type="http://schemas.microsoft.com/office/2017/10/relationships/person" Target="persons/person.xml"/><Relationship  Id="rId20" Type="http://schemas.openxmlformats.org/officeDocument/2006/relationships/worksheet" Target="worksheets/sheet18.xml"/><Relationship  Id="rId21" Type="http://schemas.openxmlformats.org/officeDocument/2006/relationships/worksheet" Target="worksheets/sheet19.xml"/><Relationship  Id="rId22" Type="http://schemas.openxmlformats.org/officeDocument/2006/relationships/worksheet" Target="worksheets/sheet20.xml"/><Relationship  Id="rId23" Type="http://schemas.openxmlformats.org/officeDocument/2006/relationships/worksheet" Target="worksheets/sheet21.xml"/><Relationship  Id="rId24" Type="http://schemas.openxmlformats.org/officeDocument/2006/relationships/worksheet" Target="worksheets/sheet22.xml"/><Relationship  Id="rId25" Type="http://schemas.openxmlformats.org/officeDocument/2006/relationships/worksheet" Target="worksheets/sheet23.xml"/><Relationship  Id="rId26" Type="http://schemas.openxmlformats.org/officeDocument/2006/relationships/worksheet" Target="worksheets/sheet24.xml"/><Relationship  Id="rId27" Type="http://schemas.openxmlformats.org/officeDocument/2006/relationships/theme" Target="theme/theme1.xml"/><Relationship  Id="rId28" Type="http://schemas.openxmlformats.org/officeDocument/2006/relationships/sharedStrings" Target="sharedStrings.xml"/><Relationship  Id="rId29"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worksheet" Target="worksheets/sheet5.xml"/><Relationship  Id="rId8" Type="http://schemas.openxmlformats.org/officeDocument/2006/relationships/worksheet" Target="worksheets/sheet6.xml"/><Relationship  Id="rId9" Type="http://schemas.openxmlformats.org/officeDocument/2006/relationships/worksheet" Target="worksheets/sheet7.xml"/></Relationships>
</file>

<file path=xl/drawings/_rels/drawing1.xml.rels><?xml version="1.0" encoding="UTF-8" standalone="yes"?><Relationships xmlns="http://schemas.openxmlformats.org/package/2006/relationships"><Relationship Id="rId1" Type="http://schemas.openxmlformats.org/officeDocument/2006/relationships/image" Target="../media/image1.png"/><Relationship Id="rId2" Type="http://schemas.openxmlformats.org/officeDocument/2006/relationships/hyperlink" Target="#&apos;Hypotheses expl&apos;!A1" TargetMode="External"/><Relationship Id="rId3" Type="http://schemas.openxmlformats.org/officeDocument/2006/relationships/hyperlink" Target="#&apos;Hypotheses expl (2)&apos;!A1" TargetMode="External"/><Relationship Id="rId4" Type="http://schemas.openxmlformats.org/officeDocument/2006/relationships/hyperlink" Target="#&apos;Hypotheses expl (3)&apos;!A1" TargetMode="External"/><Relationship Id="rId5" Type="http://schemas.openxmlformats.org/officeDocument/2006/relationships/hyperlink" Target="#&apos;Hypotheses hors expl&apos;!A1" TargetMode="External"/><Relationship Id="rId6" Type="http://schemas.openxmlformats.org/officeDocument/2006/relationships/hyperlink" Target="#&apos;Hypotheses hors expl (2)&apos;!A1" TargetMode="External"/><Relationship Id="rId7" Type="http://schemas.openxmlformats.org/officeDocument/2006/relationships/hyperlink" Target="#&apos;Hypotheses hors expl (3)&apos;!A1" TargetMode="External"/><Relationship Id="rId8" Type="http://schemas.openxmlformats.org/officeDocument/2006/relationships/hyperlink" Target="#BDD!A1" TargetMode="External"/><Relationship Id="rId9" Type="http://schemas.openxmlformats.org/officeDocument/2006/relationships/hyperlink" Target="#&apos;Import balance&apos;!A1" TargetMode="External"/><Relationship Id="rId10" Type="http://schemas.openxmlformats.org/officeDocument/2006/relationships/hyperlink" Target="#&apos;Compte r&#233;sultat pr&#233;vi&apos;!A1" TargetMode="External"/><Relationship Id="rId11" Type="http://schemas.openxmlformats.org/officeDocument/2006/relationships/hyperlink" Target="#&apos;Tr&#233;sorerie auto&apos;!A1" TargetMode="External"/><Relationship Id="rId12" Type="http://schemas.openxmlformats.org/officeDocument/2006/relationships/hyperlink" Target="#&apos;Suivi budg&#233;taire&apos;!A1" TargetMode="External"/><Relationship Id="rId13" Type="http://schemas.openxmlformats.org/officeDocument/2006/relationships/hyperlink" Target="#&apos;Tr&#233;sorerie auto (2)&apos;!A1" TargetMode="External"/><Relationship Id="rId14" Type="http://schemas.openxmlformats.org/officeDocument/2006/relationships/hyperlink" Target="#&apos;Tableau de bord&apos;!A1" TargetMode="External"/><Relationship Id="rId15" Type="http://schemas.openxmlformats.org/officeDocument/2006/relationships/hyperlink" Target="#Accueil!A1" TargetMode="External"/><Relationship Id="rId16" Type="http://schemas.openxmlformats.org/officeDocument/2006/relationships/image" Target="../media/image2.png"/><Relationship Id="rId17" Type="http://schemas.openxmlformats.org/officeDocument/2006/relationships/hyperlink" Target="#Information!A1" TargetMode="External"/><Relationship Id="rId18" Type="http://schemas.openxmlformats.org/officeDocument/2006/relationships/image" Target="../media/image3.png"/><Relationship Id="rId19" Type="http://schemas.openxmlformats.org/officeDocument/2006/relationships/hyperlink" Target="#Contact!A1" TargetMode="External"/><Relationship Id="rId20" Type="http://schemas.openxmlformats.org/officeDocument/2006/relationships/image" Target="../media/image4.png"/></Relationships>
</file>

<file path=xl/drawings/_rels/drawing2.xml.rels><?xml version="1.0" encoding="UTF-8" standalone="yes"?><Relationships xmlns="http://schemas.openxmlformats.org/package/2006/relationships"><Relationship Id="rId1" Type="http://schemas.openxmlformats.org/officeDocument/2006/relationships/hyperlink" Target="#Accueil!A1" TargetMode="External"/><Relationship Id="rId2" Type="http://schemas.openxmlformats.org/officeDocument/2006/relationships/image" Target="../media/image5.png"/><Relationship Id="rId3" Type="http://schemas.openxmlformats.org/officeDocument/2006/relationships/image" Target="../media/image1.png"/></Relationships>
</file>

<file path=xl/drawings/_rels/drawing3.xml.rels><?xml version="1.0" encoding="UTF-8" standalone="yes"?><Relationships xmlns="http://schemas.openxmlformats.org/package/2006/relationships"><Relationship Id="rId1" Type="http://schemas.openxmlformats.org/officeDocument/2006/relationships/hyperlink" Target="#Accueil!A1" TargetMode="External"/><Relationship Id="rId2" Type="http://schemas.openxmlformats.org/officeDocument/2006/relationships/image" Target="../media/image5.png"/><Relationship Id="rId3" Type="http://schemas.openxmlformats.org/officeDocument/2006/relationships/image" Target="../media/image1.png"/></Relationships>
</file>

<file path=xl/drawings/_rels/drawing4.xml.rels><?xml version="1.0" encoding="UTF-8" standalone="yes"?><Relationships xmlns="http://schemas.openxmlformats.org/package/2006/relationships"><Relationship Id="rId1" Type="http://schemas.openxmlformats.org/officeDocument/2006/relationships/hyperlink" Target="#Accueil!A1" TargetMode="External"/><Relationship Id="rId2" Type="http://schemas.openxmlformats.org/officeDocument/2006/relationships/image" Target="../media/image5.png"/><Relationship Id="rId3" Type="http://schemas.openxmlformats.org/officeDocument/2006/relationships/image" Target="../media/image1.png"/></Relationships>
</file>

<file path=xl/drawings/_rels/drawing5.xml.rels><?xml version="1.0" encoding="UTF-8" standalone="yes"?><Relationships xmlns="http://schemas.openxmlformats.org/package/2006/relationships"><Relationship Id="rId1" Type="http://schemas.openxmlformats.org/officeDocument/2006/relationships/hyperlink" Target="#Accueil!A1" TargetMode="External"/><Relationship Id="rId2" Type="http://schemas.openxmlformats.org/officeDocument/2006/relationships/image" Target="../media/image5.png"/><Relationship Id="rId3" Type="http://schemas.openxmlformats.org/officeDocument/2006/relationships/image" Target="../media/image1.png"/></Relationships>
</file>

<file path=xl/drawings/_rels/drawing6.xml.rels><?xml version="1.0" encoding="UTF-8" standalone="yes"?><Relationships xmlns="http://schemas.openxmlformats.org/package/2006/relationships"><Relationship Id="rId1" Type="http://schemas.openxmlformats.org/officeDocument/2006/relationships/hyperlink" Target="#Accueil!A1" TargetMode="External"/><Relationship Id="rId2" Type="http://schemas.openxmlformats.org/officeDocument/2006/relationships/image" Target="../media/image5.png"/><Relationship Id="rId3" Type="http://schemas.openxmlformats.org/officeDocument/2006/relationships/image" Target="../media/image1.png"/></Relationships>
</file>

<file path=xl/drawings/_rels/drawing7.xml.rels><?xml version="1.0" encoding="UTF-8" standalone="yes"?><Relationships xmlns="http://schemas.openxmlformats.org/package/2006/relationships"><Relationship Id="rId1" Type="http://schemas.openxmlformats.org/officeDocument/2006/relationships/hyperlink" Target="#Accueil!A1" TargetMode="External"/><Relationship Id="rId2" Type="http://schemas.openxmlformats.org/officeDocument/2006/relationships/image" Target="../media/image5.png"/><Relationship Id="rId3" Type="http://schemas.openxmlformats.org/officeDocument/2006/relationships/image" Target="../media/image1.png"/></Relationships>
</file>

<file path=xl/drawings/_rels/drawing8.xml.rels><?xml version="1.0" encoding="UTF-8" standalone="yes"?><Relationships xmlns="http://schemas.openxmlformats.org/package/2006/relationships"><Relationship Id="rId1" Type="http://schemas.openxmlformats.org/officeDocument/2006/relationships/hyperlink" Target="#Accueil!A1" TargetMode="External"/><Relationship Id="rId2" Type="http://schemas.openxmlformats.org/officeDocument/2006/relationships/image" Target="../media/image5.png"/><Relationship Id="rId3" Type="http://schemas.openxmlformats.org/officeDocument/2006/relationships/image" Target="../media/image1.png"/></Relationships>
</file>

<file path=xl/drawings/_rels/drawing9.xml.rels><?xml version="1.0" encoding="UTF-8" standalone="yes"?><Relationships xmlns="http://schemas.openxmlformats.org/package/2006/relationships"><Relationship Id="rId1" Type="http://schemas.openxmlformats.org/officeDocument/2006/relationships/image" Target="../media/image1.png"/></Relationships>
</file>

<file path=xl/drawings/_rels/drawing10.xml.rels><?xml version="1.0" encoding="UTF-8" standalone="yes"?><Relationships xmlns="http://schemas.openxmlformats.org/package/2006/relationships"><Relationship Id="rId1" Type="http://schemas.openxmlformats.org/officeDocument/2006/relationships/hyperlink" Target="#Accueil!A1" TargetMode="External"/><Relationship Id="rId2" Type="http://schemas.openxmlformats.org/officeDocument/2006/relationships/image" Target="../media/image5.png"/><Relationship Id="rId3" Type="http://schemas.openxmlformats.org/officeDocument/2006/relationships/image" Target="../media/image1.png"/></Relationships>
</file>

<file path=xl/drawings/_rels/drawing11.xml.rels><?xml version="1.0" encoding="UTF-8" standalone="yes"?><Relationships xmlns="http://schemas.openxmlformats.org/package/2006/relationships"><Relationship Id="rId1" Type="http://schemas.openxmlformats.org/officeDocument/2006/relationships/hyperlink" Target="#Accueil!A1" TargetMode="External"/><Relationship Id="rId2" Type="http://schemas.openxmlformats.org/officeDocument/2006/relationships/image" Target="../media/image5.png"/><Relationship Id="rId3" Type="http://schemas.openxmlformats.org/officeDocument/2006/relationships/image" Target="../media/image1.png"/></Relationships>
</file>

<file path=xl/drawings/_rels/drawing12.xml.rels><?xml version="1.0" encoding="UTF-8" standalone="yes"?><Relationships xmlns="http://schemas.openxmlformats.org/package/2006/relationships"><Relationship Id="rId1" Type="http://schemas.openxmlformats.org/officeDocument/2006/relationships/hyperlink" Target="#Accueil!A1" TargetMode="External"/><Relationship Id="rId2" Type="http://schemas.openxmlformats.org/officeDocument/2006/relationships/image" Target="../media/image5.png"/><Relationship Id="rId3" Type="http://schemas.openxmlformats.org/officeDocument/2006/relationships/image" Target="../media/image1.png"/></Relationships>
</file>

<file path=xl/drawings/_rels/drawing13.xml.rels><?xml version="1.0" encoding="UTF-8" standalone="yes"?><Relationships xmlns="http://schemas.openxmlformats.org/package/2006/relationships"><Relationship Id="rId1" Type="http://schemas.openxmlformats.org/officeDocument/2006/relationships/hyperlink" Target="#Accueil!A1" TargetMode="External"/><Relationship Id="rId2" Type="http://schemas.openxmlformats.org/officeDocument/2006/relationships/image" Target="../media/image5.png"/><Relationship Id="rId3" Type="http://schemas.openxmlformats.org/officeDocument/2006/relationships/image" Target="../media/image1.png"/></Relationships>
</file>

<file path=xl/drawings/_rels/drawing14.xml.rels><?xml version="1.0" encoding="UTF-8" standalone="yes"?><Relationships xmlns="http://schemas.openxmlformats.org/package/2006/relationships"><Relationship Id="rId1" Type="http://schemas.openxmlformats.org/officeDocument/2006/relationships/hyperlink" Target="#Accueil!A1" TargetMode="External"/><Relationship Id="rId2" Type="http://schemas.openxmlformats.org/officeDocument/2006/relationships/image" Target="../media/image5.png"/><Relationship Id="rId3" Type="http://schemas.openxmlformats.org/officeDocument/2006/relationships/image" Target="../media/image1.png"/></Relationships>
</file>

<file path=xl/drawings/_rels/drawing15.xml.rels><?xml version="1.0" encoding="UTF-8" standalone="yes"?><Relationships xmlns="http://schemas.openxmlformats.org/package/2006/relationships"><Relationship Id="rId1" Type="http://schemas.openxmlformats.org/officeDocument/2006/relationships/hyperlink" Target="#Accueil!A1" TargetMode="External"/><Relationship Id="rId2" Type="http://schemas.openxmlformats.org/officeDocument/2006/relationships/image" Target="../media/image5.png"/><Relationship Id="rId3" Type="http://schemas.openxmlformats.org/officeDocument/2006/relationships/image" Target="../media/image1.png"/></Relationships>
</file>

<file path=xl/drawings/_rels/drawing16.xml.rels><?xml version="1.0" encoding="UTF-8" standalone="yes"?><Relationships xmlns="http://schemas.openxmlformats.org/package/2006/relationships"><Relationship Id="rId1" Type="http://schemas.openxmlformats.org/officeDocument/2006/relationships/hyperlink" Target="#Accueil!A1" TargetMode="External"/><Relationship Id="rId2" Type="http://schemas.openxmlformats.org/officeDocument/2006/relationships/image" Target="../media/image5.png"/><Relationship Id="rId3" Type="http://schemas.openxmlformats.org/officeDocument/2006/relationships/image" Target="../media/image1.png"/></Relationships>
</file>

<file path=xl/drawings/_rels/drawing17.xml.rels><?xml version="1.0" encoding="UTF-8" standalone="yes"?><Relationships xmlns="http://schemas.openxmlformats.org/package/2006/relationships"><Relationship Id="rId1" Type="http://schemas.openxmlformats.org/officeDocument/2006/relationships/hyperlink" Target="#Accueil!A1" TargetMode="External"/><Relationship Id="rId2" Type="http://schemas.openxmlformats.org/officeDocument/2006/relationships/image" Target="../media/image5.png"/><Relationship Id="rId3" Type="http://schemas.openxmlformats.org/officeDocument/2006/relationships/image" Target="../media/image1.png"/></Relationships>
</file>

<file path=xl/drawings/_rels/drawing18.xml.rels><?xml version="1.0" encoding="UTF-8" standalone="yes"?><Relationships xmlns="http://schemas.openxmlformats.org/package/2006/relationships"><Relationship Id="rId1" Type="http://schemas.openxmlformats.org/officeDocument/2006/relationships/hyperlink" Target="#Accueil!A1" TargetMode="External"/><Relationship Id="rId2" Type="http://schemas.openxmlformats.org/officeDocument/2006/relationships/image" Target="../media/image5.png"/><Relationship Id="rId3" Type="http://schemas.openxmlformats.org/officeDocument/2006/relationships/image" Target="../media/image1.png"/></Relationships>
</file>

<file path=xl/drawings/_rels/drawing19.xml.rels><?xml version="1.0" encoding="UTF-8" standalone="yes"?><Relationships xmlns="http://schemas.openxmlformats.org/package/2006/relationships"><Relationship Id="rId1" Type="http://schemas.openxmlformats.org/officeDocument/2006/relationships/hyperlink" Target="https://www.linkedin.com/company/soco&amp;fi" TargetMode="External"/><Relationship Id="rId2" Type="http://schemas.openxmlformats.org/officeDocument/2006/relationships/image" Target="../media/image7.png"/><Relationship Id="rId3" Type="http://schemas.openxmlformats.org/officeDocument/2006/relationships/hyperlink" Target="http://socoandfi.fr/" TargetMode="External"/><Relationship Id="rId4" Type="http://schemas.openxmlformats.org/officeDocument/2006/relationships/image" Target="../media/image8.jpg"/><Relationship Id="rId5" Type="http://schemas.openxmlformats.org/officeDocument/2006/relationships/hyperlink" Target="#Accueil!A1" TargetMode="External"/><Relationship Id="rId6" Type="http://schemas.openxmlformats.org/officeDocument/2006/relationships/image" Target="../media/image9.png"/><Relationship Id="rId7" Type="http://schemas.openxmlformats.org/officeDocument/2006/relationships/image" Target="../media/image1.png"/><Relationship Id="rId8" Type="http://schemas.openxmlformats.org/officeDocument/2006/relationships/image" Target="../media/image10.png"/><Relationship Id="rId9" Type="http://schemas.openxmlformats.org/officeDocument/2006/relationships/image" Target="../media/image11.png"/><Relationship Id="rId10" Type="http://schemas.openxmlformats.org/officeDocument/2006/relationships/image" Target="../media/image12.png"/><Relationship Id="rId11" Type="http://schemas.openxmlformats.org/officeDocument/2006/relationships/image" Target="../media/image13.png"/></Relationships>
</file>

<file path=xl/drawings/_rels/vmlDrawing5.vml.rels><?xml version="1.0" encoding="UTF-8" standalone="yes"?><Relationships xmlns="http://schemas.openxmlformats.org/package/2006/relationships"><Relationship Id="rId1" Type="http://schemas.openxmlformats.org/officeDocument/2006/relationships/image" Target="../media/image6.jpg"/></Relationships>
</file>

<file path=xl/drawings/drawing1.xml><?xml version="1.0" encoding="utf-8"?>
<xdr:wsDr xmlns:xdr="http://schemas.openxmlformats.org/drawingml/2006/spreadsheetDrawing" xmlns:a="http://schemas.openxmlformats.org/drawingml/2006/main" xmlns:r="http://schemas.openxmlformats.org/officeDocument/2006/relationships" xmlns:m="http://schemas.openxmlformats.org/officeDocument/2006/math" xmlns:w="http://schemas.openxmlformats.org/wordprocessingml/2006/main">
  <xdr:twoCellAnchor editAs="oneCell">
    <xdr:from>
      <xdr:col>0</xdr:col>
      <xdr:colOff>1</xdr:colOff>
      <xdr:row>0</xdr:row>
      <xdr:rowOff>0</xdr:rowOff>
    </xdr:from>
    <xdr:to>
      <xdr:col>5</xdr:col>
      <xdr:colOff>707163</xdr:colOff>
      <xdr:row>8</xdr:row>
      <xdr:rowOff>120952</xdr:rowOff>
    </xdr:to>
    <xdr:pic>
      <xdr:nvPicPr>
        <xdr:cNvPr id="2" name="Image 1"/>
        <xdr:cNvPicPr>
          <a:picLocks noChangeAspect="1"/>
        </xdr:cNvPicPr>
      </xdr:nvPicPr>
      <xdr:blipFill rotWithShape="1">
        <a:blip r:embed="rId1"/>
        <a:stretch/>
      </xdr:blipFill>
      <xdr:spPr bwMode="auto">
        <a:xfrm>
          <a:off x="1" y="0"/>
          <a:ext cx="4524722" cy="1572381"/>
        </a:xfrm>
        <a:prstGeom prst="rect">
          <a:avLst/>
        </a:prstGeom>
      </xdr:spPr>
    </xdr:pic>
    <xdr:clientData/>
  </xdr:twoCellAnchor>
  <xdr:twoCellAnchor editAs="twoCell">
    <xdr:from>
      <xdr:col>0</xdr:col>
      <xdr:colOff>69850</xdr:colOff>
      <xdr:row>9</xdr:row>
      <xdr:rowOff>88900</xdr:rowOff>
    </xdr:from>
    <xdr:to>
      <xdr:col>5</xdr:col>
      <xdr:colOff>698499</xdr:colOff>
      <xdr:row>13</xdr:row>
      <xdr:rowOff>88900</xdr:rowOff>
    </xdr:to>
    <xdr:sp>
      <xdr:nvSpPr>
        <xdr:cNvPr id="3" name="Rectangle : coins arrondis 2"/>
        <xdr:cNvSpPr/>
      </xdr:nvSpPr>
      <xdr:spPr bwMode="auto">
        <a:xfrm>
          <a:off x="69850" y="1746250"/>
          <a:ext cx="4438650" cy="736600"/>
        </a:xfrm>
        <a:prstGeom prst="roundRect">
          <a:avLst>
            <a:gd name="adj" fmla="val 16667"/>
          </a:avLst>
        </a:prstGeom>
        <a:solidFill>
          <a:schemeClr val="accent1">
            <a:lumMod val="20000"/>
            <a:lumOff val="80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defRPr/>
          </a:pPr>
          <a:r>
            <a:rPr lang="fr-FR" sz="2000" b="1">
              <a:solidFill>
                <a:sysClr val="windowText" lastClr="000000"/>
              </a:solidFill>
            </a:rPr>
            <a:t>SAISIE</a:t>
          </a:r>
          <a:r>
            <a:rPr lang="fr-FR" sz="2000" b="1">
              <a:solidFill>
                <a:sysClr val="windowText" lastClr="000000"/>
              </a:solidFill>
            </a:rPr>
            <a:t> DES HYPOTHESES</a:t>
          </a:r>
          <a:endParaRPr lang="fr-FR" sz="2000" b="1">
            <a:solidFill>
              <a:sysClr val="windowText" lastClr="000000"/>
            </a:solidFill>
          </a:endParaRPr>
        </a:p>
      </xdr:txBody>
    </xdr:sp>
    <xdr:clientData/>
  </xdr:twoCellAnchor>
  <xdr:twoCellAnchor editAs="twoCell">
    <xdr:from>
      <xdr:col>0</xdr:col>
      <xdr:colOff>95250</xdr:colOff>
      <xdr:row>14</xdr:row>
      <xdr:rowOff>38100</xdr:rowOff>
    </xdr:from>
    <xdr:to>
      <xdr:col>1</xdr:col>
      <xdr:colOff>717549</xdr:colOff>
      <xdr:row>18</xdr:row>
      <xdr:rowOff>38100</xdr:rowOff>
    </xdr:to>
    <xdr:sp>
      <xdr:nvSpPr>
        <xdr:cNvPr id="4" name="Rectangle : coins arrondis 3"/>
        <xdr:cNvSpPr/>
      </xdr:nvSpPr>
      <xdr:spPr bwMode="auto">
        <a:xfrm>
          <a:off x="95250" y="2616200"/>
          <a:ext cx="1384300" cy="736600"/>
        </a:xfrm>
        <a:prstGeom prst="roundRect">
          <a:avLst>
            <a:gd name="adj" fmla="val 16667"/>
          </a:avLst>
        </a:prstGeom>
        <a:solidFill>
          <a:schemeClr val="accent1">
            <a:lumMod val="20000"/>
            <a:lumOff val="80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defRPr/>
          </a:pPr>
          <a:r>
            <a:rPr lang="fr-FR" sz="2000" b="1">
              <a:solidFill>
                <a:sysClr val="windowText" lastClr="000000"/>
              </a:solidFill>
            </a:rPr>
            <a:t>ANNEE 1</a:t>
          </a:r>
          <a:endParaRPr/>
        </a:p>
      </xdr:txBody>
    </xdr:sp>
    <xdr:clientData/>
  </xdr:twoCellAnchor>
  <xdr:twoCellAnchor editAs="twoCell">
    <xdr:from>
      <xdr:col>2</xdr:col>
      <xdr:colOff>57150</xdr:colOff>
      <xdr:row>14</xdr:row>
      <xdr:rowOff>25400</xdr:rowOff>
    </xdr:from>
    <xdr:to>
      <xdr:col>3</xdr:col>
      <xdr:colOff>679450</xdr:colOff>
      <xdr:row>18</xdr:row>
      <xdr:rowOff>25400</xdr:rowOff>
    </xdr:to>
    <xdr:sp>
      <xdr:nvSpPr>
        <xdr:cNvPr id="9" name="Rectangle : coins arrondis 8"/>
        <xdr:cNvSpPr/>
      </xdr:nvSpPr>
      <xdr:spPr bwMode="auto">
        <a:xfrm>
          <a:off x="1581150" y="2603500"/>
          <a:ext cx="1384300" cy="736600"/>
        </a:xfrm>
        <a:prstGeom prst="roundRect">
          <a:avLst>
            <a:gd name="adj" fmla="val 16667"/>
          </a:avLst>
        </a:prstGeom>
        <a:solidFill>
          <a:schemeClr val="accent1">
            <a:lumMod val="20000"/>
            <a:lumOff val="80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defRPr/>
          </a:pPr>
          <a:r>
            <a:rPr lang="fr-FR" sz="2000" b="1">
              <a:solidFill>
                <a:sysClr val="windowText" lastClr="000000"/>
              </a:solidFill>
            </a:rPr>
            <a:t>ANNEE 2</a:t>
          </a:r>
          <a:endParaRPr/>
        </a:p>
      </xdr:txBody>
    </xdr:sp>
    <xdr:clientData/>
  </xdr:twoCellAnchor>
  <xdr:twoCellAnchor editAs="twoCell">
    <xdr:from>
      <xdr:col>4</xdr:col>
      <xdr:colOff>44450</xdr:colOff>
      <xdr:row>14</xdr:row>
      <xdr:rowOff>19050</xdr:rowOff>
    </xdr:from>
    <xdr:to>
      <xdr:col>5</xdr:col>
      <xdr:colOff>666750</xdr:colOff>
      <xdr:row>18</xdr:row>
      <xdr:rowOff>19050</xdr:rowOff>
    </xdr:to>
    <xdr:sp>
      <xdr:nvSpPr>
        <xdr:cNvPr id="10" name="Rectangle : coins arrondis 9"/>
        <xdr:cNvSpPr/>
      </xdr:nvSpPr>
      <xdr:spPr bwMode="auto">
        <a:xfrm>
          <a:off x="3092450" y="2597149"/>
          <a:ext cx="1384300" cy="736600"/>
        </a:xfrm>
        <a:prstGeom prst="roundRect">
          <a:avLst>
            <a:gd name="adj" fmla="val 16667"/>
          </a:avLst>
        </a:prstGeom>
        <a:solidFill>
          <a:schemeClr val="accent1">
            <a:lumMod val="20000"/>
            <a:lumOff val="80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defRPr/>
          </a:pPr>
          <a:r>
            <a:rPr lang="fr-FR" sz="2000" b="1">
              <a:solidFill>
                <a:sysClr val="windowText" lastClr="000000"/>
              </a:solidFill>
            </a:rPr>
            <a:t>ANNEE 3</a:t>
          </a:r>
          <a:endParaRPr/>
        </a:p>
      </xdr:txBody>
    </xdr:sp>
    <xdr:clientData/>
  </xdr:twoCellAnchor>
  <xdr:twoCellAnchor editAs="twoCell">
    <xdr:from>
      <xdr:col>0</xdr:col>
      <xdr:colOff>102809</xdr:colOff>
      <xdr:row>14</xdr:row>
      <xdr:rowOff>60779</xdr:rowOff>
    </xdr:from>
    <xdr:to>
      <xdr:col>1</xdr:col>
      <xdr:colOff>725109</xdr:colOff>
      <xdr:row>18</xdr:row>
      <xdr:rowOff>60779</xdr:rowOff>
    </xdr:to>
    <xdr:sp>
      <xdr:nvSpPr>
        <xdr:cNvPr id="11" name="Rectangle : coins arrondis 10"/>
        <xdr:cNvSpPr/>
      </xdr:nvSpPr>
      <xdr:spPr bwMode="auto">
        <a:xfrm>
          <a:off x="102810" y="2600779"/>
          <a:ext cx="1385812" cy="725714"/>
        </a:xfrm>
        <a:prstGeom prst="roundRect">
          <a:avLst>
            <a:gd name="adj" fmla="val 16667"/>
          </a:avLst>
        </a:prstGeom>
        <a:solidFill>
          <a:srgbClr val="00B0F0"/>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defRPr/>
          </a:pPr>
          <a:r>
            <a:rPr lang="fr-FR" sz="2000" b="1">
              <a:solidFill>
                <a:sysClr val="windowText" lastClr="000000"/>
              </a:solidFill>
            </a:rPr>
            <a:t>ANNEE 1</a:t>
          </a:r>
          <a:endParaRPr/>
        </a:p>
      </xdr:txBody>
    </xdr:sp>
    <xdr:clientData/>
  </xdr:twoCellAnchor>
  <xdr:twoCellAnchor editAs="twoCell">
    <xdr:from>
      <xdr:col>2</xdr:col>
      <xdr:colOff>64710</xdr:colOff>
      <xdr:row>14</xdr:row>
      <xdr:rowOff>48079</xdr:rowOff>
    </xdr:from>
    <xdr:to>
      <xdr:col>3</xdr:col>
      <xdr:colOff>687010</xdr:colOff>
      <xdr:row>18</xdr:row>
      <xdr:rowOff>48079</xdr:rowOff>
    </xdr:to>
    <xdr:sp>
      <xdr:nvSpPr>
        <xdr:cNvPr id="12" name="Rectangle : coins arrondis 11"/>
        <xdr:cNvSpPr/>
      </xdr:nvSpPr>
      <xdr:spPr bwMode="auto">
        <a:xfrm>
          <a:off x="1591734" y="2588079"/>
          <a:ext cx="1385812" cy="725714"/>
        </a:xfrm>
        <a:prstGeom prst="roundRect">
          <a:avLst>
            <a:gd name="adj" fmla="val 16667"/>
          </a:avLst>
        </a:prstGeom>
        <a:solidFill>
          <a:srgbClr val="00B0F0"/>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defRPr/>
          </a:pPr>
          <a:r>
            <a:rPr lang="fr-FR" sz="2000" b="1">
              <a:solidFill>
                <a:sysClr val="windowText" lastClr="000000"/>
              </a:solidFill>
            </a:rPr>
            <a:t>ANNEE 2</a:t>
          </a:r>
          <a:endParaRPr/>
        </a:p>
      </xdr:txBody>
    </xdr:sp>
    <xdr:clientData/>
  </xdr:twoCellAnchor>
  <xdr:twoCellAnchor editAs="twoCell">
    <xdr:from>
      <xdr:col>4</xdr:col>
      <xdr:colOff>52010</xdr:colOff>
      <xdr:row>14</xdr:row>
      <xdr:rowOff>41729</xdr:rowOff>
    </xdr:from>
    <xdr:to>
      <xdr:col>5</xdr:col>
      <xdr:colOff>674309</xdr:colOff>
      <xdr:row>18</xdr:row>
      <xdr:rowOff>41729</xdr:rowOff>
    </xdr:to>
    <xdr:sp>
      <xdr:nvSpPr>
        <xdr:cNvPr id="13" name="Rectangle : coins arrondis 12"/>
        <xdr:cNvSpPr/>
      </xdr:nvSpPr>
      <xdr:spPr bwMode="auto">
        <a:xfrm>
          <a:off x="3106058" y="2581729"/>
          <a:ext cx="1385812" cy="725714"/>
        </a:xfrm>
        <a:prstGeom prst="roundRect">
          <a:avLst>
            <a:gd name="adj" fmla="val 16667"/>
          </a:avLst>
        </a:prstGeom>
        <a:solidFill>
          <a:srgbClr val="00B0F0"/>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defRPr/>
          </a:pPr>
          <a:r>
            <a:rPr lang="fr-FR" sz="2000" b="1">
              <a:solidFill>
                <a:sysClr val="windowText" lastClr="000000"/>
              </a:solidFill>
            </a:rPr>
            <a:t>ANNEE 3</a:t>
          </a:r>
          <a:endParaRPr/>
        </a:p>
      </xdr:txBody>
    </xdr:sp>
    <xdr:clientData/>
  </xdr:twoCellAnchor>
  <xdr:twoCellAnchor editAs="twoCell">
    <xdr:from>
      <xdr:col>0</xdr:col>
      <xdr:colOff>105833</xdr:colOff>
      <xdr:row>18</xdr:row>
      <xdr:rowOff>109765</xdr:rowOff>
    </xdr:from>
    <xdr:to>
      <xdr:col>1</xdr:col>
      <xdr:colOff>728133</xdr:colOff>
      <xdr:row>22</xdr:row>
      <xdr:rowOff>109764</xdr:rowOff>
    </xdr:to>
    <xdr:sp>
      <xdr:nvSpPr>
        <xdr:cNvPr id="14" name="Rectangle : coins arrondis 13">
          <a:hlinkClick r:id="rId2"/>
        </xdr:cNvPr>
        <xdr:cNvSpPr/>
      </xdr:nvSpPr>
      <xdr:spPr bwMode="auto">
        <a:xfrm>
          <a:off x="105833" y="3375479"/>
          <a:ext cx="1385812" cy="725714"/>
        </a:xfrm>
        <a:prstGeom prst="roundRect">
          <a:avLst>
            <a:gd name="adj" fmla="val 16667"/>
          </a:avLst>
        </a:prstGeom>
        <a:solidFill>
          <a:srgbClr val="9FE6FF"/>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defRPr/>
          </a:pPr>
          <a:r>
            <a:rPr lang="fr-FR" sz="1800" b="1">
              <a:solidFill>
                <a:sysClr val="windowText" lastClr="000000"/>
              </a:solidFill>
            </a:rPr>
            <a:t>EXPL.</a:t>
          </a:r>
          <a:endParaRPr/>
        </a:p>
      </xdr:txBody>
    </xdr:sp>
    <xdr:clientData/>
  </xdr:twoCellAnchor>
  <xdr:twoCellAnchor editAs="twoCell">
    <xdr:from>
      <xdr:col>2</xdr:col>
      <xdr:colOff>67733</xdr:colOff>
      <xdr:row>18</xdr:row>
      <xdr:rowOff>97065</xdr:rowOff>
    </xdr:from>
    <xdr:to>
      <xdr:col>3</xdr:col>
      <xdr:colOff>690033</xdr:colOff>
      <xdr:row>22</xdr:row>
      <xdr:rowOff>97064</xdr:rowOff>
    </xdr:to>
    <xdr:sp>
      <xdr:nvSpPr>
        <xdr:cNvPr id="15" name="Rectangle : coins arrondis 14">
          <a:hlinkClick r:id="rId3"/>
        </xdr:cNvPr>
        <xdr:cNvSpPr/>
      </xdr:nvSpPr>
      <xdr:spPr bwMode="auto">
        <a:xfrm>
          <a:off x="1594757" y="3362779"/>
          <a:ext cx="1385812" cy="725714"/>
        </a:xfrm>
        <a:prstGeom prst="roundRect">
          <a:avLst>
            <a:gd name="adj" fmla="val 16667"/>
          </a:avLst>
        </a:prstGeom>
        <a:solidFill>
          <a:srgbClr val="9FE6FF"/>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marL="0" indent="0" algn="ctr">
            <a:defRPr/>
          </a:pPr>
          <a:r>
            <a:rPr lang="fr-FR" sz="1800" b="1">
              <a:solidFill>
                <a:sysClr val="windowText" lastClr="000000"/>
              </a:solidFill>
              <a:latin typeface="+mn-lt"/>
              <a:ea typeface="+mn-ea"/>
              <a:cs typeface="+mn-cs"/>
            </a:rPr>
            <a:t>EXPL.</a:t>
          </a:r>
          <a:endParaRPr/>
        </a:p>
      </xdr:txBody>
    </xdr:sp>
    <xdr:clientData/>
  </xdr:twoCellAnchor>
  <xdr:twoCellAnchor editAs="twoCell">
    <xdr:from>
      <xdr:col>4</xdr:col>
      <xdr:colOff>55033</xdr:colOff>
      <xdr:row>18</xdr:row>
      <xdr:rowOff>90715</xdr:rowOff>
    </xdr:from>
    <xdr:to>
      <xdr:col>5</xdr:col>
      <xdr:colOff>677333</xdr:colOff>
      <xdr:row>22</xdr:row>
      <xdr:rowOff>90714</xdr:rowOff>
    </xdr:to>
    <xdr:sp>
      <xdr:nvSpPr>
        <xdr:cNvPr id="16" name="Rectangle : coins arrondis 15">
          <a:hlinkClick r:id="rId4"/>
        </xdr:cNvPr>
        <xdr:cNvSpPr/>
      </xdr:nvSpPr>
      <xdr:spPr bwMode="auto">
        <a:xfrm>
          <a:off x="3109081" y="3356429"/>
          <a:ext cx="1385812" cy="725714"/>
        </a:xfrm>
        <a:prstGeom prst="roundRect">
          <a:avLst>
            <a:gd name="adj" fmla="val 16667"/>
          </a:avLst>
        </a:prstGeom>
        <a:solidFill>
          <a:srgbClr val="9FE6FF"/>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marL="0" indent="0" algn="ctr">
            <a:defRPr/>
          </a:pPr>
          <a:r>
            <a:rPr lang="fr-FR" sz="1800" b="1">
              <a:solidFill>
                <a:sysClr val="windowText" lastClr="000000"/>
              </a:solidFill>
              <a:latin typeface="+mn-lt"/>
              <a:ea typeface="+mn-ea"/>
              <a:cs typeface="+mn-cs"/>
            </a:rPr>
            <a:t>EXPL.</a:t>
          </a:r>
          <a:endParaRPr/>
        </a:p>
      </xdr:txBody>
    </xdr:sp>
    <xdr:clientData/>
  </xdr:twoCellAnchor>
  <xdr:twoCellAnchor editAs="twoCell">
    <xdr:from>
      <xdr:col>0</xdr:col>
      <xdr:colOff>105833</xdr:colOff>
      <xdr:row>22</xdr:row>
      <xdr:rowOff>162680</xdr:rowOff>
    </xdr:from>
    <xdr:to>
      <xdr:col>1</xdr:col>
      <xdr:colOff>728133</xdr:colOff>
      <xdr:row>26</xdr:row>
      <xdr:rowOff>162680</xdr:rowOff>
    </xdr:to>
    <xdr:sp>
      <xdr:nvSpPr>
        <xdr:cNvPr id="17" name="Rectangle : coins arrondis 16">
          <a:hlinkClick r:id="rId5"/>
        </xdr:cNvPr>
        <xdr:cNvSpPr/>
      </xdr:nvSpPr>
      <xdr:spPr bwMode="auto">
        <a:xfrm>
          <a:off x="105833" y="4154108"/>
          <a:ext cx="1385812" cy="725714"/>
        </a:xfrm>
        <a:prstGeom prst="roundRect">
          <a:avLst>
            <a:gd name="adj" fmla="val 16667"/>
          </a:avLst>
        </a:prstGeom>
        <a:solidFill>
          <a:srgbClr val="9FE6FF"/>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defRPr/>
          </a:pPr>
          <a:r>
            <a:rPr lang="fr-FR" sz="1800" b="1">
              <a:solidFill>
                <a:sysClr val="windowText" lastClr="000000"/>
              </a:solidFill>
            </a:rPr>
            <a:t>HORS EXPL.</a:t>
          </a:r>
          <a:endParaRPr/>
        </a:p>
      </xdr:txBody>
    </xdr:sp>
    <xdr:clientData/>
  </xdr:twoCellAnchor>
  <xdr:twoCellAnchor editAs="twoCell">
    <xdr:from>
      <xdr:col>2</xdr:col>
      <xdr:colOff>67733</xdr:colOff>
      <xdr:row>22</xdr:row>
      <xdr:rowOff>149979</xdr:rowOff>
    </xdr:from>
    <xdr:to>
      <xdr:col>3</xdr:col>
      <xdr:colOff>690033</xdr:colOff>
      <xdr:row>26</xdr:row>
      <xdr:rowOff>149979</xdr:rowOff>
    </xdr:to>
    <xdr:sp>
      <xdr:nvSpPr>
        <xdr:cNvPr id="18" name="Rectangle : coins arrondis 17">
          <a:hlinkClick r:id="rId6"/>
        </xdr:cNvPr>
        <xdr:cNvSpPr/>
      </xdr:nvSpPr>
      <xdr:spPr bwMode="auto">
        <a:xfrm>
          <a:off x="1594757" y="4141409"/>
          <a:ext cx="1385812" cy="725714"/>
        </a:xfrm>
        <a:prstGeom prst="roundRect">
          <a:avLst>
            <a:gd name="adj" fmla="val 16667"/>
          </a:avLst>
        </a:prstGeom>
        <a:solidFill>
          <a:srgbClr val="9FE6FF"/>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marL="0" indent="0" algn="ctr">
            <a:defRPr/>
          </a:pPr>
          <a:r>
            <a:rPr lang="fr-FR" sz="1800" b="1">
              <a:solidFill>
                <a:sysClr val="windowText" lastClr="000000"/>
              </a:solidFill>
              <a:latin typeface="+mn-lt"/>
              <a:ea typeface="+mn-ea"/>
              <a:cs typeface="+mn-cs"/>
            </a:rPr>
            <a:t>HORS EXPL.</a:t>
          </a:r>
          <a:endParaRPr/>
        </a:p>
      </xdr:txBody>
    </xdr:sp>
    <xdr:clientData/>
  </xdr:twoCellAnchor>
  <xdr:twoCellAnchor editAs="twoCell">
    <xdr:from>
      <xdr:col>4</xdr:col>
      <xdr:colOff>55033</xdr:colOff>
      <xdr:row>22</xdr:row>
      <xdr:rowOff>143630</xdr:rowOff>
    </xdr:from>
    <xdr:to>
      <xdr:col>5</xdr:col>
      <xdr:colOff>677333</xdr:colOff>
      <xdr:row>26</xdr:row>
      <xdr:rowOff>143630</xdr:rowOff>
    </xdr:to>
    <xdr:sp>
      <xdr:nvSpPr>
        <xdr:cNvPr id="19" name="Rectangle : coins arrondis 18">
          <a:hlinkClick r:id="rId7"/>
        </xdr:cNvPr>
        <xdr:cNvSpPr/>
      </xdr:nvSpPr>
      <xdr:spPr bwMode="auto">
        <a:xfrm>
          <a:off x="3109081" y="4135059"/>
          <a:ext cx="1385812" cy="725714"/>
        </a:xfrm>
        <a:prstGeom prst="roundRect">
          <a:avLst>
            <a:gd name="adj" fmla="val 16667"/>
          </a:avLst>
        </a:prstGeom>
        <a:solidFill>
          <a:srgbClr val="9FE6FF"/>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marL="0" indent="0" algn="ctr">
            <a:defRPr/>
          </a:pPr>
          <a:r>
            <a:rPr lang="fr-FR" sz="1800" b="1">
              <a:solidFill>
                <a:sysClr val="windowText" lastClr="000000"/>
              </a:solidFill>
              <a:latin typeface="+mn-lt"/>
              <a:ea typeface="+mn-ea"/>
              <a:cs typeface="+mn-cs"/>
            </a:rPr>
            <a:t>HORS EXPL.</a:t>
          </a:r>
          <a:endParaRPr/>
        </a:p>
      </xdr:txBody>
    </xdr:sp>
    <xdr:clientData/>
  </xdr:twoCellAnchor>
  <xdr:twoCellAnchor editAs="twoCell">
    <xdr:from>
      <xdr:col>6</xdr:col>
      <xdr:colOff>60477</xdr:colOff>
      <xdr:row>9</xdr:row>
      <xdr:rowOff>98274</xdr:rowOff>
    </xdr:from>
    <xdr:to>
      <xdr:col>8</xdr:col>
      <xdr:colOff>695476</xdr:colOff>
      <xdr:row>13</xdr:row>
      <xdr:rowOff>98274</xdr:rowOff>
    </xdr:to>
    <xdr:sp>
      <xdr:nvSpPr>
        <xdr:cNvPr id="20" name="Rectangle : coins arrondis 19"/>
        <xdr:cNvSpPr/>
      </xdr:nvSpPr>
      <xdr:spPr bwMode="auto">
        <a:xfrm>
          <a:off x="4641548" y="1731131"/>
          <a:ext cx="2162024" cy="725714"/>
        </a:xfrm>
        <a:prstGeom prst="roundRect">
          <a:avLst>
            <a:gd name="adj" fmla="val 16667"/>
          </a:avLst>
        </a:prstGeom>
        <a:solidFill>
          <a:srgbClr val="FAD2FC"/>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defRPr/>
          </a:pPr>
          <a:r>
            <a:rPr lang="fr-FR" sz="2000" b="1">
              <a:solidFill>
                <a:sysClr val="windowText" lastClr="000000"/>
              </a:solidFill>
            </a:rPr>
            <a:t>PARAMETRES</a:t>
          </a:r>
          <a:endParaRPr/>
        </a:p>
      </xdr:txBody>
    </xdr:sp>
    <xdr:clientData/>
  </xdr:twoCellAnchor>
  <xdr:twoCellAnchor editAs="twoCell">
    <xdr:from>
      <xdr:col>6</xdr:col>
      <xdr:colOff>68036</xdr:colOff>
      <xdr:row>14</xdr:row>
      <xdr:rowOff>52915</xdr:rowOff>
    </xdr:from>
    <xdr:to>
      <xdr:col>8</xdr:col>
      <xdr:colOff>703036</xdr:colOff>
      <xdr:row>27</xdr:row>
      <xdr:rowOff>0</xdr:rowOff>
    </xdr:to>
    <xdr:sp>
      <xdr:nvSpPr>
        <xdr:cNvPr id="21" name="Rectangle : coins arrondis 20">
          <a:hlinkClick r:id="rId8"/>
        </xdr:cNvPr>
        <xdr:cNvSpPr/>
      </xdr:nvSpPr>
      <xdr:spPr bwMode="auto">
        <a:xfrm>
          <a:off x="4649106" y="2592915"/>
          <a:ext cx="2162024" cy="2305656"/>
        </a:xfrm>
        <a:prstGeom prst="roundRect">
          <a:avLst>
            <a:gd name="adj" fmla="val 16667"/>
          </a:avLst>
        </a:prstGeom>
        <a:solidFill>
          <a:srgbClr val="EF81CA"/>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defRPr/>
          </a:pPr>
          <a:r>
            <a:rPr lang="fr-FR" sz="2000" b="1">
              <a:solidFill>
                <a:sysClr val="windowText" lastClr="000000"/>
              </a:solidFill>
            </a:rPr>
            <a:t>SECTIONS ANALYTIQUES</a:t>
          </a:r>
          <a:endParaRPr/>
        </a:p>
      </xdr:txBody>
    </xdr:sp>
    <xdr:clientData/>
  </xdr:twoCellAnchor>
  <xdr:twoCellAnchor editAs="twoCell">
    <xdr:from>
      <xdr:col>9</xdr:col>
      <xdr:colOff>30238</xdr:colOff>
      <xdr:row>9</xdr:row>
      <xdr:rowOff>105834</xdr:rowOff>
    </xdr:from>
    <xdr:to>
      <xdr:col>11</xdr:col>
      <xdr:colOff>665238</xdr:colOff>
      <xdr:row>13</xdr:row>
      <xdr:rowOff>105834</xdr:rowOff>
    </xdr:to>
    <xdr:sp>
      <xdr:nvSpPr>
        <xdr:cNvPr id="22" name="Rectangle : coins arrondis 21"/>
        <xdr:cNvSpPr/>
      </xdr:nvSpPr>
      <xdr:spPr bwMode="auto">
        <a:xfrm>
          <a:off x="6901845" y="1738691"/>
          <a:ext cx="2162024" cy="725714"/>
        </a:xfrm>
        <a:prstGeom prst="roundRect">
          <a:avLst>
            <a:gd name="adj" fmla="val 16667"/>
          </a:avLst>
        </a:prstGeom>
        <a:solidFill>
          <a:srgbClr val="F7B4FA"/>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defRPr/>
          </a:pPr>
          <a:r>
            <a:rPr lang="fr-FR" sz="2000" b="1">
              <a:solidFill>
                <a:sysClr val="windowText" lastClr="000000"/>
              </a:solidFill>
            </a:rPr>
            <a:t>IMPORTS</a:t>
          </a:r>
          <a:endParaRPr/>
        </a:p>
      </xdr:txBody>
    </xdr:sp>
    <xdr:clientData/>
  </xdr:twoCellAnchor>
  <xdr:twoCellAnchor editAs="twoCell">
    <xdr:from>
      <xdr:col>9</xdr:col>
      <xdr:colOff>52917</xdr:colOff>
      <xdr:row>14</xdr:row>
      <xdr:rowOff>45357</xdr:rowOff>
    </xdr:from>
    <xdr:to>
      <xdr:col>11</xdr:col>
      <xdr:colOff>680357</xdr:colOff>
      <xdr:row>26</xdr:row>
      <xdr:rowOff>173870</xdr:rowOff>
    </xdr:to>
    <xdr:sp>
      <xdr:nvSpPr>
        <xdr:cNvPr id="23" name="Rectangle : coins arrondis 22">
          <a:hlinkClick r:id="rId9"/>
        </xdr:cNvPr>
        <xdr:cNvSpPr/>
      </xdr:nvSpPr>
      <xdr:spPr bwMode="auto">
        <a:xfrm>
          <a:off x="6924524" y="2585357"/>
          <a:ext cx="2154464" cy="2305656"/>
        </a:xfrm>
        <a:prstGeom prst="roundRect">
          <a:avLst>
            <a:gd name="adj" fmla="val 16667"/>
          </a:avLst>
        </a:prstGeom>
        <a:solidFill>
          <a:srgbClr val="E533AA"/>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defRPr/>
          </a:pPr>
          <a:r>
            <a:rPr lang="fr-FR" sz="2000" b="1">
              <a:solidFill>
                <a:sysClr val="windowText" lastClr="000000"/>
              </a:solidFill>
            </a:rPr>
            <a:t>BALANCE COMPTABLE</a:t>
          </a:r>
          <a:endParaRPr/>
        </a:p>
      </xdr:txBody>
    </xdr:sp>
    <xdr:clientData/>
  </xdr:twoCellAnchor>
  <xdr:twoCellAnchor editAs="twoCell">
    <xdr:from>
      <xdr:col>12</xdr:col>
      <xdr:colOff>37798</xdr:colOff>
      <xdr:row>9</xdr:row>
      <xdr:rowOff>90715</xdr:rowOff>
    </xdr:from>
    <xdr:to>
      <xdr:col>17</xdr:col>
      <xdr:colOff>666449</xdr:colOff>
      <xdr:row>13</xdr:row>
      <xdr:rowOff>90715</xdr:rowOff>
    </xdr:to>
    <xdr:sp>
      <xdr:nvSpPr>
        <xdr:cNvPr id="24" name="Rectangle : coins arrondis 23"/>
        <xdr:cNvSpPr/>
      </xdr:nvSpPr>
      <xdr:spPr bwMode="auto">
        <a:xfrm>
          <a:off x="9199941" y="1723572"/>
          <a:ext cx="4446210" cy="725714"/>
        </a:xfrm>
        <a:prstGeom prst="roundRect">
          <a:avLst>
            <a:gd name="adj" fmla="val 16667"/>
          </a:avLst>
        </a:prstGeom>
        <a:solidFill>
          <a:schemeClr val="bg1">
            <a:lumMod val="9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defRPr/>
          </a:pPr>
          <a:r>
            <a:rPr lang="fr-FR" sz="2000" b="1">
              <a:solidFill>
                <a:sysClr val="windowText" lastClr="000000"/>
              </a:solidFill>
            </a:rPr>
            <a:t>RAPPORTS</a:t>
          </a:r>
          <a:endParaRPr/>
        </a:p>
      </xdr:txBody>
    </xdr:sp>
    <xdr:clientData/>
  </xdr:twoCellAnchor>
  <xdr:twoCellAnchor editAs="twoCell">
    <xdr:from>
      <xdr:col>12</xdr:col>
      <xdr:colOff>52917</xdr:colOff>
      <xdr:row>14</xdr:row>
      <xdr:rowOff>37796</xdr:rowOff>
    </xdr:from>
    <xdr:to>
      <xdr:col>17</xdr:col>
      <xdr:colOff>681568</xdr:colOff>
      <xdr:row>18</xdr:row>
      <xdr:rowOff>37796</xdr:rowOff>
    </xdr:to>
    <xdr:sp>
      <xdr:nvSpPr>
        <xdr:cNvPr id="25" name="Rectangle : coins arrondis 24">
          <a:hlinkClick r:id="rId10"/>
        </xdr:cNvPr>
        <xdr:cNvSpPr/>
      </xdr:nvSpPr>
      <xdr:spPr bwMode="auto">
        <a:xfrm>
          <a:off x="9215060" y="2577797"/>
          <a:ext cx="4446210" cy="725714"/>
        </a:xfrm>
        <a:prstGeom prst="roundRect">
          <a:avLst>
            <a:gd name="adj" fmla="val 16667"/>
          </a:avLst>
        </a:prstGeom>
        <a:solidFill>
          <a:schemeClr val="bg1">
            <a:lumMod val="8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defRPr/>
          </a:pPr>
          <a:r>
            <a:rPr lang="fr-FR" sz="2000" b="1">
              <a:solidFill>
                <a:sysClr val="windowText" lastClr="000000"/>
              </a:solidFill>
            </a:rPr>
            <a:t>BUDGET</a:t>
          </a:r>
          <a:r>
            <a:rPr lang="fr-FR" sz="2000" b="1">
              <a:solidFill>
                <a:sysClr val="windowText" lastClr="000000"/>
              </a:solidFill>
            </a:rPr>
            <a:t> PREVISIONNEL (ANALYTIQUE)</a:t>
          </a:r>
          <a:endParaRPr lang="fr-FR" sz="2000" b="1">
            <a:solidFill>
              <a:sysClr val="windowText" lastClr="000000"/>
            </a:solidFill>
          </a:endParaRPr>
        </a:p>
      </xdr:txBody>
    </xdr:sp>
    <xdr:clientData/>
  </xdr:twoCellAnchor>
  <xdr:twoCellAnchor editAs="twoCell">
    <xdr:from>
      <xdr:col>12</xdr:col>
      <xdr:colOff>52916</xdr:colOff>
      <xdr:row>18</xdr:row>
      <xdr:rowOff>90714</xdr:rowOff>
    </xdr:from>
    <xdr:to>
      <xdr:col>14</xdr:col>
      <xdr:colOff>725714</xdr:colOff>
      <xdr:row>22</xdr:row>
      <xdr:rowOff>90712</xdr:rowOff>
    </xdr:to>
    <xdr:sp>
      <xdr:nvSpPr>
        <xdr:cNvPr id="26" name="Rectangle : coins arrondis 25">
          <a:hlinkClick r:id="rId11"/>
        </xdr:cNvPr>
        <xdr:cNvSpPr/>
      </xdr:nvSpPr>
      <xdr:spPr bwMode="auto">
        <a:xfrm>
          <a:off x="9215059" y="3356428"/>
          <a:ext cx="2199822" cy="725714"/>
        </a:xfrm>
        <a:prstGeom prst="roundRect">
          <a:avLst>
            <a:gd name="adj" fmla="val 16667"/>
          </a:avLst>
        </a:prstGeom>
        <a:solidFill>
          <a:schemeClr val="bg1">
            <a:lumMod val="7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defRPr/>
          </a:pPr>
          <a:r>
            <a:rPr lang="fr-FR" sz="2000" b="1">
              <a:solidFill>
                <a:sysClr val="windowText" lastClr="000000"/>
              </a:solidFill>
            </a:rPr>
            <a:t>TRESO</a:t>
          </a:r>
          <a:r>
            <a:rPr lang="fr-FR" sz="2000" b="1">
              <a:solidFill>
                <a:sysClr val="windowText" lastClr="000000"/>
              </a:solidFill>
            </a:rPr>
            <a:t> (ANNEE 1)</a:t>
          </a:r>
          <a:endParaRPr lang="fr-FR" sz="2000" b="1">
            <a:solidFill>
              <a:sysClr val="windowText" lastClr="000000"/>
            </a:solidFill>
          </a:endParaRPr>
        </a:p>
      </xdr:txBody>
    </xdr:sp>
    <xdr:clientData/>
  </xdr:twoCellAnchor>
  <xdr:twoCellAnchor editAs="twoCell">
    <xdr:from>
      <xdr:col>12</xdr:col>
      <xdr:colOff>75596</xdr:colOff>
      <xdr:row>22</xdr:row>
      <xdr:rowOff>143630</xdr:rowOff>
    </xdr:from>
    <xdr:to>
      <xdr:col>14</xdr:col>
      <xdr:colOff>733274</xdr:colOff>
      <xdr:row>26</xdr:row>
      <xdr:rowOff>143630</xdr:rowOff>
    </xdr:to>
    <xdr:sp>
      <xdr:nvSpPr>
        <xdr:cNvPr id="27" name="Rectangle : coins arrondis 26">
          <a:hlinkClick r:id="rId12"/>
        </xdr:cNvPr>
        <xdr:cNvSpPr/>
      </xdr:nvSpPr>
      <xdr:spPr bwMode="auto">
        <a:xfrm>
          <a:off x="9237739" y="4135059"/>
          <a:ext cx="2184702" cy="725714"/>
        </a:xfrm>
        <a:prstGeom prst="roundRect">
          <a:avLst>
            <a:gd name="adj" fmla="val 16667"/>
          </a:avLst>
        </a:prstGeom>
        <a:solidFill>
          <a:schemeClr val="tx1">
            <a:lumMod val="50000"/>
            <a:lumOff val="50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defRPr/>
          </a:pPr>
          <a:r>
            <a:rPr lang="fr-FR" sz="1800" b="1">
              <a:solidFill>
                <a:sysClr val="windowText" lastClr="000000"/>
              </a:solidFill>
            </a:rPr>
            <a:t>SUIVI BUDGETAIRE</a:t>
          </a:r>
          <a:endParaRPr/>
        </a:p>
      </xdr:txBody>
    </xdr:sp>
    <xdr:clientData/>
  </xdr:twoCellAnchor>
  <xdr:twoCellAnchor editAs="twoCell">
    <xdr:from>
      <xdr:col>15</xdr:col>
      <xdr:colOff>22677</xdr:colOff>
      <xdr:row>18</xdr:row>
      <xdr:rowOff>83155</xdr:rowOff>
    </xdr:from>
    <xdr:to>
      <xdr:col>17</xdr:col>
      <xdr:colOff>695476</xdr:colOff>
      <xdr:row>22</xdr:row>
      <xdr:rowOff>83154</xdr:rowOff>
    </xdr:to>
    <xdr:sp>
      <xdr:nvSpPr>
        <xdr:cNvPr id="28" name="Rectangle : coins arrondis 27">
          <a:hlinkClick r:id="rId13"/>
        </xdr:cNvPr>
        <xdr:cNvSpPr/>
      </xdr:nvSpPr>
      <xdr:spPr bwMode="auto">
        <a:xfrm>
          <a:off x="11475356" y="3348869"/>
          <a:ext cx="2199822" cy="725714"/>
        </a:xfrm>
        <a:prstGeom prst="roundRect">
          <a:avLst>
            <a:gd name="adj" fmla="val 16667"/>
          </a:avLst>
        </a:prstGeom>
        <a:solidFill>
          <a:schemeClr val="bg1">
            <a:lumMod val="7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marL="0" indent="0" algn="ctr">
            <a:defRPr/>
          </a:pPr>
          <a:r>
            <a:rPr lang="fr-FR" sz="2000" b="1">
              <a:solidFill>
                <a:sysClr val="windowText" lastClr="000000"/>
              </a:solidFill>
              <a:latin typeface="+mn-lt"/>
              <a:ea typeface="+mn-ea"/>
              <a:cs typeface="+mn-cs"/>
            </a:rPr>
            <a:t>TRESO (ANNEE 2)</a:t>
          </a:r>
          <a:endParaRPr/>
        </a:p>
      </xdr:txBody>
    </xdr:sp>
    <xdr:clientData/>
  </xdr:twoCellAnchor>
  <xdr:twoCellAnchor editAs="twoCell">
    <xdr:from>
      <xdr:col>15</xdr:col>
      <xdr:colOff>30237</xdr:colOff>
      <xdr:row>22</xdr:row>
      <xdr:rowOff>136070</xdr:rowOff>
    </xdr:from>
    <xdr:to>
      <xdr:col>17</xdr:col>
      <xdr:colOff>687916</xdr:colOff>
      <xdr:row>26</xdr:row>
      <xdr:rowOff>136070</xdr:rowOff>
    </xdr:to>
    <xdr:sp>
      <xdr:nvSpPr>
        <xdr:cNvPr id="29" name="Rectangle : coins arrondis 28">
          <a:hlinkClick r:id="rId14"/>
        </xdr:cNvPr>
        <xdr:cNvSpPr/>
      </xdr:nvSpPr>
      <xdr:spPr bwMode="auto">
        <a:xfrm>
          <a:off x="11482916" y="4127499"/>
          <a:ext cx="2184703" cy="725714"/>
        </a:xfrm>
        <a:prstGeom prst="roundRect">
          <a:avLst>
            <a:gd name="adj" fmla="val 16667"/>
          </a:avLst>
        </a:prstGeom>
        <a:solidFill>
          <a:schemeClr val="tx1">
            <a:lumMod val="50000"/>
            <a:lumOff val="50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defRPr/>
          </a:pPr>
          <a:r>
            <a:rPr lang="fr-FR" sz="1800" b="1">
              <a:solidFill>
                <a:sysClr val="windowText" lastClr="000000"/>
              </a:solidFill>
            </a:rPr>
            <a:t>TABLEAU DE BORD</a:t>
          </a:r>
          <a:endParaRPr/>
        </a:p>
      </xdr:txBody>
    </xdr:sp>
    <xdr:clientData/>
  </xdr:twoCellAnchor>
  <xdr:twoCellAnchor editAs="oneCell">
    <xdr:from>
      <xdr:col>15</xdr:col>
      <xdr:colOff>755951</xdr:colOff>
      <xdr:row>0</xdr:row>
      <xdr:rowOff>15119</xdr:rowOff>
    </xdr:from>
    <xdr:to>
      <xdr:col>18</xdr:col>
      <xdr:colOff>22679</xdr:colOff>
      <xdr:row>8</xdr:row>
      <xdr:rowOff>95509</xdr:rowOff>
    </xdr:to>
    <xdr:pic>
      <xdr:nvPicPr>
        <xdr:cNvPr id="30" name="Image 29" descr="icône Home en PNG, ICO ou ICNS | Icônes vectorielles gratuites">
          <a:hlinkClick r:id="rId15"/>
        </xdr:cNvPr>
        <xdr:cNvPicPr>
          <a:picLocks noChangeAspect="1" noChangeArrowheads="1"/>
        </xdr:cNvPicPr>
      </xdr:nvPicPr>
      <xdr:blipFill rotWithShape="1">
        <a:blip r:embed="rId16">
          <a:biLevel thresh="50000"/>
        </a:blip>
        <a:stretch/>
      </xdr:blipFill>
      <xdr:spPr bwMode="auto">
        <a:xfrm>
          <a:off x="12208630" y="15120"/>
          <a:ext cx="1557263" cy="1531819"/>
        </a:xfrm>
        <a:prstGeom prst="rect">
          <a:avLst/>
        </a:prstGeom>
        <a:noFill/>
      </xdr:spPr>
    </xdr:pic>
    <xdr:clientData/>
  </xdr:twoCellAnchor>
  <xdr:twoCellAnchor editAs="oneCell">
    <xdr:from>
      <xdr:col>14</xdr:col>
      <xdr:colOff>63493</xdr:colOff>
      <xdr:row>0</xdr:row>
      <xdr:rowOff>136072</xdr:rowOff>
    </xdr:from>
    <xdr:to>
      <xdr:col>15</xdr:col>
      <xdr:colOff>582082</xdr:colOff>
      <xdr:row>7</xdr:row>
      <xdr:rowOff>128512</xdr:rowOff>
    </xdr:to>
    <xdr:pic>
      <xdr:nvPicPr>
        <xdr:cNvPr id="31" name="Image 30" descr="Icône Informations dans Typicons">
          <a:hlinkClick r:id="rId17"/>
        </xdr:cNvPr>
        <xdr:cNvPicPr>
          <a:picLocks noChangeAspect="1" noChangeArrowheads="1"/>
        </xdr:cNvPicPr>
      </xdr:nvPicPr>
      <xdr:blipFill rotWithShape="1">
        <a:blip r:embed="rId18">
          <a:clrChange>
            <a:clrFrom>
              <a:srgbClr val="FFFFFF"/>
            </a:clrFrom>
            <a:clrTo>
              <a:srgbClr val="FFFFFF">
                <a:alpha val="0"/>
              </a:srgbClr>
            </a:clrTo>
          </a:clrChange>
        </a:blip>
        <a:stretch/>
      </xdr:blipFill>
      <xdr:spPr bwMode="auto">
        <a:xfrm>
          <a:off x="10752660" y="136072"/>
          <a:ext cx="1282101" cy="1262440"/>
        </a:xfrm>
        <a:prstGeom prst="rect">
          <a:avLst/>
        </a:prstGeom>
        <a:noFill/>
      </xdr:spPr>
    </xdr:pic>
    <xdr:clientData/>
  </xdr:twoCellAnchor>
  <xdr:twoCellAnchor editAs="oneCell">
    <xdr:from>
      <xdr:col>12</xdr:col>
      <xdr:colOff>166310</xdr:colOff>
      <xdr:row>1</xdr:row>
      <xdr:rowOff>37796</xdr:rowOff>
    </xdr:from>
    <xdr:to>
      <xdr:col>13</xdr:col>
      <xdr:colOff>397465</xdr:colOff>
      <xdr:row>8</xdr:row>
      <xdr:rowOff>30239</xdr:rowOff>
    </xdr:to>
    <xdr:pic>
      <xdr:nvPicPr>
        <xdr:cNvPr id="33" name="Image 32" descr="Contact Ami Icône - Images vectorielles gratuites sur Pixabay">
          <a:hlinkClick r:id="rId19"/>
        </xdr:cNvPr>
        <xdr:cNvPicPr>
          <a:picLocks noChangeAspect="1" noChangeArrowheads="1"/>
        </xdr:cNvPicPr>
      </xdr:nvPicPr>
      <xdr:blipFill rotWithShape="1">
        <a:blip r:embed="rId20"/>
        <a:stretch/>
      </xdr:blipFill>
      <xdr:spPr bwMode="auto">
        <a:xfrm>
          <a:off x="9328453" y="219226"/>
          <a:ext cx="994667" cy="1262442"/>
        </a:xfrm>
        <a:prstGeom prst="rect">
          <a:avLst/>
        </a:prstGeom>
        <a:noFill/>
      </xdr:spPr>
    </xdr:pic>
    <xdr:clientData/>
  </xdr:twoCellAnchor>
  <xdr:twoCellAnchor editAs="twoCell">
    <xdr:from>
      <xdr:col>8</xdr:col>
      <xdr:colOff>718155</xdr:colOff>
      <xdr:row>3</xdr:row>
      <xdr:rowOff>60476</xdr:rowOff>
    </xdr:from>
    <xdr:to>
      <xdr:col>11</xdr:col>
      <xdr:colOff>695476</xdr:colOff>
      <xdr:row>9</xdr:row>
      <xdr:rowOff>127605</xdr:rowOff>
    </xdr:to>
    <xdr:sp>
      <xdr:nvSpPr>
        <xdr:cNvPr id="35" name="ZoneTexte 34"/>
        <xdr:cNvSpPr txBox="1"/>
      </xdr:nvSpPr>
      <xdr:spPr bwMode="auto">
        <a:xfrm>
          <a:off x="6826250" y="604762"/>
          <a:ext cx="2267857" cy="1155699"/>
        </a:xfrm>
        <a:prstGeom prst="rect">
          <a:avLst/>
        </a:prstGeom>
        <a:noFill/>
      </xdr:spPr>
      <xdr:style>
        <a:lnRef idx="0">
          <a:srgbClr val="000000"/>
        </a:lnRef>
        <a:fillRef idx="0">
          <a:srgbClr val="000000"/>
        </a:fillRef>
        <a:effectRef idx="0">
          <a:srgbClr val="000000"/>
        </a:effectRef>
        <a:fontRef idx="minor">
          <a:schemeClr val="tx1"/>
        </a:fontRef>
      </xdr:style>
      <xdr:txBody>
        <a:bodyPr vertOverflow="clip" horzOverflow="clip" wrap="square" rtlCol="0" anchor="t">
          <a:noAutofit/>
        </a:bodyPr>
        <a:lstStyle/>
        <a:p>
          <a:pPr>
            <a:defRPr/>
          </a:pPr>
          <a:r>
            <a:rPr lang="fr-FR" sz="4400" b="0">
              <a:solidFill>
                <a:srgbClr val="0070C0"/>
              </a:solidFill>
              <a:latin typeface="MV Boli"/>
              <a:cs typeface="MV Boli"/>
            </a:rPr>
            <a:t>Acc</a:t>
          </a:r>
          <a:r>
            <a:rPr lang="fr-FR" sz="5400" b="0">
              <a:solidFill>
                <a:srgbClr val="E533AA"/>
              </a:solidFill>
              <a:latin typeface="MV Boli"/>
              <a:cs typeface="MV Boli"/>
            </a:rPr>
            <a:t>'</a:t>
          </a:r>
          <a:r>
            <a:rPr lang="fr-FR" sz="4400" b="0">
              <a:solidFill>
                <a:srgbClr val="0070C0"/>
              </a:solidFill>
              <a:latin typeface="MV Boli"/>
              <a:cs typeface="MV Boli"/>
            </a:rPr>
            <a:t>ESS</a:t>
          </a:r>
          <a:endParaRPr/>
        </a:p>
      </xdr:txBody>
    </xdr:sp>
    <xdr:clientData/>
  </xdr:twoCellAnchor>
</xdr:wsDr>
</file>

<file path=xl/drawings/drawing2.xml><?xml version="1.0" encoding="utf-8"?>
<xdr:wsDr xmlns:xdr="http://schemas.openxmlformats.org/drawingml/2006/spreadsheetDrawing" xmlns:a="http://schemas.openxmlformats.org/drawingml/2006/main" xmlns:r="http://schemas.openxmlformats.org/officeDocument/2006/relationships" xmlns:m="http://schemas.openxmlformats.org/officeDocument/2006/math" xmlns:w="http://schemas.openxmlformats.org/wordprocessingml/2006/main">
  <xdr:twoCellAnchor editAs="oneCell">
    <xdr:from>
      <xdr:col>15</xdr:col>
      <xdr:colOff>117927</xdr:colOff>
      <xdr:row>0</xdr:row>
      <xdr:rowOff>27214</xdr:rowOff>
    </xdr:from>
    <xdr:to>
      <xdr:col>15</xdr:col>
      <xdr:colOff>598715</xdr:colOff>
      <xdr:row>1</xdr:row>
      <xdr:rowOff>237075</xdr:rowOff>
    </xdr:to>
    <xdr:pic>
      <xdr:nvPicPr>
        <xdr:cNvPr id="3" name="Image 2" descr="icône Home en PNG, ICO ou ICNS | Icônes vectorielles gratuites">
          <a:hlinkClick r:id="rId1"/>
        </xdr:cNvPr>
        <xdr:cNvPicPr>
          <a:picLocks noChangeAspect="1" noChangeArrowheads="1"/>
        </xdr:cNvPicPr>
      </xdr:nvPicPr>
      <xdr:blipFill rotWithShape="1">
        <a:blip r:embed="rId2">
          <a:biLevel thresh="50000"/>
        </a:blip>
        <a:stretch/>
      </xdr:blipFill>
      <xdr:spPr bwMode="auto">
        <a:xfrm>
          <a:off x="15893142" y="27215"/>
          <a:ext cx="480787" cy="472931"/>
        </a:xfrm>
        <a:prstGeom prst="rect">
          <a:avLst/>
        </a:prstGeom>
        <a:noFill/>
      </xdr:spPr>
    </xdr:pic>
    <xdr:clientData/>
  </xdr:twoCellAnchor>
  <xdr:twoCellAnchor editAs="oneCell">
    <xdr:from>
      <xdr:col>1</xdr:col>
      <xdr:colOff>408212</xdr:colOff>
      <xdr:row>1</xdr:row>
      <xdr:rowOff>36286</xdr:rowOff>
    </xdr:from>
    <xdr:to>
      <xdr:col>1</xdr:col>
      <xdr:colOff>2022927</xdr:colOff>
      <xdr:row>2</xdr:row>
      <xdr:rowOff>343113</xdr:rowOff>
    </xdr:to>
    <xdr:pic>
      <xdr:nvPicPr>
        <xdr:cNvPr id="4" name="Image 3"/>
        <xdr:cNvPicPr>
          <a:picLocks noChangeAspect="1"/>
        </xdr:cNvPicPr>
      </xdr:nvPicPr>
      <xdr:blipFill rotWithShape="1">
        <a:blip r:embed="rId3">
          <a:clrChange>
            <a:clrFrom>
              <a:srgbClr val="FFFFFF"/>
            </a:clrFrom>
            <a:clrTo>
              <a:srgbClr val="FFFFFF">
                <a:alpha val="0"/>
              </a:srgbClr>
            </a:clrTo>
          </a:clrChange>
        </a:blip>
        <a:stretch/>
      </xdr:blipFill>
      <xdr:spPr bwMode="auto">
        <a:xfrm>
          <a:off x="3129642" y="299357"/>
          <a:ext cx="1614714" cy="569899"/>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mlns:r="http://schemas.openxmlformats.org/officeDocument/2006/relationships" xmlns:m="http://schemas.openxmlformats.org/officeDocument/2006/math" xmlns:w="http://schemas.openxmlformats.org/wordprocessingml/2006/main">
  <xdr:twoCellAnchor editAs="oneCell">
    <xdr:from>
      <xdr:col>15</xdr:col>
      <xdr:colOff>90714</xdr:colOff>
      <xdr:row>0</xdr:row>
      <xdr:rowOff>0</xdr:rowOff>
    </xdr:from>
    <xdr:to>
      <xdr:col>15</xdr:col>
      <xdr:colOff>571501</xdr:colOff>
      <xdr:row>1</xdr:row>
      <xdr:rowOff>209860</xdr:rowOff>
    </xdr:to>
    <xdr:pic>
      <xdr:nvPicPr>
        <xdr:cNvPr id="3" name="Image 2" descr="icône Home en PNG, ICO ou ICNS | Icônes vectorielles gratuites">
          <a:hlinkClick r:id="rId1"/>
        </xdr:cNvPr>
        <xdr:cNvPicPr>
          <a:picLocks noChangeAspect="1" noChangeArrowheads="1"/>
        </xdr:cNvPicPr>
      </xdr:nvPicPr>
      <xdr:blipFill rotWithShape="1">
        <a:blip r:embed="rId2">
          <a:biLevel thresh="50000"/>
        </a:blip>
        <a:stretch/>
      </xdr:blipFill>
      <xdr:spPr bwMode="auto">
        <a:xfrm>
          <a:off x="15865928" y="0"/>
          <a:ext cx="480787" cy="472931"/>
        </a:xfrm>
        <a:prstGeom prst="rect">
          <a:avLst/>
        </a:prstGeom>
        <a:noFill/>
      </xdr:spPr>
    </xdr:pic>
    <xdr:clientData/>
  </xdr:twoCellAnchor>
  <xdr:twoCellAnchor editAs="oneCell">
    <xdr:from>
      <xdr:col>1</xdr:col>
      <xdr:colOff>390072</xdr:colOff>
      <xdr:row>1</xdr:row>
      <xdr:rowOff>99786</xdr:rowOff>
    </xdr:from>
    <xdr:to>
      <xdr:col>1</xdr:col>
      <xdr:colOff>2004786</xdr:colOff>
      <xdr:row>3</xdr:row>
      <xdr:rowOff>34685</xdr:rowOff>
    </xdr:to>
    <xdr:pic>
      <xdr:nvPicPr>
        <xdr:cNvPr id="4" name="Image 3"/>
        <xdr:cNvPicPr>
          <a:picLocks noChangeAspect="1"/>
        </xdr:cNvPicPr>
      </xdr:nvPicPr>
      <xdr:blipFill rotWithShape="1">
        <a:blip r:embed="rId3">
          <a:clrChange>
            <a:clrFrom>
              <a:srgbClr val="FFFFFF"/>
            </a:clrFrom>
            <a:clrTo>
              <a:srgbClr val="FFFFFF">
                <a:alpha val="0"/>
              </a:srgbClr>
            </a:clrTo>
          </a:clrChange>
        </a:blip>
        <a:stretch/>
      </xdr:blipFill>
      <xdr:spPr bwMode="auto">
        <a:xfrm>
          <a:off x="3111501" y="362857"/>
          <a:ext cx="1614714" cy="569899"/>
        </a:xfrm>
        <a:prstGeom prst="rect">
          <a:avLst/>
        </a:prstGeom>
      </xdr:spPr>
    </xdr:pic>
    <xdr:clientData/>
  </xdr:twoCellAnchor>
  <xdr:twoCellAnchor editAs="oneCell">
    <xdr:from>
      <xdr:col>15</xdr:col>
      <xdr:colOff>117927</xdr:colOff>
      <xdr:row>0</xdr:row>
      <xdr:rowOff>27214</xdr:rowOff>
    </xdr:from>
    <xdr:to>
      <xdr:col>15</xdr:col>
      <xdr:colOff>598715</xdr:colOff>
      <xdr:row>1</xdr:row>
      <xdr:rowOff>237075</xdr:rowOff>
    </xdr:to>
    <xdr:pic>
      <xdr:nvPicPr>
        <xdr:cNvPr id="2" name="Image 1" descr="icône Home en PNG, ICO ou ICNS | Icônes vectorielles gratuites">
          <a:hlinkClick r:id="rId1"/>
        </xdr:cNvPr>
        <xdr:cNvPicPr>
          <a:picLocks noChangeAspect="1" noChangeArrowheads="1"/>
        </xdr:cNvPicPr>
      </xdr:nvPicPr>
      <xdr:blipFill rotWithShape="1">
        <a:blip r:embed="rId2">
          <a:biLevel thresh="50000"/>
        </a:blip>
        <a:stretch/>
      </xdr:blipFill>
      <xdr:spPr bwMode="auto">
        <a:xfrm>
          <a:off x="18139228" y="27215"/>
          <a:ext cx="480787" cy="476560"/>
        </a:xfrm>
        <a:prstGeom prst="rect">
          <a:avLst/>
        </a:prstGeom>
        <a:noFill/>
      </xdr:spPr>
    </xdr:pic>
    <xdr:clientData/>
  </xdr:twoCellAnchor>
  <xdr:twoCellAnchor editAs="oneCell">
    <xdr:from>
      <xdr:col>15</xdr:col>
      <xdr:colOff>117927</xdr:colOff>
      <xdr:row>0</xdr:row>
      <xdr:rowOff>27214</xdr:rowOff>
    </xdr:from>
    <xdr:to>
      <xdr:col>15</xdr:col>
      <xdr:colOff>598715</xdr:colOff>
      <xdr:row>1</xdr:row>
      <xdr:rowOff>237075</xdr:rowOff>
    </xdr:to>
    <xdr:pic>
      <xdr:nvPicPr>
        <xdr:cNvPr id="6" name="Image 5" descr="icône Home en PNG, ICO ou ICNS | Icônes vectorielles gratuites">
          <a:hlinkClick r:id="rId1"/>
        </xdr:cNvPr>
        <xdr:cNvPicPr>
          <a:picLocks noChangeAspect="1" noChangeArrowheads="1"/>
        </xdr:cNvPicPr>
      </xdr:nvPicPr>
      <xdr:blipFill rotWithShape="1">
        <a:blip r:embed="rId2">
          <a:biLevel thresh="50000"/>
        </a:blip>
        <a:stretch/>
      </xdr:blipFill>
      <xdr:spPr bwMode="auto">
        <a:xfrm>
          <a:off x="18139228" y="27215"/>
          <a:ext cx="480787" cy="476560"/>
        </a:xfrm>
        <a:prstGeom prst="rect">
          <a:avLst/>
        </a:prstGeom>
        <a:noFill/>
      </xdr:spPr>
    </xdr:pic>
    <xdr:clientData/>
  </xdr:twoCellAnchor>
</xdr:wsDr>
</file>

<file path=xl/drawings/drawing4.xml><?xml version="1.0" encoding="utf-8"?>
<xdr:wsDr xmlns:xdr="http://schemas.openxmlformats.org/drawingml/2006/spreadsheetDrawing" xmlns:a="http://schemas.openxmlformats.org/drawingml/2006/main" xmlns:r="http://schemas.openxmlformats.org/officeDocument/2006/relationships" xmlns:m="http://schemas.openxmlformats.org/officeDocument/2006/math" xmlns:w="http://schemas.openxmlformats.org/wordprocessingml/2006/main">
  <xdr:twoCellAnchor editAs="oneCell">
    <xdr:from>
      <xdr:col>15</xdr:col>
      <xdr:colOff>117929</xdr:colOff>
      <xdr:row>0</xdr:row>
      <xdr:rowOff>18143</xdr:rowOff>
    </xdr:from>
    <xdr:to>
      <xdr:col>15</xdr:col>
      <xdr:colOff>598716</xdr:colOff>
      <xdr:row>1</xdr:row>
      <xdr:rowOff>228003</xdr:rowOff>
    </xdr:to>
    <xdr:pic>
      <xdr:nvPicPr>
        <xdr:cNvPr id="3" name="Image 2" descr="icône Home en PNG, ICO ou ICNS | Icônes vectorielles gratuites">
          <a:hlinkClick r:id="rId1"/>
        </xdr:cNvPr>
        <xdr:cNvPicPr>
          <a:picLocks noChangeAspect="1" noChangeArrowheads="1"/>
        </xdr:cNvPicPr>
      </xdr:nvPicPr>
      <xdr:blipFill rotWithShape="1">
        <a:blip r:embed="rId2">
          <a:biLevel thresh="50000"/>
        </a:blip>
        <a:stretch/>
      </xdr:blipFill>
      <xdr:spPr bwMode="auto">
        <a:xfrm>
          <a:off x="15893143" y="18143"/>
          <a:ext cx="480787" cy="472931"/>
        </a:xfrm>
        <a:prstGeom prst="rect">
          <a:avLst/>
        </a:prstGeom>
        <a:noFill/>
      </xdr:spPr>
    </xdr:pic>
    <xdr:clientData/>
  </xdr:twoCellAnchor>
  <xdr:twoCellAnchor editAs="oneCell">
    <xdr:from>
      <xdr:col>1</xdr:col>
      <xdr:colOff>362857</xdr:colOff>
      <xdr:row>1</xdr:row>
      <xdr:rowOff>99786</xdr:rowOff>
    </xdr:from>
    <xdr:to>
      <xdr:col>1</xdr:col>
      <xdr:colOff>1977571</xdr:colOff>
      <xdr:row>3</xdr:row>
      <xdr:rowOff>34685</xdr:rowOff>
    </xdr:to>
    <xdr:pic>
      <xdr:nvPicPr>
        <xdr:cNvPr id="4" name="Image 3"/>
        <xdr:cNvPicPr>
          <a:picLocks noChangeAspect="1"/>
        </xdr:cNvPicPr>
      </xdr:nvPicPr>
      <xdr:blipFill rotWithShape="1">
        <a:blip r:embed="rId3">
          <a:clrChange>
            <a:clrFrom>
              <a:srgbClr val="FFFFFF"/>
            </a:clrFrom>
            <a:clrTo>
              <a:srgbClr val="FFFFFF">
                <a:alpha val="0"/>
              </a:srgbClr>
            </a:clrTo>
          </a:clrChange>
        </a:blip>
        <a:stretch/>
      </xdr:blipFill>
      <xdr:spPr bwMode="auto">
        <a:xfrm>
          <a:off x="3084286" y="362857"/>
          <a:ext cx="1614714" cy="569899"/>
        </a:xfrm>
        <a:prstGeom prst="rect">
          <a:avLst/>
        </a:prstGeom>
      </xdr:spPr>
    </xdr:pic>
    <xdr:clientData/>
  </xdr:twoCellAnchor>
  <xdr:twoCellAnchor editAs="oneCell">
    <xdr:from>
      <xdr:col>15</xdr:col>
      <xdr:colOff>90714</xdr:colOff>
      <xdr:row>0</xdr:row>
      <xdr:rowOff>0</xdr:rowOff>
    </xdr:from>
    <xdr:to>
      <xdr:col>15</xdr:col>
      <xdr:colOff>571501</xdr:colOff>
      <xdr:row>1</xdr:row>
      <xdr:rowOff>209860</xdr:rowOff>
    </xdr:to>
    <xdr:pic>
      <xdr:nvPicPr>
        <xdr:cNvPr id="2" name="Image 1" descr="icône Home en PNG, ICO ou ICNS | Icônes vectorielles gratuites">
          <a:hlinkClick r:id="rId1"/>
        </xdr:cNvPr>
        <xdr:cNvPicPr>
          <a:picLocks noChangeAspect="1" noChangeArrowheads="1"/>
        </xdr:cNvPicPr>
      </xdr:nvPicPr>
      <xdr:blipFill rotWithShape="1">
        <a:blip r:embed="rId2">
          <a:biLevel thresh="50000"/>
        </a:blip>
        <a:stretch/>
      </xdr:blipFill>
      <xdr:spPr bwMode="auto">
        <a:xfrm>
          <a:off x="18112014" y="0"/>
          <a:ext cx="480787" cy="476560"/>
        </a:xfrm>
        <a:prstGeom prst="rect">
          <a:avLst/>
        </a:prstGeom>
        <a:noFill/>
      </xdr:spPr>
    </xdr:pic>
    <xdr:clientData/>
  </xdr:twoCellAnchor>
  <xdr:twoCellAnchor editAs="oneCell">
    <xdr:from>
      <xdr:col>15</xdr:col>
      <xdr:colOff>117927</xdr:colOff>
      <xdr:row>0</xdr:row>
      <xdr:rowOff>27214</xdr:rowOff>
    </xdr:from>
    <xdr:to>
      <xdr:col>15</xdr:col>
      <xdr:colOff>598715</xdr:colOff>
      <xdr:row>1</xdr:row>
      <xdr:rowOff>237075</xdr:rowOff>
    </xdr:to>
    <xdr:pic>
      <xdr:nvPicPr>
        <xdr:cNvPr id="6" name="Image 5" descr="icône Home en PNG, ICO ou ICNS | Icônes vectorielles gratuites">
          <a:hlinkClick r:id="rId1"/>
        </xdr:cNvPr>
        <xdr:cNvPicPr>
          <a:picLocks noChangeAspect="1" noChangeArrowheads="1"/>
        </xdr:cNvPicPr>
      </xdr:nvPicPr>
      <xdr:blipFill rotWithShape="1">
        <a:blip r:embed="rId2">
          <a:biLevel thresh="50000"/>
        </a:blip>
        <a:stretch/>
      </xdr:blipFill>
      <xdr:spPr bwMode="auto">
        <a:xfrm>
          <a:off x="18139228" y="27215"/>
          <a:ext cx="480787" cy="476560"/>
        </a:xfrm>
        <a:prstGeom prst="rect">
          <a:avLst/>
        </a:prstGeom>
        <a:noFill/>
      </xdr:spPr>
    </xdr:pic>
    <xdr:clientData/>
  </xdr:twoCellAnchor>
  <xdr:twoCellAnchor editAs="oneCell">
    <xdr:from>
      <xdr:col>15</xdr:col>
      <xdr:colOff>117927</xdr:colOff>
      <xdr:row>0</xdr:row>
      <xdr:rowOff>27214</xdr:rowOff>
    </xdr:from>
    <xdr:to>
      <xdr:col>15</xdr:col>
      <xdr:colOff>598715</xdr:colOff>
      <xdr:row>1</xdr:row>
      <xdr:rowOff>237075</xdr:rowOff>
    </xdr:to>
    <xdr:pic>
      <xdr:nvPicPr>
        <xdr:cNvPr id="7" name="Image 6" descr="icône Home en PNG, ICO ou ICNS | Icônes vectorielles gratuites">
          <a:hlinkClick r:id="rId1"/>
        </xdr:cNvPr>
        <xdr:cNvPicPr>
          <a:picLocks noChangeAspect="1" noChangeArrowheads="1"/>
        </xdr:cNvPicPr>
      </xdr:nvPicPr>
      <xdr:blipFill rotWithShape="1">
        <a:blip r:embed="rId2">
          <a:biLevel thresh="50000"/>
        </a:blip>
        <a:stretch/>
      </xdr:blipFill>
      <xdr:spPr bwMode="auto">
        <a:xfrm>
          <a:off x="18139228" y="27215"/>
          <a:ext cx="480787" cy="476560"/>
        </a:xfrm>
        <a:prstGeom prst="rect">
          <a:avLst/>
        </a:prstGeom>
        <a:noFill/>
      </xdr:spPr>
    </xdr:pic>
    <xdr:clientData/>
  </xdr:twoCellAnchor>
</xdr:wsDr>
</file>

<file path=xl/drawings/drawing5.xml><?xml version="1.0" encoding="utf-8"?>
<xdr:wsDr xmlns:xdr="http://schemas.openxmlformats.org/drawingml/2006/spreadsheetDrawing" xmlns:a="http://schemas.openxmlformats.org/drawingml/2006/main" xmlns:r="http://schemas.openxmlformats.org/officeDocument/2006/relationships" xmlns:m="http://schemas.openxmlformats.org/officeDocument/2006/math" xmlns:w="http://schemas.openxmlformats.org/wordprocessingml/2006/main">
  <xdr:twoCellAnchor editAs="oneCell">
    <xdr:from>
      <xdr:col>13</xdr:col>
      <xdr:colOff>254000</xdr:colOff>
      <xdr:row>0</xdr:row>
      <xdr:rowOff>0</xdr:rowOff>
    </xdr:from>
    <xdr:to>
      <xdr:col>13</xdr:col>
      <xdr:colOff>734787</xdr:colOff>
      <xdr:row>1</xdr:row>
      <xdr:rowOff>209860</xdr:rowOff>
    </xdr:to>
    <xdr:pic>
      <xdr:nvPicPr>
        <xdr:cNvPr id="3" name="Image 2" descr="icône Home en PNG, ICO ou ICNS | Icônes vectorielles gratuites">
          <a:hlinkClick r:id="rId1"/>
        </xdr:cNvPr>
        <xdr:cNvPicPr>
          <a:picLocks noChangeAspect="1" noChangeArrowheads="1"/>
        </xdr:cNvPicPr>
      </xdr:nvPicPr>
      <xdr:blipFill rotWithShape="1">
        <a:blip r:embed="rId2">
          <a:biLevel thresh="50000"/>
        </a:blip>
        <a:stretch/>
      </xdr:blipFill>
      <xdr:spPr bwMode="auto">
        <a:xfrm>
          <a:off x="15838714" y="0"/>
          <a:ext cx="480787" cy="472931"/>
        </a:xfrm>
        <a:prstGeom prst="rect">
          <a:avLst/>
        </a:prstGeom>
        <a:noFill/>
      </xdr:spPr>
    </xdr:pic>
    <xdr:clientData/>
  </xdr:twoCellAnchor>
  <xdr:twoCellAnchor editAs="oneCell">
    <xdr:from>
      <xdr:col>1</xdr:col>
      <xdr:colOff>417286</xdr:colOff>
      <xdr:row>1</xdr:row>
      <xdr:rowOff>27214</xdr:rowOff>
    </xdr:from>
    <xdr:to>
      <xdr:col>1</xdr:col>
      <xdr:colOff>1750331</xdr:colOff>
      <xdr:row>3</xdr:row>
      <xdr:rowOff>56563</xdr:rowOff>
    </xdr:to>
    <xdr:pic>
      <xdr:nvPicPr>
        <xdr:cNvPr id="4" name="Image 3"/>
        <xdr:cNvPicPr>
          <a:picLocks noChangeAspect="1"/>
        </xdr:cNvPicPr>
      </xdr:nvPicPr>
      <xdr:blipFill rotWithShape="1">
        <a:blip r:embed="rId3">
          <a:clrChange>
            <a:clrFrom>
              <a:srgbClr val="FFFFFF"/>
            </a:clrFrom>
            <a:clrTo>
              <a:srgbClr val="FFFFFF">
                <a:alpha val="0"/>
              </a:srgbClr>
            </a:clrTo>
          </a:clrChange>
        </a:blip>
        <a:stretch/>
      </xdr:blipFill>
      <xdr:spPr bwMode="auto">
        <a:xfrm>
          <a:off x="3592286" y="290285"/>
          <a:ext cx="1342571" cy="473849"/>
        </a:xfrm>
        <a:prstGeom prst="rect">
          <a:avLst/>
        </a:prstGeom>
      </xdr:spPr>
    </xdr:pic>
    <xdr:clientData/>
  </xdr:twoCellAnchor>
</xdr:wsDr>
</file>

<file path=xl/drawings/drawing6.xml><?xml version="1.0" encoding="utf-8"?>
<xdr:wsDr xmlns:xdr="http://schemas.openxmlformats.org/drawingml/2006/spreadsheetDrawing" xmlns:a="http://schemas.openxmlformats.org/drawingml/2006/main" xmlns:r="http://schemas.openxmlformats.org/officeDocument/2006/relationships" xmlns:m="http://schemas.openxmlformats.org/officeDocument/2006/math" xmlns:w="http://schemas.openxmlformats.org/wordprocessingml/2006/main">
  <xdr:twoCellAnchor editAs="oneCell">
    <xdr:from>
      <xdr:col>13</xdr:col>
      <xdr:colOff>254000</xdr:colOff>
      <xdr:row>0</xdr:row>
      <xdr:rowOff>0</xdr:rowOff>
    </xdr:from>
    <xdr:to>
      <xdr:col>13</xdr:col>
      <xdr:colOff>734787</xdr:colOff>
      <xdr:row>1</xdr:row>
      <xdr:rowOff>209860</xdr:rowOff>
    </xdr:to>
    <xdr:pic>
      <xdr:nvPicPr>
        <xdr:cNvPr id="3" name="Image 2" descr="icône Home en PNG, ICO ou ICNS | Icônes vectorielles gratuites">
          <a:hlinkClick r:id="rId1"/>
        </xdr:cNvPr>
        <xdr:cNvPicPr>
          <a:picLocks noChangeAspect="1" noChangeArrowheads="1"/>
        </xdr:cNvPicPr>
      </xdr:nvPicPr>
      <xdr:blipFill rotWithShape="1">
        <a:blip r:embed="rId2">
          <a:biLevel thresh="50000"/>
        </a:blip>
        <a:stretch/>
      </xdr:blipFill>
      <xdr:spPr bwMode="auto">
        <a:xfrm>
          <a:off x="15838714" y="0"/>
          <a:ext cx="480787" cy="472931"/>
        </a:xfrm>
        <a:prstGeom prst="rect">
          <a:avLst/>
        </a:prstGeom>
        <a:noFill/>
      </xdr:spPr>
    </xdr:pic>
    <xdr:clientData/>
  </xdr:twoCellAnchor>
  <xdr:twoCellAnchor editAs="oneCell">
    <xdr:from>
      <xdr:col>1</xdr:col>
      <xdr:colOff>399143</xdr:colOff>
      <xdr:row>1</xdr:row>
      <xdr:rowOff>18143</xdr:rowOff>
    </xdr:from>
    <xdr:to>
      <xdr:col>1</xdr:col>
      <xdr:colOff>1741714</xdr:colOff>
      <xdr:row>3</xdr:row>
      <xdr:rowOff>47492</xdr:rowOff>
    </xdr:to>
    <xdr:pic>
      <xdr:nvPicPr>
        <xdr:cNvPr id="4" name="Image 3"/>
        <xdr:cNvPicPr>
          <a:picLocks noChangeAspect="1"/>
        </xdr:cNvPicPr>
      </xdr:nvPicPr>
      <xdr:blipFill rotWithShape="1">
        <a:blip r:embed="rId3">
          <a:clrChange>
            <a:clrFrom>
              <a:srgbClr val="FFFFFF"/>
            </a:clrFrom>
            <a:clrTo>
              <a:srgbClr val="FFFFFF">
                <a:alpha val="0"/>
              </a:srgbClr>
            </a:clrTo>
          </a:clrChange>
        </a:blip>
        <a:stretch/>
      </xdr:blipFill>
      <xdr:spPr bwMode="auto">
        <a:xfrm>
          <a:off x="3574143" y="281214"/>
          <a:ext cx="1342571" cy="473849"/>
        </a:xfrm>
        <a:prstGeom prst="rect">
          <a:avLst/>
        </a:prstGeom>
      </xdr:spPr>
    </xdr:pic>
    <xdr:clientData/>
  </xdr:twoCellAnchor>
</xdr:wsDr>
</file>

<file path=xl/drawings/drawing7.xml><?xml version="1.0" encoding="utf-8"?>
<xdr:wsDr xmlns:xdr="http://schemas.openxmlformats.org/drawingml/2006/spreadsheetDrawing" xmlns:a="http://schemas.openxmlformats.org/drawingml/2006/main" xmlns:r="http://schemas.openxmlformats.org/officeDocument/2006/relationships" xmlns:m="http://schemas.openxmlformats.org/officeDocument/2006/math" xmlns:w="http://schemas.openxmlformats.org/wordprocessingml/2006/main">
  <xdr:twoCellAnchor editAs="oneCell">
    <xdr:from>
      <xdr:col>13</xdr:col>
      <xdr:colOff>235857</xdr:colOff>
      <xdr:row>0</xdr:row>
      <xdr:rowOff>0</xdr:rowOff>
    </xdr:from>
    <xdr:to>
      <xdr:col>13</xdr:col>
      <xdr:colOff>716644</xdr:colOff>
      <xdr:row>1</xdr:row>
      <xdr:rowOff>209860</xdr:rowOff>
    </xdr:to>
    <xdr:pic>
      <xdr:nvPicPr>
        <xdr:cNvPr id="3" name="Image 2" descr="icône Home en PNG, ICO ou ICNS | Icônes vectorielles gratuites">
          <a:hlinkClick r:id="rId1"/>
        </xdr:cNvPr>
        <xdr:cNvPicPr>
          <a:picLocks noChangeAspect="1" noChangeArrowheads="1"/>
        </xdr:cNvPicPr>
      </xdr:nvPicPr>
      <xdr:blipFill rotWithShape="1">
        <a:blip r:embed="rId2">
          <a:biLevel thresh="50000"/>
        </a:blip>
        <a:stretch/>
      </xdr:blipFill>
      <xdr:spPr bwMode="auto">
        <a:xfrm>
          <a:off x="15820571" y="0"/>
          <a:ext cx="480787" cy="472931"/>
        </a:xfrm>
        <a:prstGeom prst="rect">
          <a:avLst/>
        </a:prstGeom>
        <a:noFill/>
      </xdr:spPr>
    </xdr:pic>
    <xdr:clientData/>
  </xdr:twoCellAnchor>
  <xdr:twoCellAnchor editAs="oneCell">
    <xdr:from>
      <xdr:col>1</xdr:col>
      <xdr:colOff>408214</xdr:colOff>
      <xdr:row>1</xdr:row>
      <xdr:rowOff>0</xdr:rowOff>
    </xdr:from>
    <xdr:to>
      <xdr:col>1</xdr:col>
      <xdr:colOff>1750785</xdr:colOff>
      <xdr:row>3</xdr:row>
      <xdr:rowOff>29349</xdr:rowOff>
    </xdr:to>
    <xdr:pic>
      <xdr:nvPicPr>
        <xdr:cNvPr id="4" name="Image 3"/>
        <xdr:cNvPicPr>
          <a:picLocks noChangeAspect="1"/>
        </xdr:cNvPicPr>
      </xdr:nvPicPr>
      <xdr:blipFill rotWithShape="1">
        <a:blip r:embed="rId3">
          <a:clrChange>
            <a:clrFrom>
              <a:srgbClr val="FFFFFF"/>
            </a:clrFrom>
            <a:clrTo>
              <a:srgbClr val="FFFFFF">
                <a:alpha val="0"/>
              </a:srgbClr>
            </a:clrTo>
          </a:clrChange>
        </a:blip>
        <a:stretch/>
      </xdr:blipFill>
      <xdr:spPr bwMode="auto">
        <a:xfrm>
          <a:off x="3583214" y="263071"/>
          <a:ext cx="1342571" cy="473849"/>
        </a:xfrm>
        <a:prstGeom prst="rect">
          <a:avLst/>
        </a:prstGeom>
      </xdr:spPr>
    </xdr:pic>
    <xdr:clientData/>
  </xdr:twoCellAnchor>
</xdr:wsDr>
</file>

<file path=xl/drawings/drawing8.xml><?xml version="1.0" encoding="utf-8"?>
<xdr:wsDr xmlns:xdr="http://schemas.openxmlformats.org/drawingml/2006/spreadsheetDrawing" xmlns:a="http://schemas.openxmlformats.org/drawingml/2006/main" xmlns:r="http://schemas.openxmlformats.org/officeDocument/2006/relationships" xmlns:m="http://schemas.openxmlformats.org/officeDocument/2006/math" xmlns:w="http://schemas.openxmlformats.org/wordprocessingml/2006/main">
  <xdr:twoCellAnchor editAs="oneCell">
    <xdr:from>
      <xdr:col>20</xdr:col>
      <xdr:colOff>349249</xdr:colOff>
      <xdr:row>0</xdr:row>
      <xdr:rowOff>0</xdr:rowOff>
    </xdr:from>
    <xdr:to>
      <xdr:col>20</xdr:col>
      <xdr:colOff>830037</xdr:colOff>
      <xdr:row>2</xdr:row>
      <xdr:rowOff>12556</xdr:rowOff>
    </xdr:to>
    <xdr:pic>
      <xdr:nvPicPr>
        <xdr:cNvPr id="4" name="Image 3" descr="icône Home en PNG, ICO ou ICNS | Icônes vectorielles gratuites">
          <a:hlinkClick r:id="rId1"/>
        </xdr:cNvPr>
        <xdr:cNvPicPr>
          <a:picLocks noChangeAspect="1" noChangeArrowheads="1"/>
        </xdr:cNvPicPr>
      </xdr:nvPicPr>
      <xdr:blipFill rotWithShape="1">
        <a:blip r:embed="rId2">
          <a:biLevel thresh="50000"/>
        </a:blip>
        <a:stretch/>
      </xdr:blipFill>
      <xdr:spPr bwMode="auto">
        <a:xfrm>
          <a:off x="24018875" y="0"/>
          <a:ext cx="480787" cy="472931"/>
        </a:xfrm>
        <a:prstGeom prst="rect">
          <a:avLst/>
        </a:prstGeom>
        <a:noFill/>
      </xdr:spPr>
    </xdr:pic>
    <xdr:clientData/>
  </xdr:twoCellAnchor>
  <xdr:twoCellAnchor editAs="oneCell">
    <xdr:from>
      <xdr:col>20</xdr:col>
      <xdr:colOff>1127126</xdr:colOff>
      <xdr:row>0</xdr:row>
      <xdr:rowOff>0</xdr:rowOff>
    </xdr:from>
    <xdr:to>
      <xdr:col>21</xdr:col>
      <xdr:colOff>741997</xdr:colOff>
      <xdr:row>1</xdr:row>
      <xdr:rowOff>158750</xdr:rowOff>
    </xdr:to>
    <xdr:pic>
      <xdr:nvPicPr>
        <xdr:cNvPr id="6" name="Image 5"/>
        <xdr:cNvPicPr>
          <a:picLocks noChangeAspect="1"/>
        </xdr:cNvPicPr>
      </xdr:nvPicPr>
      <xdr:blipFill rotWithShape="1">
        <a:blip r:embed="rId3">
          <a:clrChange>
            <a:clrFrom>
              <a:srgbClr val="FFFFFF"/>
            </a:clrFrom>
            <a:clrTo>
              <a:srgbClr val="FFFFFF">
                <a:alpha val="0"/>
              </a:srgbClr>
            </a:clrTo>
          </a:clrChange>
        </a:blip>
        <a:stretch/>
      </xdr:blipFill>
      <xdr:spPr bwMode="auto">
        <a:xfrm>
          <a:off x="24796751" y="0"/>
          <a:ext cx="1214436" cy="428625"/>
        </a:xfrm>
        <a:prstGeom prst="rect">
          <a:avLst/>
        </a:prstGeom>
      </xdr:spPr>
    </xdr:pic>
    <xdr:clientData/>
  </xdr:twoCellAnchor>
</xdr:wsDr>
</file>

<file path=xl/drawings/drawing9.xml><?xml version="1.0" encoding="utf-8"?>
<xdr:wsDr xmlns:xdr="http://schemas.openxmlformats.org/drawingml/2006/spreadsheetDrawing" xmlns:a="http://schemas.openxmlformats.org/drawingml/2006/main" xmlns:r="http://schemas.openxmlformats.org/officeDocument/2006/relationships" xmlns:m="http://schemas.openxmlformats.org/officeDocument/2006/math" xmlns:w="http://schemas.openxmlformats.org/wordprocessingml/2006/main">
  <xdr:twoCellAnchor editAs="oneCell">
    <xdr:from>
      <xdr:col>12</xdr:col>
      <xdr:colOff>88900</xdr:colOff>
      <xdr:row>0</xdr:row>
      <xdr:rowOff>146050</xdr:rowOff>
    </xdr:from>
    <xdr:to>
      <xdr:col>13</xdr:col>
      <xdr:colOff>2721</xdr:colOff>
      <xdr:row>1</xdr:row>
      <xdr:rowOff>155975</xdr:rowOff>
    </xdr:to>
    <xdr:pic>
      <xdr:nvPicPr>
        <xdr:cNvPr id="3" name="Image 2"/>
        <xdr:cNvPicPr>
          <a:picLocks noChangeAspect="1"/>
        </xdr:cNvPicPr>
      </xdr:nvPicPr>
      <xdr:blipFill rotWithShape="1">
        <a:blip r:embed="rId1">
          <a:clrChange>
            <a:clrFrom>
              <a:srgbClr val="FFFFFF"/>
            </a:clrFrom>
            <a:clrTo>
              <a:srgbClr val="FFFFFF">
                <a:alpha val="0"/>
              </a:srgbClr>
            </a:clrTo>
          </a:clrChange>
        </a:blip>
        <a:stretch/>
      </xdr:blipFill>
      <xdr:spPr bwMode="auto">
        <a:xfrm>
          <a:off x="12350750" y="146050"/>
          <a:ext cx="783771" cy="276625"/>
        </a:xfrm>
        <a:prstGeom prst="rect">
          <a:avLst/>
        </a:prstGeom>
      </xdr:spPr>
    </xdr:pic>
    <xdr:clientData/>
  </xdr:twoCellAnchor>
</xdr:wsDr>
</file>

<file path=xl/drawings/drawing10.xml><?xml version="1.0" encoding="utf-8"?>
<xdr:wsDr xmlns:xdr="http://schemas.openxmlformats.org/drawingml/2006/spreadsheetDrawing" xmlns:a="http://schemas.openxmlformats.org/drawingml/2006/main" xmlns:r="http://schemas.openxmlformats.org/officeDocument/2006/relationships" xmlns:m="http://schemas.openxmlformats.org/officeDocument/2006/math" xmlns:w="http://schemas.openxmlformats.org/wordprocessingml/2006/main">
  <xdr:twoCellAnchor editAs="oneCell">
    <xdr:from>
      <xdr:col>11</xdr:col>
      <xdr:colOff>203200</xdr:colOff>
      <xdr:row>0</xdr:row>
      <xdr:rowOff>0</xdr:rowOff>
    </xdr:from>
    <xdr:to>
      <xdr:col>11</xdr:col>
      <xdr:colOff>683987</xdr:colOff>
      <xdr:row>2</xdr:row>
      <xdr:rowOff>15731</xdr:rowOff>
    </xdr:to>
    <xdr:pic>
      <xdr:nvPicPr>
        <xdr:cNvPr id="3" name="Image 2" descr="icône Home en PNG, ICO ou ICNS | Icônes vectorielles gratuites">
          <a:hlinkClick r:id="rId1"/>
        </xdr:cNvPr>
        <xdr:cNvPicPr>
          <a:picLocks noChangeAspect="1" noChangeArrowheads="1"/>
        </xdr:cNvPicPr>
      </xdr:nvPicPr>
      <xdr:blipFill rotWithShape="1">
        <a:blip r:embed="rId2">
          <a:biLevel thresh="50000"/>
        </a:blip>
        <a:stretch/>
      </xdr:blipFill>
      <xdr:spPr bwMode="auto">
        <a:xfrm>
          <a:off x="11595100" y="0"/>
          <a:ext cx="480787" cy="472931"/>
        </a:xfrm>
        <a:prstGeom prst="rect">
          <a:avLst/>
        </a:prstGeom>
        <a:noFill/>
      </xdr:spPr>
    </xdr:pic>
    <xdr:clientData/>
  </xdr:twoCellAnchor>
  <xdr:twoCellAnchor editAs="oneCell">
    <xdr:from>
      <xdr:col>12</xdr:col>
      <xdr:colOff>57150</xdr:colOff>
      <xdr:row>0</xdr:row>
      <xdr:rowOff>127000</xdr:rowOff>
    </xdr:from>
    <xdr:to>
      <xdr:col>12</xdr:col>
      <xdr:colOff>831395</xdr:colOff>
      <xdr:row>1</xdr:row>
      <xdr:rowOff>136925</xdr:rowOff>
    </xdr:to>
    <xdr:pic>
      <xdr:nvPicPr>
        <xdr:cNvPr id="4" name="Image 3"/>
        <xdr:cNvPicPr>
          <a:picLocks noChangeAspect="1"/>
        </xdr:cNvPicPr>
      </xdr:nvPicPr>
      <xdr:blipFill rotWithShape="1">
        <a:blip r:embed="rId3">
          <a:clrChange>
            <a:clrFrom>
              <a:srgbClr val="FFFFFF"/>
            </a:clrFrom>
            <a:clrTo>
              <a:srgbClr val="FFFFFF">
                <a:alpha val="0"/>
              </a:srgbClr>
            </a:clrTo>
          </a:clrChange>
        </a:blip>
        <a:stretch/>
      </xdr:blipFill>
      <xdr:spPr bwMode="auto">
        <a:xfrm>
          <a:off x="12319000" y="127000"/>
          <a:ext cx="783771" cy="276625"/>
        </a:xfrm>
        <a:prstGeom prst="rect">
          <a:avLst/>
        </a:prstGeom>
      </xdr:spPr>
    </xdr:pic>
    <xdr:clientData/>
  </xdr:twoCellAnchor>
</xdr:wsDr>
</file>

<file path=xl/drawings/drawing11.xml><?xml version="1.0" encoding="utf-8"?>
<xdr:wsDr xmlns:xdr="http://schemas.openxmlformats.org/drawingml/2006/spreadsheetDrawing" xmlns:a="http://schemas.openxmlformats.org/drawingml/2006/main" xmlns:r="http://schemas.openxmlformats.org/officeDocument/2006/relationships" xmlns:m="http://schemas.openxmlformats.org/officeDocument/2006/math" xmlns:w="http://schemas.openxmlformats.org/wordprocessingml/2006/main">
  <xdr:twoCellAnchor editAs="oneCell">
    <xdr:from>
      <xdr:col>11</xdr:col>
      <xdr:colOff>196849</xdr:colOff>
      <xdr:row>0</xdr:row>
      <xdr:rowOff>0</xdr:rowOff>
    </xdr:from>
    <xdr:to>
      <xdr:col>11</xdr:col>
      <xdr:colOff>677637</xdr:colOff>
      <xdr:row>2</xdr:row>
      <xdr:rowOff>15731</xdr:rowOff>
    </xdr:to>
    <xdr:pic>
      <xdr:nvPicPr>
        <xdr:cNvPr id="2" name="Image 1" descr="icône Home en PNG, ICO ou ICNS | Icônes vectorielles gratuites">
          <a:hlinkClick r:id="rId1"/>
        </xdr:cNvPr>
        <xdr:cNvPicPr>
          <a:picLocks noChangeAspect="1" noChangeArrowheads="1"/>
        </xdr:cNvPicPr>
      </xdr:nvPicPr>
      <xdr:blipFill rotWithShape="1">
        <a:blip r:embed="rId2">
          <a:biLevel thresh="50000"/>
        </a:blip>
        <a:stretch/>
      </xdr:blipFill>
      <xdr:spPr bwMode="auto">
        <a:xfrm>
          <a:off x="13655675" y="0"/>
          <a:ext cx="480787" cy="482456"/>
        </a:xfrm>
        <a:prstGeom prst="rect">
          <a:avLst/>
        </a:prstGeom>
        <a:noFill/>
      </xdr:spPr>
    </xdr:pic>
    <xdr:clientData/>
  </xdr:twoCellAnchor>
  <xdr:twoCellAnchor editAs="oneCell">
    <xdr:from>
      <xdr:col>12</xdr:col>
      <xdr:colOff>88900</xdr:colOff>
      <xdr:row>0</xdr:row>
      <xdr:rowOff>120650</xdr:rowOff>
    </xdr:from>
    <xdr:to>
      <xdr:col>13</xdr:col>
      <xdr:colOff>2721</xdr:colOff>
      <xdr:row>1</xdr:row>
      <xdr:rowOff>130575</xdr:rowOff>
    </xdr:to>
    <xdr:pic>
      <xdr:nvPicPr>
        <xdr:cNvPr id="3" name="Image 2"/>
        <xdr:cNvPicPr>
          <a:picLocks noChangeAspect="1"/>
        </xdr:cNvPicPr>
      </xdr:nvPicPr>
      <xdr:blipFill rotWithShape="1">
        <a:blip r:embed="rId3">
          <a:clrChange>
            <a:clrFrom>
              <a:srgbClr val="FFFFFF"/>
            </a:clrFrom>
            <a:clrTo>
              <a:srgbClr val="FFFFFF">
                <a:alpha val="0"/>
              </a:srgbClr>
            </a:clrTo>
          </a:clrChange>
        </a:blip>
        <a:stretch/>
      </xdr:blipFill>
      <xdr:spPr bwMode="auto">
        <a:xfrm>
          <a:off x="14404975" y="120650"/>
          <a:ext cx="742496" cy="276625"/>
        </a:xfrm>
        <a:prstGeom prst="rect">
          <a:avLst/>
        </a:prstGeom>
      </xdr:spPr>
    </xdr:pic>
    <xdr:clientData/>
  </xdr:twoCellAnchor>
</xdr:wsDr>
</file>

<file path=xl/drawings/drawing12.xml><?xml version="1.0" encoding="utf-8"?>
<xdr:wsDr xmlns:xdr="http://schemas.openxmlformats.org/drawingml/2006/spreadsheetDrawing" xmlns:a="http://schemas.openxmlformats.org/drawingml/2006/main" xmlns:r="http://schemas.openxmlformats.org/officeDocument/2006/relationships" xmlns:m="http://schemas.openxmlformats.org/officeDocument/2006/math" xmlns:w="http://schemas.openxmlformats.org/wordprocessingml/2006/main">
  <xdr:twoCellAnchor editAs="oneCell">
    <xdr:from>
      <xdr:col>11</xdr:col>
      <xdr:colOff>196849</xdr:colOff>
      <xdr:row>0</xdr:row>
      <xdr:rowOff>0</xdr:rowOff>
    </xdr:from>
    <xdr:to>
      <xdr:col>11</xdr:col>
      <xdr:colOff>677637</xdr:colOff>
      <xdr:row>2</xdr:row>
      <xdr:rowOff>15731</xdr:rowOff>
    </xdr:to>
    <xdr:pic>
      <xdr:nvPicPr>
        <xdr:cNvPr id="2" name="Image 1" descr="icône Home en PNG, ICO ou ICNS | Icônes vectorielles gratuites">
          <a:hlinkClick r:id="rId1"/>
        </xdr:cNvPr>
        <xdr:cNvPicPr>
          <a:picLocks noChangeAspect="1" noChangeArrowheads="1"/>
        </xdr:cNvPicPr>
      </xdr:nvPicPr>
      <xdr:blipFill rotWithShape="1">
        <a:blip r:embed="rId2">
          <a:biLevel thresh="50000"/>
        </a:blip>
        <a:stretch/>
      </xdr:blipFill>
      <xdr:spPr bwMode="auto">
        <a:xfrm>
          <a:off x="13655675" y="0"/>
          <a:ext cx="480787" cy="482456"/>
        </a:xfrm>
        <a:prstGeom prst="rect">
          <a:avLst/>
        </a:prstGeom>
        <a:noFill/>
      </xdr:spPr>
    </xdr:pic>
    <xdr:clientData/>
  </xdr:twoCellAnchor>
  <xdr:twoCellAnchor editAs="oneCell">
    <xdr:from>
      <xdr:col>12</xdr:col>
      <xdr:colOff>88900</xdr:colOff>
      <xdr:row>0</xdr:row>
      <xdr:rowOff>120650</xdr:rowOff>
    </xdr:from>
    <xdr:to>
      <xdr:col>12</xdr:col>
      <xdr:colOff>831395</xdr:colOff>
      <xdr:row>1</xdr:row>
      <xdr:rowOff>130575</xdr:rowOff>
    </xdr:to>
    <xdr:pic>
      <xdr:nvPicPr>
        <xdr:cNvPr id="3" name="Image 2"/>
        <xdr:cNvPicPr>
          <a:picLocks noChangeAspect="1"/>
        </xdr:cNvPicPr>
      </xdr:nvPicPr>
      <xdr:blipFill rotWithShape="1">
        <a:blip r:embed="rId3">
          <a:clrChange>
            <a:clrFrom>
              <a:srgbClr val="FFFFFF"/>
            </a:clrFrom>
            <a:clrTo>
              <a:srgbClr val="FFFFFF">
                <a:alpha val="0"/>
              </a:srgbClr>
            </a:clrTo>
          </a:clrChange>
        </a:blip>
        <a:stretch/>
      </xdr:blipFill>
      <xdr:spPr bwMode="auto">
        <a:xfrm>
          <a:off x="14404975" y="120650"/>
          <a:ext cx="742496" cy="276625"/>
        </a:xfrm>
        <a:prstGeom prst="rect">
          <a:avLst/>
        </a:prstGeom>
      </xdr:spPr>
    </xdr:pic>
    <xdr:clientData/>
  </xdr:twoCellAnchor>
</xdr:wsDr>
</file>

<file path=xl/drawings/drawing13.xml><?xml version="1.0" encoding="utf-8"?>
<xdr:wsDr xmlns:xdr="http://schemas.openxmlformats.org/drawingml/2006/spreadsheetDrawing" xmlns:a="http://schemas.openxmlformats.org/drawingml/2006/main" xmlns:r="http://schemas.openxmlformats.org/officeDocument/2006/relationships" xmlns:m="http://schemas.openxmlformats.org/officeDocument/2006/math" xmlns:w="http://schemas.openxmlformats.org/wordprocessingml/2006/main">
  <xdr:twoCellAnchor editAs="oneCell">
    <xdr:from>
      <xdr:col>2</xdr:col>
      <xdr:colOff>146537</xdr:colOff>
      <xdr:row>0</xdr:row>
      <xdr:rowOff>0</xdr:rowOff>
    </xdr:from>
    <xdr:to>
      <xdr:col>2</xdr:col>
      <xdr:colOff>627324</xdr:colOff>
      <xdr:row>2</xdr:row>
      <xdr:rowOff>19360</xdr:rowOff>
    </xdr:to>
    <xdr:pic>
      <xdr:nvPicPr>
        <xdr:cNvPr id="3" name="Image 2" descr="icône Home en PNG, ICO ou ICNS | Icônes vectorielles gratuites">
          <a:hlinkClick r:id="rId1"/>
        </xdr:cNvPr>
        <xdr:cNvPicPr>
          <a:picLocks noChangeAspect="1" noChangeArrowheads="1"/>
        </xdr:cNvPicPr>
      </xdr:nvPicPr>
      <xdr:blipFill rotWithShape="1">
        <a:blip r:embed="rId2">
          <a:biLevel thresh="50000"/>
        </a:blip>
        <a:stretch/>
      </xdr:blipFill>
      <xdr:spPr bwMode="auto">
        <a:xfrm>
          <a:off x="5791756" y="0"/>
          <a:ext cx="480787" cy="472931"/>
        </a:xfrm>
        <a:prstGeom prst="rect">
          <a:avLst/>
        </a:prstGeom>
        <a:noFill/>
      </xdr:spPr>
    </xdr:pic>
    <xdr:clientData/>
  </xdr:twoCellAnchor>
  <xdr:twoCellAnchor editAs="oneCell">
    <xdr:from>
      <xdr:col>3</xdr:col>
      <xdr:colOff>6977</xdr:colOff>
      <xdr:row>0</xdr:row>
      <xdr:rowOff>111647</xdr:rowOff>
    </xdr:from>
    <xdr:to>
      <xdr:col>4</xdr:col>
      <xdr:colOff>174</xdr:colOff>
      <xdr:row>1</xdr:row>
      <xdr:rowOff>123108</xdr:rowOff>
    </xdr:to>
    <xdr:pic>
      <xdr:nvPicPr>
        <xdr:cNvPr id="4" name="Image 3"/>
        <xdr:cNvPicPr>
          <a:picLocks noChangeAspect="1"/>
        </xdr:cNvPicPr>
      </xdr:nvPicPr>
      <xdr:blipFill rotWithShape="1">
        <a:blip r:embed="rId3">
          <a:clrChange>
            <a:clrFrom>
              <a:srgbClr val="FFFFFF"/>
            </a:clrFrom>
            <a:clrTo>
              <a:srgbClr val="FFFFFF">
                <a:alpha val="0"/>
              </a:srgbClr>
            </a:clrTo>
          </a:clrChange>
        </a:blip>
        <a:stretch/>
      </xdr:blipFill>
      <xdr:spPr bwMode="auto">
        <a:xfrm>
          <a:off x="6419780" y="111648"/>
          <a:ext cx="783771" cy="276625"/>
        </a:xfrm>
        <a:prstGeom prst="rect">
          <a:avLst/>
        </a:prstGeom>
      </xdr:spPr>
    </xdr:pic>
    <xdr:clientData/>
  </xdr:twoCellAnchor>
</xdr:wsDr>
</file>

<file path=xl/drawings/drawing14.xml><?xml version="1.0" encoding="utf-8"?>
<xdr:wsDr xmlns:xdr="http://schemas.openxmlformats.org/drawingml/2006/spreadsheetDrawing" xmlns:a="http://schemas.openxmlformats.org/drawingml/2006/main" xmlns:r="http://schemas.openxmlformats.org/officeDocument/2006/relationships" xmlns:m="http://schemas.openxmlformats.org/officeDocument/2006/math" xmlns:w="http://schemas.openxmlformats.org/wordprocessingml/2006/main">
  <xdr:twoCellAnchor editAs="oneCell">
    <xdr:from>
      <xdr:col>7</xdr:col>
      <xdr:colOff>527050</xdr:colOff>
      <xdr:row>0</xdr:row>
      <xdr:rowOff>76200</xdr:rowOff>
    </xdr:from>
    <xdr:to>
      <xdr:col>8</xdr:col>
      <xdr:colOff>223964</xdr:colOff>
      <xdr:row>0</xdr:row>
      <xdr:rowOff>549131</xdr:rowOff>
    </xdr:to>
    <xdr:pic>
      <xdr:nvPicPr>
        <xdr:cNvPr id="4" name="Image 3" descr="icône Home en PNG, ICO ou ICNS | Icônes vectorielles gratuites">
          <a:hlinkClick r:id="rId1"/>
        </xdr:cNvPr>
        <xdr:cNvPicPr>
          <a:picLocks noChangeAspect="1" noChangeArrowheads="1"/>
        </xdr:cNvPicPr>
      </xdr:nvPicPr>
      <xdr:blipFill rotWithShape="1">
        <a:blip r:embed="rId2">
          <a:biLevel thresh="50000"/>
        </a:blip>
        <a:stretch/>
      </xdr:blipFill>
      <xdr:spPr bwMode="auto">
        <a:xfrm>
          <a:off x="9620250" y="76200"/>
          <a:ext cx="480787" cy="472931"/>
        </a:xfrm>
        <a:prstGeom prst="rect">
          <a:avLst/>
        </a:prstGeom>
        <a:noFill/>
      </xdr:spPr>
    </xdr:pic>
    <xdr:clientData/>
  </xdr:twoCellAnchor>
  <xdr:twoCellAnchor editAs="oneCell">
    <xdr:from>
      <xdr:col>8</xdr:col>
      <xdr:colOff>430741</xdr:colOff>
      <xdr:row>0</xdr:row>
      <xdr:rowOff>146050</xdr:rowOff>
    </xdr:from>
    <xdr:to>
      <xdr:col>9</xdr:col>
      <xdr:colOff>720272</xdr:colOff>
      <xdr:row>0</xdr:row>
      <xdr:rowOff>530625</xdr:rowOff>
    </xdr:to>
    <xdr:pic>
      <xdr:nvPicPr>
        <xdr:cNvPr id="5" name="Image 4"/>
        <xdr:cNvPicPr>
          <a:picLocks noChangeAspect="1"/>
        </xdr:cNvPicPr>
      </xdr:nvPicPr>
      <xdr:blipFill rotWithShape="1">
        <a:blip r:embed="rId3">
          <a:clrChange>
            <a:clrFrom>
              <a:srgbClr val="FFFFFF"/>
            </a:clrFrom>
            <a:clrTo>
              <a:srgbClr val="FFFFFF">
                <a:alpha val="0"/>
              </a:srgbClr>
            </a:clrTo>
          </a:clrChange>
        </a:blip>
        <a:stretch/>
      </xdr:blipFill>
      <xdr:spPr bwMode="auto">
        <a:xfrm>
          <a:off x="10279592" y="146050"/>
          <a:ext cx="1089629" cy="384575"/>
        </a:xfrm>
        <a:prstGeom prst="rect">
          <a:avLst/>
        </a:prstGeom>
      </xdr:spPr>
    </xdr:pic>
    <xdr:clientData/>
  </xdr:twoCellAnchor>
</xdr:wsDr>
</file>

<file path=xl/drawings/drawing15.xml><?xml version="1.0" encoding="utf-8"?>
<xdr:wsDr xmlns:xdr="http://schemas.openxmlformats.org/drawingml/2006/spreadsheetDrawing" xmlns:a="http://schemas.openxmlformats.org/drawingml/2006/main" xmlns:r="http://schemas.openxmlformats.org/officeDocument/2006/relationships" xmlns:m="http://schemas.openxmlformats.org/officeDocument/2006/math" xmlns:w="http://schemas.openxmlformats.org/wordprocessingml/2006/main">
  <xdr:twoCellAnchor editAs="oneCell">
    <xdr:from>
      <xdr:col>17</xdr:col>
      <xdr:colOff>533400</xdr:colOff>
      <xdr:row>0</xdr:row>
      <xdr:rowOff>12700</xdr:rowOff>
    </xdr:from>
    <xdr:to>
      <xdr:col>18</xdr:col>
      <xdr:colOff>258536</xdr:colOff>
      <xdr:row>2</xdr:row>
      <xdr:rowOff>117331</xdr:rowOff>
    </xdr:to>
    <xdr:pic>
      <xdr:nvPicPr>
        <xdr:cNvPr id="4" name="Image 3" descr="icône Home en PNG, ICO ou ICNS | Icônes vectorielles gratuites">
          <a:hlinkClick r:id="rId1"/>
        </xdr:cNvPr>
        <xdr:cNvPicPr>
          <a:picLocks noChangeAspect="1" noChangeArrowheads="1"/>
        </xdr:cNvPicPr>
      </xdr:nvPicPr>
      <xdr:blipFill rotWithShape="1">
        <a:blip r:embed="rId2">
          <a:biLevel thresh="50000"/>
        </a:blip>
        <a:stretch/>
      </xdr:blipFill>
      <xdr:spPr bwMode="auto">
        <a:xfrm>
          <a:off x="9931400" y="12700"/>
          <a:ext cx="480787" cy="472931"/>
        </a:xfrm>
        <a:prstGeom prst="rect">
          <a:avLst/>
        </a:prstGeom>
        <a:noFill/>
      </xdr:spPr>
    </xdr:pic>
    <xdr:clientData/>
  </xdr:twoCellAnchor>
  <xdr:twoCellAnchor editAs="oneCell">
    <xdr:from>
      <xdr:col>18</xdr:col>
      <xdr:colOff>318558</xdr:colOff>
      <xdr:row>0</xdr:row>
      <xdr:rowOff>76200</xdr:rowOff>
    </xdr:from>
    <xdr:to>
      <xdr:col>19</xdr:col>
      <xdr:colOff>688521</xdr:colOff>
      <xdr:row>2</xdr:row>
      <xdr:rowOff>105174</xdr:rowOff>
    </xdr:to>
    <xdr:pic>
      <xdr:nvPicPr>
        <xdr:cNvPr id="5" name="Image 4"/>
        <xdr:cNvPicPr>
          <a:picLocks noChangeAspect="1"/>
        </xdr:cNvPicPr>
      </xdr:nvPicPr>
      <xdr:blipFill rotWithShape="1">
        <a:blip r:embed="rId3">
          <a:clrChange>
            <a:clrFrom>
              <a:srgbClr val="FFFFFF"/>
            </a:clrFrom>
            <a:clrTo>
              <a:srgbClr val="FFFFFF">
                <a:alpha val="0"/>
              </a:srgbClr>
            </a:clrTo>
          </a:clrChange>
        </a:blip>
        <a:stretch/>
      </xdr:blipFill>
      <xdr:spPr bwMode="auto">
        <a:xfrm>
          <a:off x="10472208" y="76200"/>
          <a:ext cx="1125613" cy="397275"/>
        </a:xfrm>
        <a:prstGeom prst="rect">
          <a:avLst/>
        </a:prstGeom>
      </xdr:spPr>
    </xdr:pic>
    <xdr:clientData/>
  </xdr:twoCellAnchor>
</xdr:wsDr>
</file>

<file path=xl/drawings/drawing16.xml><?xml version="1.0" encoding="utf-8"?>
<xdr:wsDr xmlns:xdr="http://schemas.openxmlformats.org/drawingml/2006/spreadsheetDrawing" xmlns:a="http://schemas.openxmlformats.org/drawingml/2006/main" xmlns:r="http://schemas.openxmlformats.org/officeDocument/2006/relationships" xmlns:m="http://schemas.openxmlformats.org/officeDocument/2006/math" xmlns:w="http://schemas.openxmlformats.org/wordprocessingml/2006/main">
  <xdr:twoCellAnchor editAs="oneCell">
    <xdr:from>
      <xdr:col>7</xdr:col>
      <xdr:colOff>146050</xdr:colOff>
      <xdr:row>0</xdr:row>
      <xdr:rowOff>0</xdr:rowOff>
    </xdr:from>
    <xdr:to>
      <xdr:col>7</xdr:col>
      <xdr:colOff>626837</xdr:colOff>
      <xdr:row>1</xdr:row>
      <xdr:rowOff>34781</xdr:rowOff>
    </xdr:to>
    <xdr:pic>
      <xdr:nvPicPr>
        <xdr:cNvPr id="3" name="Image 2" descr="icône Home en PNG, ICO ou ICNS | Icônes vectorielles gratuites">
          <a:hlinkClick r:id="rId1"/>
        </xdr:cNvPr>
        <xdr:cNvPicPr>
          <a:picLocks noChangeAspect="1" noChangeArrowheads="1"/>
        </xdr:cNvPicPr>
      </xdr:nvPicPr>
      <xdr:blipFill rotWithShape="1">
        <a:blip r:embed="rId2">
          <a:biLevel thresh="50000"/>
        </a:blip>
        <a:stretch/>
      </xdr:blipFill>
      <xdr:spPr bwMode="auto">
        <a:xfrm>
          <a:off x="7435850" y="0"/>
          <a:ext cx="480787" cy="472931"/>
        </a:xfrm>
        <a:prstGeom prst="rect">
          <a:avLst/>
        </a:prstGeom>
        <a:noFill/>
      </xdr:spPr>
    </xdr:pic>
    <xdr:clientData/>
  </xdr:twoCellAnchor>
  <xdr:twoCellAnchor editAs="oneCell">
    <xdr:from>
      <xdr:col>9</xdr:col>
      <xdr:colOff>134409</xdr:colOff>
      <xdr:row>0</xdr:row>
      <xdr:rowOff>12700</xdr:rowOff>
    </xdr:from>
    <xdr:to>
      <xdr:col>10</xdr:col>
      <xdr:colOff>504371</xdr:colOff>
      <xdr:row>0</xdr:row>
      <xdr:rowOff>409975</xdr:rowOff>
    </xdr:to>
    <xdr:pic>
      <xdr:nvPicPr>
        <xdr:cNvPr id="4" name="Image 3"/>
        <xdr:cNvPicPr>
          <a:picLocks noChangeAspect="1"/>
        </xdr:cNvPicPr>
      </xdr:nvPicPr>
      <xdr:blipFill rotWithShape="1">
        <a:blip r:embed="rId3">
          <a:clrChange>
            <a:clrFrom>
              <a:srgbClr val="FFFFFF"/>
            </a:clrFrom>
            <a:clrTo>
              <a:srgbClr val="FFFFFF">
                <a:alpha val="0"/>
              </a:srgbClr>
            </a:clrTo>
          </a:clrChange>
        </a:blip>
        <a:stretch/>
      </xdr:blipFill>
      <xdr:spPr bwMode="auto">
        <a:xfrm>
          <a:off x="9310160" y="12700"/>
          <a:ext cx="1125611" cy="397275"/>
        </a:xfrm>
        <a:prstGeom prst="rect">
          <a:avLst/>
        </a:prstGeom>
      </xdr:spPr>
    </xdr:pic>
    <xdr:clientData/>
  </xdr:twoCellAnchor>
</xdr:wsDr>
</file>

<file path=xl/drawings/drawing17.xml><?xml version="1.0" encoding="utf-8"?>
<xdr:wsDr xmlns:xdr="http://schemas.openxmlformats.org/drawingml/2006/spreadsheetDrawing" xmlns:a="http://schemas.openxmlformats.org/drawingml/2006/main" xmlns:r="http://schemas.openxmlformats.org/officeDocument/2006/relationships" xmlns:m="http://schemas.openxmlformats.org/officeDocument/2006/math" xmlns:w="http://schemas.openxmlformats.org/wordprocessingml/2006/main">
  <xdr:twoCellAnchor editAs="oneCell">
    <xdr:from>
      <xdr:col>3</xdr:col>
      <xdr:colOff>139700</xdr:colOff>
      <xdr:row>3</xdr:row>
      <xdr:rowOff>139700</xdr:rowOff>
    </xdr:from>
    <xdr:to>
      <xdr:col>3</xdr:col>
      <xdr:colOff>620487</xdr:colOff>
      <xdr:row>6</xdr:row>
      <xdr:rowOff>41131</xdr:rowOff>
    </xdr:to>
    <xdr:pic>
      <xdr:nvPicPr>
        <xdr:cNvPr id="3" name="Image 2" descr="icône Home en PNG, ICO ou ICNS | Icônes vectorielles gratuites">
          <a:hlinkClick r:id="rId1"/>
        </xdr:cNvPr>
        <xdr:cNvPicPr>
          <a:picLocks noChangeAspect="1" noChangeArrowheads="1"/>
        </xdr:cNvPicPr>
      </xdr:nvPicPr>
      <xdr:blipFill rotWithShape="1">
        <a:blip r:embed="rId2">
          <a:biLevel thresh="50000"/>
        </a:blip>
        <a:stretch/>
      </xdr:blipFill>
      <xdr:spPr bwMode="auto">
        <a:xfrm>
          <a:off x="5226050" y="755650"/>
          <a:ext cx="480787" cy="472931"/>
        </a:xfrm>
        <a:prstGeom prst="rect">
          <a:avLst/>
        </a:prstGeom>
        <a:noFill/>
      </xdr:spPr>
    </xdr:pic>
    <xdr:clientData/>
  </xdr:twoCellAnchor>
  <xdr:twoCellAnchor editAs="oneCell">
    <xdr:from>
      <xdr:col>8</xdr:col>
      <xdr:colOff>50800</xdr:colOff>
      <xdr:row>0</xdr:row>
      <xdr:rowOff>228600</xdr:rowOff>
    </xdr:from>
    <xdr:to>
      <xdr:col>11</xdr:col>
      <xdr:colOff>420763</xdr:colOff>
      <xdr:row>5</xdr:row>
      <xdr:rowOff>162324</xdr:rowOff>
    </xdr:to>
    <xdr:pic>
      <xdr:nvPicPr>
        <xdr:cNvPr id="4" name="Image 3"/>
        <xdr:cNvPicPr>
          <a:picLocks noChangeAspect="1"/>
        </xdr:cNvPicPr>
      </xdr:nvPicPr>
      <xdr:blipFill rotWithShape="1">
        <a:blip r:embed="rId3">
          <a:clrChange>
            <a:clrFrom>
              <a:srgbClr val="FFFFFF"/>
            </a:clrFrom>
            <a:clrTo>
              <a:srgbClr val="FFFFFF">
                <a:alpha val="0"/>
              </a:srgbClr>
            </a:clrTo>
          </a:clrChange>
        </a:blip>
        <a:stretch/>
      </xdr:blipFill>
      <xdr:spPr bwMode="auto">
        <a:xfrm>
          <a:off x="8915400" y="228600"/>
          <a:ext cx="2636913" cy="930675"/>
        </a:xfrm>
        <a:prstGeom prst="rect">
          <a:avLst/>
        </a:prstGeom>
      </xdr:spPr>
    </xdr:pic>
    <xdr:clientData/>
  </xdr:twoCellAnchor>
</xdr:wsDr>
</file>

<file path=xl/drawings/drawing18.xml><?xml version="1.0" encoding="utf-8"?>
<xdr:wsDr xmlns:xdr="http://schemas.openxmlformats.org/drawingml/2006/spreadsheetDrawing" xmlns:a="http://schemas.openxmlformats.org/drawingml/2006/main" xmlns:r="http://schemas.openxmlformats.org/officeDocument/2006/relationships" xmlns:m="http://schemas.openxmlformats.org/officeDocument/2006/math" xmlns:w="http://schemas.openxmlformats.org/wordprocessingml/2006/main">
  <xdr:twoCellAnchor editAs="twoCell">
    <xdr:from>
      <xdr:col>5</xdr:col>
      <xdr:colOff>215900</xdr:colOff>
      <xdr:row>0</xdr:row>
      <xdr:rowOff>0</xdr:rowOff>
    </xdr:from>
    <xdr:to>
      <xdr:col>15</xdr:col>
      <xdr:colOff>12700</xdr:colOff>
      <xdr:row>15</xdr:row>
      <xdr:rowOff>19050</xdr:rowOff>
    </xdr:to>
    <xdr:sp>
      <xdr:nvSpPr>
        <xdr:cNvPr id="8" name="Triangle rectangle 7"/>
        <xdr:cNvSpPr/>
      </xdr:nvSpPr>
      <xdr:spPr bwMode="auto">
        <a:xfrm flipH="1" flipV="1">
          <a:off x="4025899" y="0"/>
          <a:ext cx="7416800" cy="2965450"/>
        </a:xfrm>
        <a:prstGeom prst="rtTriangle">
          <a:avLst/>
        </a:prstGeom>
        <a:solidFill>
          <a:srgbClr val="ADADAD">
            <a:alpha val="29804"/>
          </a:srgb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defRPr/>
          </a:pPr>
          <a:endParaRPr lang="fr-FR" sz="1100"/>
        </a:p>
      </xdr:txBody>
    </xdr:sp>
    <xdr:clientData/>
  </xdr:twoCellAnchor>
  <xdr:twoCellAnchor editAs="oneCell">
    <xdr:from>
      <xdr:col>5</xdr:col>
      <xdr:colOff>139700</xdr:colOff>
      <xdr:row>0</xdr:row>
      <xdr:rowOff>133060</xdr:rowOff>
    </xdr:from>
    <xdr:to>
      <xdr:col>6</xdr:col>
      <xdr:colOff>584200</xdr:colOff>
      <xdr:row>6</xdr:row>
      <xdr:rowOff>152399</xdr:rowOff>
    </xdr:to>
    <xdr:pic>
      <xdr:nvPicPr>
        <xdr:cNvPr id="2" name="Image 1" descr="icône Home en PNG, ICO ou ICNS | Icônes vectorielles gratuites">
          <a:hlinkClick r:id="rId1"/>
        </xdr:cNvPr>
        <xdr:cNvPicPr>
          <a:picLocks noChangeAspect="1" noChangeArrowheads="1"/>
        </xdr:cNvPicPr>
      </xdr:nvPicPr>
      <xdr:blipFill rotWithShape="1">
        <a:blip r:embed="rId2">
          <a:biLevel thresh="50000"/>
        </a:blip>
        <a:stretch/>
      </xdr:blipFill>
      <xdr:spPr bwMode="auto">
        <a:xfrm>
          <a:off x="3949700" y="133060"/>
          <a:ext cx="1206500" cy="1124239"/>
        </a:xfrm>
        <a:prstGeom prst="rect">
          <a:avLst/>
        </a:prstGeom>
        <a:noFill/>
      </xdr:spPr>
    </xdr:pic>
    <xdr:clientData/>
  </xdr:twoCellAnchor>
  <xdr:twoCellAnchor editAs="oneCell">
    <xdr:from>
      <xdr:col>0</xdr:col>
      <xdr:colOff>1</xdr:colOff>
      <xdr:row>0</xdr:row>
      <xdr:rowOff>0</xdr:rowOff>
    </xdr:from>
    <xdr:to>
      <xdr:col>5</xdr:col>
      <xdr:colOff>0</xdr:colOff>
      <xdr:row>7</xdr:row>
      <xdr:rowOff>48814</xdr:rowOff>
    </xdr:to>
    <xdr:pic>
      <xdr:nvPicPr>
        <xdr:cNvPr id="4" name="Image 3"/>
        <xdr:cNvPicPr>
          <a:picLocks noChangeAspect="1"/>
        </xdr:cNvPicPr>
      </xdr:nvPicPr>
      <xdr:blipFill rotWithShape="1">
        <a:blip r:embed="rId3"/>
        <a:stretch/>
      </xdr:blipFill>
      <xdr:spPr bwMode="auto">
        <a:xfrm>
          <a:off x="1" y="0"/>
          <a:ext cx="3790949" cy="1337864"/>
        </a:xfrm>
        <a:prstGeom prst="rect">
          <a:avLst/>
        </a:prstGeom>
      </xdr:spPr>
    </xdr:pic>
    <xdr:clientData/>
  </xdr:twoCellAnchor>
</xdr:wsDr>
</file>

<file path=xl/drawings/drawing19.xml><?xml version="1.0" encoding="utf-8"?>
<xdr:wsDr xmlns:xdr="http://schemas.openxmlformats.org/drawingml/2006/spreadsheetDrawing" xmlns:a="http://schemas.openxmlformats.org/drawingml/2006/main" xmlns:r="http://schemas.openxmlformats.org/officeDocument/2006/relationships" xmlns:m="http://schemas.openxmlformats.org/officeDocument/2006/math" xmlns:w="http://schemas.openxmlformats.org/wordprocessingml/2006/main">
  <xdr:twoCellAnchor editAs="oneCell">
    <xdr:from>
      <xdr:col>13</xdr:col>
      <xdr:colOff>730250</xdr:colOff>
      <xdr:row>4</xdr:row>
      <xdr:rowOff>133350</xdr:rowOff>
    </xdr:from>
    <xdr:to>
      <xdr:col>14</xdr:col>
      <xdr:colOff>704849</xdr:colOff>
      <xdr:row>9</xdr:row>
      <xdr:rowOff>42635</xdr:rowOff>
    </xdr:to>
    <xdr:pic>
      <xdr:nvPicPr>
        <xdr:cNvPr id="3" name="imagen" descr="Icône linkedin">
          <a:hlinkClick r:id="rId1"/>
        </xdr:cNvPr>
        <xdr:cNvPicPr>
          <a:picLocks noChangeAspect="1" noChangeArrowheads="1"/>
        </xdr:cNvPicPr>
      </xdr:nvPicPr>
      <xdr:blipFill rotWithShape="1">
        <a:blip r:embed="rId2"/>
        <a:stretch/>
      </xdr:blipFill>
      <xdr:spPr bwMode="auto">
        <a:xfrm>
          <a:off x="10636250" y="869950"/>
          <a:ext cx="736600" cy="766535"/>
        </a:xfrm>
        <a:prstGeom prst="rect">
          <a:avLst/>
        </a:prstGeom>
        <a:noFill/>
      </xdr:spPr>
    </xdr:pic>
    <xdr:clientData/>
  </xdr:twoCellAnchor>
  <xdr:twoCellAnchor editAs="oneCell">
    <xdr:from>
      <xdr:col>12</xdr:col>
      <xdr:colOff>651329</xdr:colOff>
      <xdr:row>4</xdr:row>
      <xdr:rowOff>97972</xdr:rowOff>
    </xdr:from>
    <xdr:to>
      <xdr:col>14</xdr:col>
      <xdr:colOff>9978</xdr:colOff>
      <xdr:row>9</xdr:row>
      <xdr:rowOff>108857</xdr:rowOff>
    </xdr:to>
    <xdr:pic>
      <xdr:nvPicPr>
        <xdr:cNvPr id="4" name="Image 3" descr="Aller sur le site internet icône illustration vectorielle ...">
          <a:hlinkClick r:id="rId3"/>
        </xdr:cNvPr>
        <xdr:cNvPicPr>
          <a:picLocks noChangeAspect="1" noChangeArrowheads="1"/>
        </xdr:cNvPicPr>
      </xdr:nvPicPr>
      <xdr:blipFill rotWithShape="1">
        <a:blip r:embed="rId4">
          <a:clrChange>
            <a:clrFrom>
              <a:srgbClr val="FFFFFF"/>
            </a:clrFrom>
            <a:clrTo>
              <a:srgbClr val="FFFFFF">
                <a:alpha val="0"/>
              </a:srgbClr>
            </a:clrTo>
          </a:clrChange>
        </a:blip>
        <a:stretch/>
      </xdr:blipFill>
      <xdr:spPr bwMode="auto">
        <a:xfrm>
          <a:off x="9795329" y="834572"/>
          <a:ext cx="882650" cy="868135"/>
        </a:xfrm>
        <a:prstGeom prst="rect">
          <a:avLst/>
        </a:prstGeom>
        <a:noFill/>
      </xdr:spPr>
    </xdr:pic>
    <xdr:clientData/>
  </xdr:twoCellAnchor>
  <xdr:twoCellAnchor editAs="oneCell">
    <xdr:from>
      <xdr:col>12</xdr:col>
      <xdr:colOff>29028</xdr:colOff>
      <xdr:row>4</xdr:row>
      <xdr:rowOff>165028</xdr:rowOff>
    </xdr:from>
    <xdr:to>
      <xdr:col>13</xdr:col>
      <xdr:colOff>3627</xdr:colOff>
      <xdr:row>8</xdr:row>
      <xdr:rowOff>28429</xdr:rowOff>
    </xdr:to>
    <xdr:pic>
      <xdr:nvPicPr>
        <xdr:cNvPr id="6" name="Image 5" descr="icône Home en PNG, ICO ou ICNS | Icônes vectorielles gratuites">
          <a:hlinkClick r:id="rId5"/>
        </xdr:cNvPr>
        <xdr:cNvPicPr>
          <a:picLocks noChangeAspect="1" noChangeArrowheads="1"/>
        </xdr:cNvPicPr>
      </xdr:nvPicPr>
      <xdr:blipFill rotWithShape="1">
        <a:blip r:embed="rId6">
          <a:biLevel thresh="50000"/>
        </a:blip>
        <a:stretch/>
      </xdr:blipFill>
      <xdr:spPr bwMode="auto">
        <a:xfrm>
          <a:off x="9173028" y="901628"/>
          <a:ext cx="698500" cy="688901"/>
        </a:xfrm>
        <a:prstGeom prst="rect">
          <a:avLst/>
        </a:prstGeom>
        <a:noFill/>
      </xdr:spPr>
    </xdr:pic>
    <xdr:clientData/>
  </xdr:twoCellAnchor>
  <xdr:twoCellAnchor editAs="oneCell">
    <xdr:from>
      <xdr:col>0</xdr:col>
      <xdr:colOff>0</xdr:colOff>
      <xdr:row>0</xdr:row>
      <xdr:rowOff>1</xdr:rowOff>
    </xdr:from>
    <xdr:to>
      <xdr:col>6</xdr:col>
      <xdr:colOff>0</xdr:colOff>
      <xdr:row>9</xdr:row>
      <xdr:rowOff>6351</xdr:rowOff>
    </xdr:to>
    <xdr:pic>
      <xdr:nvPicPr>
        <xdr:cNvPr id="7" name="Image 6"/>
        <xdr:cNvPicPr>
          <a:picLocks noChangeAspect="1"/>
        </xdr:cNvPicPr>
      </xdr:nvPicPr>
      <xdr:blipFill rotWithShape="1">
        <a:blip r:embed="rId7">
          <a:clrChange>
            <a:clrFrom>
              <a:srgbClr val="FFFFFF"/>
            </a:clrFrom>
            <a:clrTo>
              <a:srgbClr val="FFFFFF">
                <a:alpha val="0"/>
              </a:srgbClr>
            </a:clrTo>
          </a:clrChange>
        </a:blip>
        <a:stretch/>
      </xdr:blipFill>
      <xdr:spPr bwMode="auto">
        <a:xfrm>
          <a:off x="0" y="1"/>
          <a:ext cx="4533900" cy="1600200"/>
        </a:xfrm>
        <a:prstGeom prst="rect">
          <a:avLst/>
        </a:prstGeom>
      </xdr:spPr>
    </xdr:pic>
    <xdr:clientData/>
  </xdr:twoCellAnchor>
  <xdr:twoCellAnchor editAs="oneCell">
    <xdr:from>
      <xdr:col>0</xdr:col>
      <xdr:colOff>0</xdr:colOff>
      <xdr:row>9</xdr:row>
      <xdr:rowOff>25400</xdr:rowOff>
    </xdr:from>
    <xdr:to>
      <xdr:col>6</xdr:col>
      <xdr:colOff>3175</xdr:colOff>
      <xdr:row>14</xdr:row>
      <xdr:rowOff>1800033</xdr:rowOff>
    </xdr:to>
    <xdr:pic>
      <xdr:nvPicPr>
        <xdr:cNvPr id="9" name="Image 8"/>
        <xdr:cNvPicPr>
          <a:picLocks noChangeAspect="1"/>
        </xdr:cNvPicPr>
      </xdr:nvPicPr>
      <xdr:blipFill rotWithShape="1">
        <a:blip r:embed="rId8"/>
        <a:srcRect l="28259" t="29540" r="25769" b="22212"/>
        <a:stretch/>
      </xdr:blipFill>
      <xdr:spPr bwMode="auto">
        <a:xfrm>
          <a:off x="0" y="1619250"/>
          <a:ext cx="4565650" cy="2695383"/>
        </a:xfrm>
        <a:prstGeom prst="rect">
          <a:avLst/>
        </a:prstGeom>
      </xdr:spPr>
    </xdr:pic>
    <xdr:clientData/>
  </xdr:twoCellAnchor>
  <xdr:twoCellAnchor editAs="oneCell">
    <xdr:from>
      <xdr:col>0</xdr:col>
      <xdr:colOff>0</xdr:colOff>
      <xdr:row>14</xdr:row>
      <xdr:rowOff>1768990</xdr:rowOff>
    </xdr:from>
    <xdr:to>
      <xdr:col>6</xdr:col>
      <xdr:colOff>0</xdr:colOff>
      <xdr:row>23</xdr:row>
      <xdr:rowOff>172358</xdr:rowOff>
    </xdr:to>
    <xdr:pic>
      <xdr:nvPicPr>
        <xdr:cNvPr id="10" name="Image 9"/>
        <xdr:cNvPicPr>
          <a:picLocks noChangeAspect="1"/>
        </xdr:cNvPicPr>
      </xdr:nvPicPr>
      <xdr:blipFill rotWithShape="1">
        <a:blip r:embed="rId9"/>
        <a:srcRect l="35655" t="25775" r="33116" b="27777"/>
        <a:stretch/>
      </xdr:blipFill>
      <xdr:spPr bwMode="auto">
        <a:xfrm>
          <a:off x="0" y="4254561"/>
          <a:ext cx="4552950" cy="3782726"/>
        </a:xfrm>
        <a:prstGeom prst="rect">
          <a:avLst/>
        </a:prstGeom>
      </xdr:spPr>
    </xdr:pic>
    <xdr:clientData/>
  </xdr:twoCellAnchor>
  <xdr:twoCellAnchor editAs="oneCell">
    <xdr:from>
      <xdr:col>0</xdr:col>
      <xdr:colOff>0</xdr:colOff>
      <xdr:row>24</xdr:row>
      <xdr:rowOff>79134</xdr:rowOff>
    </xdr:from>
    <xdr:to>
      <xdr:col>6</xdr:col>
      <xdr:colOff>3175</xdr:colOff>
      <xdr:row>36</xdr:row>
      <xdr:rowOff>178118</xdr:rowOff>
    </xdr:to>
    <xdr:pic>
      <xdr:nvPicPr>
        <xdr:cNvPr id="11" name="Image 10"/>
        <xdr:cNvPicPr>
          <a:picLocks noChangeAspect="1"/>
        </xdr:cNvPicPr>
      </xdr:nvPicPr>
      <xdr:blipFill rotWithShape="1">
        <a:blip r:embed="rId10"/>
        <a:srcRect l="35674" t="37518" r="32735" b="33931"/>
        <a:stretch/>
      </xdr:blipFill>
      <xdr:spPr bwMode="auto">
        <a:xfrm>
          <a:off x="0" y="8125490"/>
          <a:ext cx="4546600" cy="2276127"/>
        </a:xfrm>
        <a:prstGeom prst="rect">
          <a:avLst/>
        </a:prstGeom>
      </xdr:spPr>
    </xdr:pic>
    <xdr:clientData/>
  </xdr:twoCellAnchor>
  <xdr:twoCellAnchor editAs="oneCell">
    <xdr:from>
      <xdr:col>7</xdr:col>
      <xdr:colOff>165209</xdr:colOff>
      <xdr:row>9</xdr:row>
      <xdr:rowOff>38100</xdr:rowOff>
    </xdr:from>
    <xdr:to>
      <xdr:col>14</xdr:col>
      <xdr:colOff>174097</xdr:colOff>
      <xdr:row>19</xdr:row>
      <xdr:rowOff>57150</xdr:rowOff>
    </xdr:to>
    <xdr:pic>
      <xdr:nvPicPr>
        <xdr:cNvPr id="12" name="Image 11"/>
        <xdr:cNvPicPr>
          <a:picLocks noChangeAspect="1"/>
        </xdr:cNvPicPr>
      </xdr:nvPicPr>
      <xdr:blipFill rotWithShape="1">
        <a:blip r:embed="rId11">
          <a:clrChange>
            <a:clrFrom>
              <a:srgbClr val="FFFFFF"/>
            </a:clrFrom>
            <a:clrTo>
              <a:srgbClr val="FFFFFF">
                <a:alpha val="0"/>
              </a:srgbClr>
            </a:clrTo>
          </a:clrChange>
        </a:blip>
        <a:srcRect l="35609" t="27350" r="33416" b="14831"/>
        <a:stretch/>
      </xdr:blipFill>
      <xdr:spPr bwMode="auto">
        <a:xfrm>
          <a:off x="5499209" y="1631950"/>
          <a:ext cx="5342888" cy="5607050"/>
        </a:xfrm>
        <a:prstGeom prst="rect">
          <a:avLst/>
        </a:prstGeom>
      </xdr:spPr>
    </xdr:pic>
    <xdr:clientData/>
  </xdr:twoCellAnchor>
</xdr:wsDr>
</file>

<file path=xl/externalLinks/_rels/externalLink1.xml.rels><?xml version="1.0" encoding="UTF-8" standalone="yes"?><Relationships xmlns="http://schemas.openxmlformats.org/package/2006/relationships"><Relationship  Id="rId1" Type="http://schemas.openxmlformats.org/officeDocument/2006/relationships/externalLinkPath" Target="budget%20pr&#233;visionnel%20plan%20de%20tr&#233;so%202024/Budget%20previsionnel%20analytique%20-%20AFERTES%20ok%20-%2009092024.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DI"/>
      <sheetName val="CDD"/>
      <sheetName val="Accueil"/>
      <sheetName val="MOD"/>
      <sheetName val="Hypotheses expl"/>
      <sheetName val="Hypotheses expl (3,)"/>
      <sheetName val="Hypotheses expl (2)"/>
      <sheetName val="Hypotheses hors expl"/>
      <sheetName val="Hypotheses hors expl (2)"/>
      <sheetName val="Hypotheses hors expl (3)"/>
      <sheetName val="Compte résultat prévi"/>
      <sheetName val="Trésorerie"/>
      <sheetName val="Trésorerie auto"/>
      <sheetName val="Trésorerie auto (2)"/>
      <sheetName val="Plan de financement"/>
      <sheetName val="Suivi budgétaire"/>
      <sheetName val="Tableau de bord"/>
      <sheetName val="Feuil1"/>
      <sheetName val="Import balance"/>
      <sheetName val="BDD"/>
      <sheetName val="Information"/>
      <sheetName val="Feuil3"/>
      <sheetName val="Contact"/>
    </sheetNames>
    <sheetDataSet>
      <sheetData sheetId="0"/>
      <sheetData sheetId="1"/>
      <sheetData sheetId="2"/>
      <sheetData sheetId="3"/>
      <sheetData sheetId="4"/>
      <sheetData sheetId="5"/>
      <sheetData sheetId="6">
        <row r="3">
          <cell r="C3" t="e">
            <v>#REF!</v>
          </cell>
          <cell r="D3" t="e">
            <v>#REF!</v>
          </cell>
          <cell r="E3" t="e">
            <v>#REF!</v>
          </cell>
          <cell r="F3" t="e">
            <v>#REF!</v>
          </cell>
          <cell r="G3" t="e">
            <v>#REF!</v>
          </cell>
          <cell r="H3" t="e">
            <v>#REF!</v>
          </cell>
          <cell r="I3" t="e">
            <v>#REF!</v>
          </cell>
          <cell r="J3" t="e">
            <v>#REF!</v>
          </cell>
          <cell r="K3" t="e">
            <v>#REF!</v>
          </cell>
          <cell r="L3" t="e">
            <v>#REF!</v>
          </cell>
          <cell r="M3" t="e">
            <v>#REF!</v>
          </cell>
          <cell r="N3" t="e">
            <v>#REF!</v>
          </cell>
        </row>
        <row r="10">
          <cell r="A10" t="e">
            <v>#REF!</v>
          </cell>
          <cell r="B10" t="e">
            <v>#REF!</v>
          </cell>
          <cell r="C10" t="e">
            <v>#REF!</v>
          </cell>
          <cell r="D10" t="e">
            <v>#REF!</v>
          </cell>
          <cell r="E10" t="e">
            <v>#REF!</v>
          </cell>
          <cell r="F10" t="e">
            <v>#REF!</v>
          </cell>
          <cell r="G10" t="e">
            <v>#REF!</v>
          </cell>
          <cell r="H10" t="e">
            <v>#REF!</v>
          </cell>
          <cell r="I10" t="e">
            <v>#REF!</v>
          </cell>
          <cell r="L10" t="e">
            <v>#REF!</v>
          </cell>
          <cell r="M10" t="e">
            <v>#REF!</v>
          </cell>
          <cell r="N10" t="e">
            <v>#REF!</v>
          </cell>
          <cell r="P10" t="e">
            <v>#REF!</v>
          </cell>
        </row>
        <row r="14">
          <cell r="A14" t="e">
            <v>#REF!</v>
          </cell>
          <cell r="B14" t="e">
            <v>#REF!</v>
          </cell>
          <cell r="C14" t="e">
            <v>#REF!</v>
          </cell>
          <cell r="D14" t="e">
            <v>#REF!</v>
          </cell>
          <cell r="E14" t="e">
            <v>#REF!</v>
          </cell>
          <cell r="F14" t="e">
            <v>#REF!</v>
          </cell>
          <cell r="G14" t="e">
            <v>#REF!</v>
          </cell>
          <cell r="H14" t="e">
            <v>#REF!</v>
          </cell>
          <cell r="I14" t="e">
            <v>#REF!</v>
          </cell>
          <cell r="J14" t="e">
            <v>#REF!</v>
          </cell>
          <cell r="K14" t="e">
            <v>#REF!</v>
          </cell>
          <cell r="L14" t="e">
            <v>#REF!</v>
          </cell>
          <cell r="M14" t="e">
            <v>#REF!</v>
          </cell>
          <cell r="N14" t="e">
            <v>#REF!</v>
          </cell>
          <cell r="P14" t="e">
            <v>#REF!</v>
          </cell>
        </row>
        <row r="18">
          <cell r="B18" t="e">
            <v>#REF!</v>
          </cell>
          <cell r="C18" t="e">
            <v>#REF!</v>
          </cell>
          <cell r="D18" t="e">
            <v>#REF!</v>
          </cell>
          <cell r="E18" t="e">
            <v>#REF!</v>
          </cell>
          <cell r="F18" t="e">
            <v>#REF!</v>
          </cell>
          <cell r="G18" t="e">
            <v>#REF!</v>
          </cell>
          <cell r="H18" t="e">
            <v>#REF!</v>
          </cell>
          <cell r="I18" t="e">
            <v>#REF!</v>
          </cell>
          <cell r="J18" t="e">
            <v>#REF!</v>
          </cell>
          <cell r="K18" t="e">
            <v>#REF!</v>
          </cell>
          <cell r="L18" t="e">
            <v>#REF!</v>
          </cell>
          <cell r="M18" t="e">
            <v>#REF!</v>
          </cell>
          <cell r="P18" t="e">
            <v>#REF!</v>
          </cell>
        </row>
        <row r="22">
          <cell r="A22" t="e">
            <v>#REF!</v>
          </cell>
          <cell r="B22" t="e">
            <v>#REF!</v>
          </cell>
          <cell r="C22" t="e">
            <v>#REF!</v>
          </cell>
          <cell r="D22" t="e">
            <v>#REF!</v>
          </cell>
          <cell r="E22" t="e">
            <v>#REF!</v>
          </cell>
          <cell r="F22" t="e">
            <v>#REF!</v>
          </cell>
          <cell r="G22" t="e">
            <v>#REF!</v>
          </cell>
          <cell r="H22" t="e">
            <v>#REF!</v>
          </cell>
          <cell r="I22" t="e">
            <v>#REF!</v>
          </cell>
          <cell r="J22" t="e">
            <v>#REF!</v>
          </cell>
          <cell r="K22" t="e">
            <v>#REF!</v>
          </cell>
          <cell r="L22" t="e">
            <v>#REF!</v>
          </cell>
          <cell r="M22" t="e">
            <v>#REF!</v>
          </cell>
          <cell r="N22" t="e">
            <v>#REF!</v>
          </cell>
          <cell r="P22" t="e">
            <v>#REF!</v>
          </cell>
        </row>
        <row r="26">
          <cell r="A26" t="e">
            <v>#REF!</v>
          </cell>
          <cell r="B26" t="e">
            <v>#REF!</v>
          </cell>
          <cell r="C26" t="e">
            <v>#REF!</v>
          </cell>
          <cell r="D26" t="e">
            <v>#REF!</v>
          </cell>
          <cell r="E26" t="e">
            <v>#REF!</v>
          </cell>
          <cell r="F26" t="e">
            <v>#REF!</v>
          </cell>
          <cell r="G26" t="e">
            <v>#REF!</v>
          </cell>
          <cell r="H26" t="e">
            <v>#REF!</v>
          </cell>
          <cell r="I26" t="e">
            <v>#REF!</v>
          </cell>
          <cell r="J26" t="e">
            <v>#REF!</v>
          </cell>
          <cell r="K26" t="e">
            <v>#REF!</v>
          </cell>
          <cell r="L26" t="e">
            <v>#REF!</v>
          </cell>
          <cell r="M26" t="e">
            <v>#REF!</v>
          </cell>
          <cell r="P26" t="e">
            <v>#REF!</v>
          </cell>
        </row>
        <row r="30">
          <cell r="A30" t="e">
            <v>#REF!</v>
          </cell>
          <cell r="B30" t="e">
            <v>#REF!</v>
          </cell>
          <cell r="C30" t="e">
            <v>#REF!</v>
          </cell>
          <cell r="D30" t="e">
            <v>#REF!</v>
          </cell>
          <cell r="E30" t="e">
            <v>#REF!</v>
          </cell>
          <cell r="F30" t="e">
            <v>#REF!</v>
          </cell>
          <cell r="G30" t="e">
            <v>#REF!</v>
          </cell>
          <cell r="H30" t="e">
            <v>#REF!</v>
          </cell>
          <cell r="I30" t="e">
            <v>#REF!</v>
          </cell>
          <cell r="J30" t="e">
            <v>#REF!</v>
          </cell>
          <cell r="K30" t="e">
            <v>#REF!</v>
          </cell>
          <cell r="L30" t="e">
            <v>#REF!</v>
          </cell>
          <cell r="P30" t="e">
            <v>#REF!</v>
          </cell>
        </row>
        <row r="34">
          <cell r="A34" t="e">
            <v>#REF!</v>
          </cell>
          <cell r="B34" t="e">
            <v>#REF!</v>
          </cell>
          <cell r="C34" t="e">
            <v>#REF!</v>
          </cell>
          <cell r="D34" t="e">
            <v>#REF!</v>
          </cell>
          <cell r="E34" t="e">
            <v>#REF!</v>
          </cell>
          <cell r="F34" t="e">
            <v>#REF!</v>
          </cell>
          <cell r="G34" t="e">
            <v>#REF!</v>
          </cell>
          <cell r="H34" t="e">
            <v>#REF!</v>
          </cell>
          <cell r="I34" t="e">
            <v>#REF!</v>
          </cell>
          <cell r="J34" t="e">
            <v>#REF!</v>
          </cell>
          <cell r="K34" t="e">
            <v>#REF!</v>
          </cell>
          <cell r="P34" t="e">
            <v>#REF!</v>
          </cell>
        </row>
        <row r="38">
          <cell r="A38" t="e">
            <v>#REF!</v>
          </cell>
          <cell r="B38" t="e">
            <v>#REF!</v>
          </cell>
          <cell r="C38" t="e">
            <v>#REF!</v>
          </cell>
          <cell r="D38" t="e">
            <v>#REF!</v>
          </cell>
          <cell r="E38" t="e">
            <v>#REF!</v>
          </cell>
          <cell r="F38" t="e">
            <v>#REF!</v>
          </cell>
          <cell r="G38" t="e">
            <v>#REF!</v>
          </cell>
          <cell r="H38" t="e">
            <v>#REF!</v>
          </cell>
          <cell r="I38" t="e">
            <v>#REF!</v>
          </cell>
          <cell r="J38" t="e">
            <v>#REF!</v>
          </cell>
          <cell r="K38" t="e">
            <v>#REF!</v>
          </cell>
          <cell r="L38" t="e">
            <v>#REF!</v>
          </cell>
          <cell r="M38" t="e">
            <v>#REF!</v>
          </cell>
          <cell r="P38" t="e">
            <v>#REF!</v>
          </cell>
        </row>
        <row r="42">
          <cell r="A42" t="e">
            <v>#REF!</v>
          </cell>
          <cell r="B42" t="e">
            <v>#REF!</v>
          </cell>
          <cell r="C42" t="e">
            <v>#REF!</v>
          </cell>
          <cell r="D42" t="e">
            <v>#REF!</v>
          </cell>
          <cell r="E42" t="e">
            <v>#REF!</v>
          </cell>
          <cell r="F42" t="e">
            <v>#REF!</v>
          </cell>
          <cell r="G42" t="e">
            <v>#REF!</v>
          </cell>
          <cell r="H42" t="e">
            <v>#REF!</v>
          </cell>
          <cell r="I42" t="e">
            <v>#REF!</v>
          </cell>
          <cell r="J42" t="e">
            <v>#REF!</v>
          </cell>
          <cell r="K42" t="e">
            <v>#REF!</v>
          </cell>
          <cell r="L42" t="e">
            <v>#REF!</v>
          </cell>
          <cell r="M42" t="e">
            <v>#REF!</v>
          </cell>
          <cell r="N42" t="e">
            <v>#REF!</v>
          </cell>
          <cell r="P42" t="e">
            <v>#REF!</v>
          </cell>
        </row>
        <row r="46">
          <cell r="A46" t="e">
            <v>#REF!</v>
          </cell>
          <cell r="B46" t="e">
            <v>#REF!</v>
          </cell>
          <cell r="C46" t="e">
            <v>#REF!</v>
          </cell>
          <cell r="D46" t="e">
            <v>#REF!</v>
          </cell>
          <cell r="E46" t="e">
            <v>#REF!</v>
          </cell>
          <cell r="F46" t="e">
            <v>#REF!</v>
          </cell>
          <cell r="G46" t="e">
            <v>#REF!</v>
          </cell>
          <cell r="H46" t="e">
            <v>#REF!</v>
          </cell>
          <cell r="I46" t="e">
            <v>#REF!</v>
          </cell>
          <cell r="J46" t="e">
            <v>#REF!</v>
          </cell>
          <cell r="K46" t="e">
            <v>#REF!</v>
          </cell>
          <cell r="L46" t="e">
            <v>#REF!</v>
          </cell>
          <cell r="M46" t="e">
            <v>#REF!</v>
          </cell>
          <cell r="N46" t="e">
            <v>#REF!</v>
          </cell>
          <cell r="P46" t="e">
            <v>#REF!</v>
          </cell>
        </row>
        <row r="50">
          <cell r="A50" t="e">
            <v>#REF!</v>
          </cell>
          <cell r="B50" t="e">
            <v>#REF!</v>
          </cell>
          <cell r="C50" t="e">
            <v>#REF!</v>
          </cell>
          <cell r="D50" t="e">
            <v>#REF!</v>
          </cell>
          <cell r="E50" t="e">
            <v>#REF!</v>
          </cell>
          <cell r="F50" t="e">
            <v>#REF!</v>
          </cell>
          <cell r="G50" t="e">
            <v>#REF!</v>
          </cell>
          <cell r="H50" t="e">
            <v>#REF!</v>
          </cell>
          <cell r="I50" t="e">
            <v>#REF!</v>
          </cell>
          <cell r="J50" t="e">
            <v>#REF!</v>
          </cell>
          <cell r="L50" t="e">
            <v>#REF!</v>
          </cell>
          <cell r="M50" t="e">
            <v>#REF!</v>
          </cell>
          <cell r="N50" t="e">
            <v>#REF!</v>
          </cell>
          <cell r="P50" t="e">
            <v>#REF!</v>
          </cell>
        </row>
        <row r="70">
          <cell r="F70" t="e">
            <v>#REF!</v>
          </cell>
          <cell r="G70" t="e">
            <v>#REF!</v>
          </cell>
          <cell r="H70" t="e">
            <v>#REF!</v>
          </cell>
        </row>
        <row r="71">
          <cell r="C71" t="e">
            <v>#REF!</v>
          </cell>
          <cell r="D71" t="e">
            <v>#REF!</v>
          </cell>
          <cell r="E71" t="e">
            <v>#REF!</v>
          </cell>
          <cell r="F71" t="e">
            <v>#REF!</v>
          </cell>
          <cell r="G71" t="e">
            <v>#REF!</v>
          </cell>
          <cell r="H71" t="e">
            <v>#REF!</v>
          </cell>
          <cell r="I71" t="e">
            <v>#REF!</v>
          </cell>
          <cell r="J71" t="e">
            <v>#REF!</v>
          </cell>
          <cell r="K71" t="e">
            <v>#REF!</v>
          </cell>
          <cell r="L71" t="e">
            <v>#REF!</v>
          </cell>
          <cell r="M71" t="e">
            <v>#REF!</v>
          </cell>
          <cell r="N71" t="e">
            <v>#REF!</v>
          </cell>
        </row>
        <row r="72">
          <cell r="C72" t="e">
            <v>#REF!</v>
          </cell>
          <cell r="D72" t="e">
            <v>#REF!</v>
          </cell>
          <cell r="E72" t="e">
            <v>#REF!</v>
          </cell>
          <cell r="F72" t="e">
            <v>#REF!</v>
          </cell>
          <cell r="G72" t="e">
            <v>#REF!</v>
          </cell>
          <cell r="H72" t="e">
            <v>#REF!</v>
          </cell>
          <cell r="I72" t="e">
            <v>#REF!</v>
          </cell>
          <cell r="J72" t="e">
            <v>#REF!</v>
          </cell>
          <cell r="K72" t="e">
            <v>#REF!</v>
          </cell>
          <cell r="L72" t="e">
            <v>#REF!</v>
          </cell>
          <cell r="M72" t="e">
            <v>#REF!</v>
          </cell>
          <cell r="N72" t="e">
            <v>#REF!</v>
          </cell>
        </row>
        <row r="73">
          <cell r="C73" t="e">
            <v>#REF!</v>
          </cell>
          <cell r="D73" t="e">
            <v>#REF!</v>
          </cell>
          <cell r="E73" t="e">
            <v>#REF!</v>
          </cell>
          <cell r="F73" t="e">
            <v>#REF!</v>
          </cell>
          <cell r="G73" t="e">
            <v>#REF!</v>
          </cell>
          <cell r="H73" t="e">
            <v>#REF!</v>
          </cell>
          <cell r="I73" t="e">
            <v>#REF!</v>
          </cell>
          <cell r="J73" t="e">
            <v>#REF!</v>
          </cell>
          <cell r="K73" t="e">
            <v>#REF!</v>
          </cell>
          <cell r="L73" t="e">
            <v>#REF!</v>
          </cell>
          <cell r="M73" t="e">
            <v>#REF!</v>
          </cell>
          <cell r="N73" t="e">
            <v>#REF!</v>
          </cell>
        </row>
        <row r="74">
          <cell r="C74" t="e">
            <v>#REF!</v>
          </cell>
          <cell r="D74" t="e">
            <v>#REF!</v>
          </cell>
          <cell r="E74" t="e">
            <v>#REF!</v>
          </cell>
          <cell r="F74" t="e">
            <v>#REF!</v>
          </cell>
          <cell r="G74" t="e">
            <v>#REF!</v>
          </cell>
          <cell r="H74" t="e">
            <v>#REF!</v>
          </cell>
          <cell r="I74" t="e">
            <v>#REF!</v>
          </cell>
          <cell r="J74" t="e">
            <v>#REF!</v>
          </cell>
          <cell r="K74" t="e">
            <v>#REF!</v>
          </cell>
          <cell r="L74" t="e">
            <v>#REF!</v>
          </cell>
          <cell r="M74" t="e">
            <v>#REF!</v>
          </cell>
          <cell r="N74" t="e">
            <v>#REF!</v>
          </cell>
        </row>
        <row r="75">
          <cell r="C75" t="e">
            <v>#REF!</v>
          </cell>
          <cell r="D75" t="e">
            <v>#REF!</v>
          </cell>
          <cell r="E75" t="e">
            <v>#REF!</v>
          </cell>
          <cell r="F75" t="e">
            <v>#REF!</v>
          </cell>
          <cell r="G75" t="e">
            <v>#REF!</v>
          </cell>
          <cell r="H75" t="e">
            <v>#REF!</v>
          </cell>
          <cell r="I75" t="e">
            <v>#REF!</v>
          </cell>
          <cell r="J75" t="e">
            <v>#REF!</v>
          </cell>
          <cell r="K75" t="e">
            <v>#REF!</v>
          </cell>
          <cell r="L75" t="e">
            <v>#REF!</v>
          </cell>
          <cell r="M75" t="e">
            <v>#REF!</v>
          </cell>
          <cell r="N75" t="e">
            <v>#REF!</v>
          </cell>
        </row>
        <row r="76">
          <cell r="C76" t="e">
            <v>#REF!</v>
          </cell>
          <cell r="D76" t="e">
            <v>#REF!</v>
          </cell>
          <cell r="E76" t="e">
            <v>#REF!</v>
          </cell>
          <cell r="F76" t="e">
            <v>#REF!</v>
          </cell>
          <cell r="G76" t="e">
            <v>#REF!</v>
          </cell>
          <cell r="H76" t="e">
            <v>#REF!</v>
          </cell>
          <cell r="I76" t="e">
            <v>#REF!</v>
          </cell>
          <cell r="J76" t="e">
            <v>#REF!</v>
          </cell>
          <cell r="L76" t="e">
            <v>#REF!</v>
          </cell>
          <cell r="M76" t="e">
            <v>#REF!</v>
          </cell>
          <cell r="N76" t="e">
            <v>#REF!</v>
          </cell>
        </row>
        <row r="77">
          <cell r="C77" t="e">
            <v>#REF!</v>
          </cell>
          <cell r="D77" t="e">
            <v>#REF!</v>
          </cell>
          <cell r="E77" t="e">
            <v>#REF!</v>
          </cell>
          <cell r="F77" t="e">
            <v>#REF!</v>
          </cell>
          <cell r="G77" t="e">
            <v>#REF!</v>
          </cell>
          <cell r="H77" t="e">
            <v>#REF!</v>
          </cell>
          <cell r="I77" t="e">
            <v>#REF!</v>
          </cell>
          <cell r="J77" t="e">
            <v>#REF!</v>
          </cell>
          <cell r="K77" t="e">
            <v>#REF!</v>
          </cell>
          <cell r="L77" t="e">
            <v>#REF!</v>
          </cell>
          <cell r="M77" t="e">
            <v>#REF!</v>
          </cell>
          <cell r="N77" t="e">
            <v>#REF!</v>
          </cell>
        </row>
        <row r="78">
          <cell r="C78" t="e">
            <v>#REF!</v>
          </cell>
          <cell r="D78" t="e">
            <v>#REF!</v>
          </cell>
          <cell r="E78" t="e">
            <v>#REF!</v>
          </cell>
          <cell r="F78" t="e">
            <v>#REF!</v>
          </cell>
          <cell r="G78" t="e">
            <v>#REF!</v>
          </cell>
          <cell r="H78" t="e">
            <v>#REF!</v>
          </cell>
          <cell r="I78" t="e">
            <v>#REF!</v>
          </cell>
          <cell r="J78" t="e">
            <v>#REF!</v>
          </cell>
          <cell r="K78" t="e">
            <v>#REF!</v>
          </cell>
          <cell r="L78" t="e">
            <v>#REF!</v>
          </cell>
          <cell r="M78" t="e">
            <v>#REF!</v>
          </cell>
          <cell r="N78" t="e">
            <v>#REF!</v>
          </cell>
        </row>
        <row r="79">
          <cell r="C79" t="e">
            <v>#REF!</v>
          </cell>
          <cell r="D79" t="e">
            <v>#REF!</v>
          </cell>
          <cell r="E79" t="e">
            <v>#REF!</v>
          </cell>
          <cell r="F79" t="e">
            <v>#REF!</v>
          </cell>
          <cell r="G79" t="e">
            <v>#REF!</v>
          </cell>
          <cell r="H79" t="e">
            <v>#REF!</v>
          </cell>
          <cell r="I79" t="e">
            <v>#REF!</v>
          </cell>
          <cell r="J79" t="e">
            <v>#REF!</v>
          </cell>
          <cell r="K79" t="e">
            <v>#REF!</v>
          </cell>
          <cell r="L79" t="e">
            <v>#REF!</v>
          </cell>
          <cell r="M79" t="e">
            <v>#REF!</v>
          </cell>
          <cell r="N79" t="e">
            <v>#REF!</v>
          </cell>
        </row>
        <row r="80">
          <cell r="C80" t="e">
            <v>#REF!</v>
          </cell>
          <cell r="D80" t="e">
            <v>#REF!</v>
          </cell>
          <cell r="E80" t="e">
            <v>#REF!</v>
          </cell>
          <cell r="F80" t="e">
            <v>#REF!</v>
          </cell>
          <cell r="G80" t="e">
            <v>#REF!</v>
          </cell>
          <cell r="H80" t="e">
            <v>#REF!</v>
          </cell>
          <cell r="I80" t="e">
            <v>#REF!</v>
          </cell>
          <cell r="J80" t="e">
            <v>#REF!</v>
          </cell>
          <cell r="K80" t="e">
            <v>#REF!</v>
          </cell>
          <cell r="L80" t="e">
            <v>#REF!</v>
          </cell>
          <cell r="M80" t="e">
            <v>#REF!</v>
          </cell>
          <cell r="N80" t="e">
            <v>#REF!</v>
          </cell>
        </row>
        <row r="81">
          <cell r="C81" t="e">
            <v>#REF!</v>
          </cell>
          <cell r="D81" t="e">
            <v>#REF!</v>
          </cell>
          <cell r="E81" t="e">
            <v>#REF!</v>
          </cell>
          <cell r="F81" t="e">
            <v>#REF!</v>
          </cell>
          <cell r="G81" t="e">
            <v>#REF!</v>
          </cell>
          <cell r="H81" t="e">
            <v>#REF!</v>
          </cell>
          <cell r="I81" t="e">
            <v>#REF!</v>
          </cell>
          <cell r="J81" t="e">
            <v>#REF!</v>
          </cell>
          <cell r="K81" t="e">
            <v>#REF!</v>
          </cell>
          <cell r="L81" t="e">
            <v>#REF!</v>
          </cell>
          <cell r="M81" t="e">
            <v>#REF!</v>
          </cell>
          <cell r="N81" t="e">
            <v>#REF!</v>
          </cell>
        </row>
        <row r="82">
          <cell r="C82" t="e">
            <v>#REF!</v>
          </cell>
          <cell r="D82" t="e">
            <v>#REF!</v>
          </cell>
          <cell r="E82" t="e">
            <v>#REF!</v>
          </cell>
          <cell r="F82" t="e">
            <v>#REF!</v>
          </cell>
          <cell r="G82" t="e">
            <v>#REF!</v>
          </cell>
          <cell r="H82" t="e">
            <v>#REF!</v>
          </cell>
          <cell r="I82" t="e">
            <v>#REF!</v>
          </cell>
          <cell r="J82" t="e">
            <v>#REF!</v>
          </cell>
          <cell r="K82" t="e">
            <v>#REF!</v>
          </cell>
          <cell r="L82" t="e">
            <v>#REF!</v>
          </cell>
          <cell r="M82" t="e">
            <v>#REF!</v>
          </cell>
          <cell r="N82" t="e">
            <v>#REF!</v>
          </cell>
        </row>
        <row r="83">
          <cell r="C83" t="e">
            <v>#REF!</v>
          </cell>
          <cell r="D83" t="e">
            <v>#REF!</v>
          </cell>
          <cell r="E83" t="e">
            <v>#REF!</v>
          </cell>
          <cell r="F83" t="e">
            <v>#REF!</v>
          </cell>
          <cell r="G83" t="e">
            <v>#REF!</v>
          </cell>
          <cell r="H83" t="e">
            <v>#REF!</v>
          </cell>
          <cell r="I83" t="e">
            <v>#REF!</v>
          </cell>
          <cell r="J83" t="e">
            <v>#REF!</v>
          </cell>
          <cell r="K83" t="e">
            <v>#REF!</v>
          </cell>
          <cell r="L83" t="e">
            <v>#REF!</v>
          </cell>
          <cell r="M83" t="e">
            <v>#REF!</v>
          </cell>
          <cell r="N83" t="e">
            <v>#REF!</v>
          </cell>
        </row>
        <row r="84">
          <cell r="C84" t="e">
            <v>#REF!</v>
          </cell>
          <cell r="D84" t="e">
            <v>#REF!</v>
          </cell>
          <cell r="E84" t="e">
            <v>#REF!</v>
          </cell>
          <cell r="F84" t="e">
            <v>#REF!</v>
          </cell>
          <cell r="G84" t="e">
            <v>#REF!</v>
          </cell>
          <cell r="H84" t="e">
            <v>#REF!</v>
          </cell>
          <cell r="I84" t="e">
            <v>#REF!</v>
          </cell>
          <cell r="J84" t="e">
            <v>#REF!</v>
          </cell>
          <cell r="K84" t="e">
            <v>#REF!</v>
          </cell>
          <cell r="L84" t="e">
            <v>#REF!</v>
          </cell>
          <cell r="M84" t="e">
            <v>#REF!</v>
          </cell>
          <cell r="N84" t="e">
            <v>#REF!</v>
          </cell>
        </row>
        <row r="93">
          <cell r="A93" t="e">
            <v>#REF!</v>
          </cell>
          <cell r="B93" t="e">
            <v>#REF!</v>
          </cell>
          <cell r="C93" t="e">
            <v>#REF!</v>
          </cell>
          <cell r="D93" t="e">
            <v>#REF!</v>
          </cell>
          <cell r="E93" t="e">
            <v>#REF!</v>
          </cell>
          <cell r="F93" t="e">
            <v>#REF!</v>
          </cell>
          <cell r="G93" t="e">
            <v>#REF!</v>
          </cell>
          <cell r="H93" t="e">
            <v>#REF!</v>
          </cell>
          <cell r="I93" t="e">
            <v>#REF!</v>
          </cell>
          <cell r="J93" t="e">
            <v>#REF!</v>
          </cell>
          <cell r="K93" t="e">
            <v>#REF!</v>
          </cell>
          <cell r="L93" t="e">
            <v>#REF!</v>
          </cell>
          <cell r="M93" t="e">
            <v>#REF!</v>
          </cell>
          <cell r="N93" t="e">
            <v>#REF!</v>
          </cell>
          <cell r="P93" t="e">
            <v>#REF!</v>
          </cell>
        </row>
        <row r="95">
          <cell r="A95" t="e">
            <v>#REF!</v>
          </cell>
          <cell r="B95" t="e">
            <v>#REF!</v>
          </cell>
          <cell r="C95" t="e">
            <v>#REF!</v>
          </cell>
          <cell r="D95" t="e">
            <v>#REF!</v>
          </cell>
          <cell r="E95" t="e">
            <v>#REF!</v>
          </cell>
          <cell r="F95" t="e">
            <v>#REF!</v>
          </cell>
          <cell r="G95" t="e">
            <v>#REF!</v>
          </cell>
          <cell r="H95" t="e">
            <v>#REF!</v>
          </cell>
          <cell r="I95" t="e">
            <v>#REF!</v>
          </cell>
          <cell r="J95" t="e">
            <v>#REF!</v>
          </cell>
          <cell r="K95" t="e">
            <v>#REF!</v>
          </cell>
          <cell r="L95" t="e">
            <v>#REF!</v>
          </cell>
          <cell r="M95" t="e">
            <v>#REF!</v>
          </cell>
          <cell r="N95" t="e">
            <v>#REF!</v>
          </cell>
        </row>
        <row r="96">
          <cell r="A96" t="e">
            <v>#REF!</v>
          </cell>
          <cell r="B96" t="e">
            <v>#REF!</v>
          </cell>
          <cell r="C96" t="e">
            <v>#REF!</v>
          </cell>
          <cell r="D96" t="e">
            <v>#REF!</v>
          </cell>
          <cell r="E96" t="e">
            <v>#REF!</v>
          </cell>
          <cell r="F96" t="e">
            <v>#REF!</v>
          </cell>
          <cell r="G96" t="e">
            <v>#REF!</v>
          </cell>
          <cell r="H96" t="e">
            <v>#REF!</v>
          </cell>
          <cell r="I96" t="e">
            <v>#REF!</v>
          </cell>
          <cell r="J96" t="e">
            <v>#REF!</v>
          </cell>
          <cell r="K96" t="e">
            <v>#REF!</v>
          </cell>
          <cell r="L96" t="e">
            <v>#REF!</v>
          </cell>
          <cell r="M96" t="e">
            <v>#REF!</v>
          </cell>
          <cell r="N96" t="e">
            <v>#REF!</v>
          </cell>
          <cell r="P96" t="e">
            <v>#REF!</v>
          </cell>
        </row>
        <row r="97">
          <cell r="B97" t="e">
            <v>#REF!</v>
          </cell>
          <cell r="C97" t="e">
            <v>#REF!</v>
          </cell>
          <cell r="D97" t="e">
            <v>#REF!</v>
          </cell>
          <cell r="E97" t="e">
            <v>#REF!</v>
          </cell>
          <cell r="F97" t="e">
            <v>#REF!</v>
          </cell>
          <cell r="G97" t="e">
            <v>#REF!</v>
          </cell>
          <cell r="H97" t="e">
            <v>#REF!</v>
          </cell>
          <cell r="I97" t="e">
            <v>#REF!</v>
          </cell>
          <cell r="J97" t="e">
            <v>#REF!</v>
          </cell>
          <cell r="K97" t="e">
            <v>#REF!</v>
          </cell>
          <cell r="L97" t="e">
            <v>#REF!</v>
          </cell>
          <cell r="M97" t="e">
            <v>#REF!</v>
          </cell>
          <cell r="N97" t="e">
            <v>#REF!</v>
          </cell>
          <cell r="P97" t="e">
            <v>#REF!</v>
          </cell>
        </row>
        <row r="101">
          <cell r="A101" t="e">
            <v>#REF!</v>
          </cell>
          <cell r="B101" t="e">
            <v>#REF!</v>
          </cell>
          <cell r="C101" t="e">
            <v>#REF!</v>
          </cell>
          <cell r="D101" t="e">
            <v>#REF!</v>
          </cell>
          <cell r="E101" t="e">
            <v>#REF!</v>
          </cell>
          <cell r="F101" t="e">
            <v>#REF!</v>
          </cell>
          <cell r="G101" t="e">
            <v>#REF!</v>
          </cell>
          <cell r="H101" t="e">
            <v>#REF!</v>
          </cell>
          <cell r="I101" t="e">
            <v>#REF!</v>
          </cell>
          <cell r="J101" t="e">
            <v>#REF!</v>
          </cell>
          <cell r="K101" t="e">
            <v>#REF!</v>
          </cell>
          <cell r="L101" t="e">
            <v>#REF!</v>
          </cell>
          <cell r="M101" t="e">
            <v>#REF!</v>
          </cell>
          <cell r="N101" t="e">
            <v>#REF!</v>
          </cell>
          <cell r="P101" t="e">
            <v>#REF!</v>
          </cell>
        </row>
        <row r="102">
          <cell r="A102" t="e">
            <v>#REF!</v>
          </cell>
          <cell r="B102" t="e">
            <v>#REF!</v>
          </cell>
          <cell r="C102" t="e">
            <v>#REF!</v>
          </cell>
          <cell r="D102" t="e">
            <v>#REF!</v>
          </cell>
          <cell r="E102" t="e">
            <v>#REF!</v>
          </cell>
          <cell r="F102" t="e">
            <v>#REF!</v>
          </cell>
          <cell r="G102" t="e">
            <v>#REF!</v>
          </cell>
          <cell r="H102" t="e">
            <v>#REF!</v>
          </cell>
          <cell r="I102" t="e">
            <v>#REF!</v>
          </cell>
          <cell r="J102" t="e">
            <v>#REF!</v>
          </cell>
          <cell r="K102" t="e">
            <v>#REF!</v>
          </cell>
          <cell r="L102" t="e">
            <v>#REF!</v>
          </cell>
          <cell r="M102" t="e">
            <v>#REF!</v>
          </cell>
          <cell r="N102" t="e">
            <v>#REF!</v>
          </cell>
          <cell r="P102" t="e">
            <v>#REF!</v>
          </cell>
        </row>
        <row r="103">
          <cell r="B103" t="e">
            <v>#REF!</v>
          </cell>
          <cell r="C103" t="e">
            <v>#REF!</v>
          </cell>
          <cell r="D103" t="e">
            <v>#REF!</v>
          </cell>
          <cell r="E103" t="e">
            <v>#REF!</v>
          </cell>
          <cell r="F103" t="e">
            <v>#REF!</v>
          </cell>
          <cell r="G103" t="e">
            <v>#REF!</v>
          </cell>
          <cell r="H103" t="e">
            <v>#REF!</v>
          </cell>
          <cell r="I103" t="e">
            <v>#REF!</v>
          </cell>
          <cell r="J103" t="e">
            <v>#REF!</v>
          </cell>
          <cell r="K103" t="e">
            <v>#REF!</v>
          </cell>
          <cell r="L103" t="e">
            <v>#REF!</v>
          </cell>
          <cell r="M103" t="e">
            <v>#REF!</v>
          </cell>
          <cell r="N103" t="e">
            <v>#REF!</v>
          </cell>
          <cell r="P103" t="e">
            <v>#REF!</v>
          </cell>
        </row>
        <row r="104">
          <cell r="B104" t="e">
            <v>#REF!</v>
          </cell>
          <cell r="C104" t="e">
            <v>#REF!</v>
          </cell>
          <cell r="D104" t="e">
            <v>#REF!</v>
          </cell>
          <cell r="E104" t="e">
            <v>#REF!</v>
          </cell>
          <cell r="F104" t="e">
            <v>#REF!</v>
          </cell>
          <cell r="G104" t="e">
            <v>#REF!</v>
          </cell>
          <cell r="H104" t="e">
            <v>#REF!</v>
          </cell>
          <cell r="I104" t="e">
            <v>#REF!</v>
          </cell>
          <cell r="J104" t="e">
            <v>#REF!</v>
          </cell>
          <cell r="K104" t="e">
            <v>#REF!</v>
          </cell>
          <cell r="L104" t="e">
            <v>#REF!</v>
          </cell>
          <cell r="M104" t="e">
            <v>#REF!</v>
          </cell>
          <cell r="N104" t="e">
            <v>#REF!</v>
          </cell>
          <cell r="P104" t="e">
            <v>#REF!</v>
          </cell>
        </row>
        <row r="105">
          <cell r="B105" t="e">
            <v>#REF!</v>
          </cell>
          <cell r="C105" t="e">
            <v>#REF!</v>
          </cell>
          <cell r="D105" t="e">
            <v>#REF!</v>
          </cell>
          <cell r="E105" t="e">
            <v>#REF!</v>
          </cell>
          <cell r="F105" t="e">
            <v>#REF!</v>
          </cell>
          <cell r="G105" t="e">
            <v>#REF!</v>
          </cell>
          <cell r="H105" t="e">
            <v>#REF!</v>
          </cell>
          <cell r="I105" t="e">
            <v>#REF!</v>
          </cell>
          <cell r="J105" t="e">
            <v>#REF!</v>
          </cell>
          <cell r="K105" t="e">
            <v>#REF!</v>
          </cell>
          <cell r="L105" t="e">
            <v>#REF!</v>
          </cell>
          <cell r="M105" t="e">
            <v>#REF!</v>
          </cell>
          <cell r="N105" t="e">
            <v>#REF!</v>
          </cell>
          <cell r="P105" t="e">
            <v>#REF!</v>
          </cell>
        </row>
        <row r="106">
          <cell r="B106" t="e">
            <v>#REF!</v>
          </cell>
          <cell r="C106" t="e">
            <v>#REF!</v>
          </cell>
          <cell r="D106" t="e">
            <v>#REF!</v>
          </cell>
          <cell r="E106" t="e">
            <v>#REF!</v>
          </cell>
          <cell r="F106" t="e">
            <v>#REF!</v>
          </cell>
          <cell r="G106" t="e">
            <v>#REF!</v>
          </cell>
          <cell r="H106" t="e">
            <v>#REF!</v>
          </cell>
          <cell r="I106" t="e">
            <v>#REF!</v>
          </cell>
          <cell r="J106" t="e">
            <v>#REF!</v>
          </cell>
          <cell r="K106" t="e">
            <v>#REF!</v>
          </cell>
          <cell r="L106" t="e">
            <v>#REF!</v>
          </cell>
          <cell r="M106" t="e">
            <v>#REF!</v>
          </cell>
          <cell r="N106" t="e">
            <v>#REF!</v>
          </cell>
          <cell r="P106" t="e">
            <v>#REF!</v>
          </cell>
        </row>
        <row r="107">
          <cell r="B107" t="e">
            <v>#REF!</v>
          </cell>
          <cell r="C107" t="e">
            <v>#REF!</v>
          </cell>
          <cell r="D107" t="e">
            <v>#REF!</v>
          </cell>
          <cell r="E107" t="e">
            <v>#REF!</v>
          </cell>
          <cell r="F107" t="e">
            <v>#REF!</v>
          </cell>
          <cell r="G107" t="e">
            <v>#REF!</v>
          </cell>
          <cell r="H107" t="e">
            <v>#REF!</v>
          </cell>
          <cell r="I107" t="e">
            <v>#REF!</v>
          </cell>
          <cell r="J107" t="e">
            <v>#REF!</v>
          </cell>
          <cell r="K107" t="e">
            <v>#REF!</v>
          </cell>
          <cell r="L107" t="e">
            <v>#REF!</v>
          </cell>
          <cell r="M107" t="e">
            <v>#REF!</v>
          </cell>
          <cell r="N107" t="e">
            <v>#REF!</v>
          </cell>
          <cell r="P107" t="e">
            <v>#REF!</v>
          </cell>
        </row>
        <row r="108">
          <cell r="A108" t="e">
            <v>#REF!</v>
          </cell>
          <cell r="B108" t="e">
            <v>#REF!</v>
          </cell>
          <cell r="C108" t="e">
            <v>#REF!</v>
          </cell>
          <cell r="D108" t="e">
            <v>#REF!</v>
          </cell>
          <cell r="E108" t="e">
            <v>#REF!</v>
          </cell>
          <cell r="F108" t="e">
            <v>#REF!</v>
          </cell>
          <cell r="G108" t="e">
            <v>#REF!</v>
          </cell>
          <cell r="H108" t="e">
            <v>#REF!</v>
          </cell>
          <cell r="I108" t="e">
            <v>#REF!</v>
          </cell>
          <cell r="J108" t="e">
            <v>#REF!</v>
          </cell>
          <cell r="K108" t="e">
            <v>#REF!</v>
          </cell>
          <cell r="L108" t="e">
            <v>#REF!</v>
          </cell>
          <cell r="M108" t="e">
            <v>#REF!</v>
          </cell>
          <cell r="N108" t="e">
            <v>#REF!</v>
          </cell>
          <cell r="P108" t="e">
            <v>#REF!</v>
          </cell>
        </row>
        <row r="109">
          <cell r="A109" t="e">
            <v>#REF!</v>
          </cell>
          <cell r="B109" t="e">
            <v>#REF!</v>
          </cell>
          <cell r="C109" t="e">
            <v>#REF!</v>
          </cell>
          <cell r="D109" t="e">
            <v>#REF!</v>
          </cell>
          <cell r="E109" t="e">
            <v>#REF!</v>
          </cell>
          <cell r="F109" t="e">
            <v>#REF!</v>
          </cell>
          <cell r="G109" t="e">
            <v>#REF!</v>
          </cell>
          <cell r="H109" t="e">
            <v>#REF!</v>
          </cell>
          <cell r="I109" t="e">
            <v>#REF!</v>
          </cell>
          <cell r="J109" t="e">
            <v>#REF!</v>
          </cell>
          <cell r="K109" t="e">
            <v>#REF!</v>
          </cell>
          <cell r="L109" t="e">
            <v>#REF!</v>
          </cell>
          <cell r="M109" t="e">
            <v>#REF!</v>
          </cell>
          <cell r="N109" t="e">
            <v>#REF!</v>
          </cell>
          <cell r="P109" t="e">
            <v>#REF!</v>
          </cell>
        </row>
        <row r="110">
          <cell r="B110" t="e">
            <v>#REF!</v>
          </cell>
          <cell r="C110" t="e">
            <v>#REF!</v>
          </cell>
          <cell r="D110" t="e">
            <v>#REF!</v>
          </cell>
          <cell r="E110" t="e">
            <v>#REF!</v>
          </cell>
          <cell r="F110" t="e">
            <v>#REF!</v>
          </cell>
          <cell r="G110" t="e">
            <v>#REF!</v>
          </cell>
          <cell r="H110" t="e">
            <v>#REF!</v>
          </cell>
          <cell r="I110" t="e">
            <v>#REF!</v>
          </cell>
          <cell r="J110" t="e">
            <v>#REF!</v>
          </cell>
          <cell r="K110" t="e">
            <v>#REF!</v>
          </cell>
          <cell r="L110" t="e">
            <v>#REF!</v>
          </cell>
          <cell r="M110" t="e">
            <v>#REF!</v>
          </cell>
          <cell r="N110" t="e">
            <v>#REF!</v>
          </cell>
          <cell r="P110" t="e">
            <v>#REF!</v>
          </cell>
        </row>
        <row r="112">
          <cell r="B112" t="e">
            <v>#REF!</v>
          </cell>
          <cell r="C112" t="e">
            <v>#REF!</v>
          </cell>
          <cell r="D112" t="e">
            <v>#REF!</v>
          </cell>
          <cell r="E112" t="e">
            <v>#REF!</v>
          </cell>
          <cell r="F112" t="e">
            <v>#REF!</v>
          </cell>
          <cell r="G112" t="e">
            <v>#REF!</v>
          </cell>
          <cell r="H112" t="e">
            <v>#REF!</v>
          </cell>
          <cell r="I112" t="e">
            <v>#REF!</v>
          </cell>
          <cell r="J112" t="e">
            <v>#REF!</v>
          </cell>
          <cell r="K112" t="e">
            <v>#REF!</v>
          </cell>
          <cell r="L112" t="e">
            <v>#REF!</v>
          </cell>
          <cell r="M112" t="e">
            <v>#REF!</v>
          </cell>
          <cell r="N112" t="e">
            <v>#REF!</v>
          </cell>
          <cell r="P112" t="e">
            <v>#REF!</v>
          </cell>
        </row>
        <row r="113">
          <cell r="B113" t="e">
            <v>#REF!</v>
          </cell>
          <cell r="C113" t="e">
            <v>#REF!</v>
          </cell>
          <cell r="D113" t="e">
            <v>#REF!</v>
          </cell>
          <cell r="E113" t="e">
            <v>#REF!</v>
          </cell>
          <cell r="F113" t="e">
            <v>#REF!</v>
          </cell>
          <cell r="G113" t="e">
            <v>#REF!</v>
          </cell>
          <cell r="H113" t="e">
            <v>#REF!</v>
          </cell>
          <cell r="I113" t="e">
            <v>#REF!</v>
          </cell>
          <cell r="J113" t="e">
            <v>#REF!</v>
          </cell>
          <cell r="K113" t="e">
            <v>#REF!</v>
          </cell>
          <cell r="L113" t="e">
            <v>#REF!</v>
          </cell>
          <cell r="M113" t="e">
            <v>#REF!</v>
          </cell>
          <cell r="N113" t="e">
            <v>#REF!</v>
          </cell>
          <cell r="P113" t="e">
            <v>#REF!</v>
          </cell>
        </row>
        <row r="114">
          <cell r="B114" t="e">
            <v>#REF!</v>
          </cell>
          <cell r="C114" t="e">
            <v>#REF!</v>
          </cell>
          <cell r="D114" t="e">
            <v>#REF!</v>
          </cell>
          <cell r="E114" t="e">
            <v>#REF!</v>
          </cell>
          <cell r="F114" t="e">
            <v>#REF!</v>
          </cell>
          <cell r="G114" t="e">
            <v>#REF!</v>
          </cell>
          <cell r="H114" t="e">
            <v>#REF!</v>
          </cell>
          <cell r="I114" t="e">
            <v>#REF!</v>
          </cell>
          <cell r="J114" t="e">
            <v>#REF!</v>
          </cell>
          <cell r="K114" t="e">
            <v>#REF!</v>
          </cell>
          <cell r="L114" t="e">
            <v>#REF!</v>
          </cell>
          <cell r="M114" t="e">
            <v>#REF!</v>
          </cell>
          <cell r="N114" t="e">
            <v>#REF!</v>
          </cell>
          <cell r="P114" t="e">
            <v>#REF!</v>
          </cell>
        </row>
        <row r="115">
          <cell r="B115" t="e">
            <v>#REF!</v>
          </cell>
          <cell r="C115" t="e">
            <v>#REF!</v>
          </cell>
          <cell r="D115" t="e">
            <v>#REF!</v>
          </cell>
          <cell r="E115" t="e">
            <v>#REF!</v>
          </cell>
          <cell r="F115" t="e">
            <v>#REF!</v>
          </cell>
          <cell r="G115" t="e">
            <v>#REF!</v>
          </cell>
          <cell r="H115" t="e">
            <v>#REF!</v>
          </cell>
          <cell r="I115" t="e">
            <v>#REF!</v>
          </cell>
          <cell r="J115" t="e">
            <v>#REF!</v>
          </cell>
          <cell r="K115" t="e">
            <v>#REF!</v>
          </cell>
          <cell r="L115" t="e">
            <v>#REF!</v>
          </cell>
          <cell r="M115" t="e">
            <v>#REF!</v>
          </cell>
          <cell r="N115" t="e">
            <v>#REF!</v>
          </cell>
          <cell r="P115" t="e">
            <v>#REF!</v>
          </cell>
        </row>
        <row r="116">
          <cell r="B116" t="e">
            <v>#REF!</v>
          </cell>
          <cell r="C116" t="e">
            <v>#REF!</v>
          </cell>
          <cell r="D116" t="e">
            <v>#REF!</v>
          </cell>
          <cell r="E116" t="e">
            <v>#REF!</v>
          </cell>
          <cell r="F116" t="e">
            <v>#REF!</v>
          </cell>
          <cell r="G116" t="e">
            <v>#REF!</v>
          </cell>
          <cell r="H116" t="e">
            <v>#REF!</v>
          </cell>
          <cell r="I116" t="e">
            <v>#REF!</v>
          </cell>
          <cell r="J116" t="e">
            <v>#REF!</v>
          </cell>
          <cell r="K116" t="e">
            <v>#REF!</v>
          </cell>
          <cell r="L116" t="e">
            <v>#REF!</v>
          </cell>
          <cell r="M116" t="e">
            <v>#REF!</v>
          </cell>
          <cell r="N116" t="e">
            <v>#REF!</v>
          </cell>
          <cell r="P116" t="e">
            <v>#REF!</v>
          </cell>
        </row>
        <row r="117">
          <cell r="B117" t="e">
            <v>#REF!</v>
          </cell>
          <cell r="C117" t="e">
            <v>#REF!</v>
          </cell>
          <cell r="D117" t="e">
            <v>#REF!</v>
          </cell>
          <cell r="E117" t="e">
            <v>#REF!</v>
          </cell>
          <cell r="F117" t="e">
            <v>#REF!</v>
          </cell>
          <cell r="G117" t="e">
            <v>#REF!</v>
          </cell>
          <cell r="H117" t="e">
            <v>#REF!</v>
          </cell>
          <cell r="I117" t="e">
            <v>#REF!</v>
          </cell>
          <cell r="J117" t="e">
            <v>#REF!</v>
          </cell>
          <cell r="K117" t="e">
            <v>#REF!</v>
          </cell>
          <cell r="L117" t="e">
            <v>#REF!</v>
          </cell>
          <cell r="M117" t="e">
            <v>#REF!</v>
          </cell>
          <cell r="N117" t="e">
            <v>#REF!</v>
          </cell>
          <cell r="P117" t="e">
            <v>#REF!</v>
          </cell>
        </row>
        <row r="118">
          <cell r="B118" t="e">
            <v>#REF!</v>
          </cell>
          <cell r="C118" t="e">
            <v>#REF!</v>
          </cell>
          <cell r="D118" t="e">
            <v>#REF!</v>
          </cell>
          <cell r="E118" t="e">
            <v>#REF!</v>
          </cell>
          <cell r="F118" t="e">
            <v>#REF!</v>
          </cell>
          <cell r="G118" t="e">
            <v>#REF!</v>
          </cell>
          <cell r="H118" t="e">
            <v>#REF!</v>
          </cell>
          <cell r="I118" t="e">
            <v>#REF!</v>
          </cell>
          <cell r="J118" t="e">
            <v>#REF!</v>
          </cell>
          <cell r="K118" t="e">
            <v>#REF!</v>
          </cell>
          <cell r="L118" t="e">
            <v>#REF!</v>
          </cell>
          <cell r="M118" t="e">
            <v>#REF!</v>
          </cell>
          <cell r="N118" t="e">
            <v>#REF!</v>
          </cell>
          <cell r="P118" t="e">
            <v>#REF!</v>
          </cell>
        </row>
        <row r="119">
          <cell r="A119" t="e">
            <v>#REF!</v>
          </cell>
          <cell r="B119" t="e">
            <v>#REF!</v>
          </cell>
          <cell r="C119" t="e">
            <v>#REF!</v>
          </cell>
          <cell r="D119" t="e">
            <v>#REF!</v>
          </cell>
          <cell r="E119" t="e">
            <v>#REF!</v>
          </cell>
          <cell r="F119" t="e">
            <v>#REF!</v>
          </cell>
          <cell r="G119" t="e">
            <v>#REF!</v>
          </cell>
          <cell r="H119" t="e">
            <v>#REF!</v>
          </cell>
          <cell r="I119" t="e">
            <v>#REF!</v>
          </cell>
          <cell r="J119" t="e">
            <v>#REF!</v>
          </cell>
          <cell r="K119" t="e">
            <v>#REF!</v>
          </cell>
          <cell r="L119" t="e">
            <v>#REF!</v>
          </cell>
          <cell r="M119" t="e">
            <v>#REF!</v>
          </cell>
          <cell r="N119" t="e">
            <v>#REF!</v>
          </cell>
          <cell r="P119" t="e">
            <v>#REF!</v>
          </cell>
        </row>
        <row r="120">
          <cell r="A120" t="e">
            <v>#REF!</v>
          </cell>
          <cell r="B120" t="e">
            <v>#REF!</v>
          </cell>
          <cell r="C120" t="e">
            <v>#REF!</v>
          </cell>
          <cell r="D120" t="e">
            <v>#REF!</v>
          </cell>
          <cell r="E120" t="e">
            <v>#REF!</v>
          </cell>
          <cell r="F120" t="e">
            <v>#REF!</v>
          </cell>
          <cell r="G120" t="e">
            <v>#REF!</v>
          </cell>
          <cell r="H120" t="e">
            <v>#REF!</v>
          </cell>
          <cell r="I120" t="e">
            <v>#REF!</v>
          </cell>
          <cell r="J120" t="e">
            <v>#REF!</v>
          </cell>
          <cell r="K120" t="e">
            <v>#REF!</v>
          </cell>
          <cell r="L120" t="e">
            <v>#REF!</v>
          </cell>
          <cell r="M120" t="e">
            <v>#REF!</v>
          </cell>
          <cell r="N120" t="e">
            <v>#REF!</v>
          </cell>
          <cell r="P120" t="e">
            <v>#REF!</v>
          </cell>
        </row>
        <row r="121">
          <cell r="B121" t="e">
            <v>#REF!</v>
          </cell>
          <cell r="C121" t="e">
            <v>#REF!</v>
          </cell>
          <cell r="D121" t="e">
            <v>#REF!</v>
          </cell>
          <cell r="E121" t="e">
            <v>#REF!</v>
          </cell>
          <cell r="F121" t="e">
            <v>#REF!</v>
          </cell>
          <cell r="G121" t="e">
            <v>#REF!</v>
          </cell>
          <cell r="H121" t="e">
            <v>#REF!</v>
          </cell>
          <cell r="I121" t="e">
            <v>#REF!</v>
          </cell>
          <cell r="J121" t="e">
            <v>#REF!</v>
          </cell>
          <cell r="K121" t="e">
            <v>#REF!</v>
          </cell>
          <cell r="L121" t="e">
            <v>#REF!</v>
          </cell>
          <cell r="M121" t="e">
            <v>#REF!</v>
          </cell>
          <cell r="N121" t="e">
            <v>#REF!</v>
          </cell>
          <cell r="P121" t="e">
            <v>#REF!</v>
          </cell>
        </row>
        <row r="122">
          <cell r="B122" t="e">
            <v>#REF!</v>
          </cell>
          <cell r="C122" t="e">
            <v>#REF!</v>
          </cell>
          <cell r="D122" t="e">
            <v>#REF!</v>
          </cell>
          <cell r="E122" t="e">
            <v>#REF!</v>
          </cell>
          <cell r="F122" t="e">
            <v>#REF!</v>
          </cell>
          <cell r="G122" t="e">
            <v>#REF!</v>
          </cell>
          <cell r="H122" t="e">
            <v>#REF!</v>
          </cell>
          <cell r="I122" t="e">
            <v>#REF!</v>
          </cell>
          <cell r="J122" t="e">
            <v>#REF!</v>
          </cell>
          <cell r="K122" t="e">
            <v>#REF!</v>
          </cell>
          <cell r="L122" t="e">
            <v>#REF!</v>
          </cell>
          <cell r="M122" t="e">
            <v>#REF!</v>
          </cell>
          <cell r="N122" t="e">
            <v>#REF!</v>
          </cell>
          <cell r="P122" t="e">
            <v>#REF!</v>
          </cell>
        </row>
        <row r="123">
          <cell r="A123" t="e">
            <v>#REF!</v>
          </cell>
          <cell r="B123" t="e">
            <v>#REF!</v>
          </cell>
          <cell r="C123" t="e">
            <v>#REF!</v>
          </cell>
          <cell r="D123" t="e">
            <v>#REF!</v>
          </cell>
          <cell r="E123" t="e">
            <v>#REF!</v>
          </cell>
          <cell r="F123" t="e">
            <v>#REF!</v>
          </cell>
          <cell r="G123" t="e">
            <v>#REF!</v>
          </cell>
          <cell r="H123" t="e">
            <v>#REF!</v>
          </cell>
          <cell r="I123" t="e">
            <v>#REF!</v>
          </cell>
          <cell r="J123" t="e">
            <v>#REF!</v>
          </cell>
          <cell r="K123" t="e">
            <v>#REF!</v>
          </cell>
          <cell r="L123" t="e">
            <v>#REF!</v>
          </cell>
          <cell r="M123" t="e">
            <v>#REF!</v>
          </cell>
          <cell r="N123" t="e">
            <v>#REF!</v>
          </cell>
          <cell r="P123" t="e">
            <v>#REF!</v>
          </cell>
        </row>
        <row r="124">
          <cell r="B124" t="e">
            <v>#REF!</v>
          </cell>
          <cell r="C124" t="e">
            <v>#REF!</v>
          </cell>
          <cell r="D124" t="e">
            <v>#REF!</v>
          </cell>
          <cell r="E124" t="e">
            <v>#REF!</v>
          </cell>
          <cell r="F124" t="e">
            <v>#REF!</v>
          </cell>
          <cell r="G124" t="e">
            <v>#REF!</v>
          </cell>
          <cell r="H124" t="e">
            <v>#REF!</v>
          </cell>
          <cell r="I124" t="e">
            <v>#REF!</v>
          </cell>
          <cell r="J124" t="e">
            <v>#REF!</v>
          </cell>
          <cell r="K124" t="e">
            <v>#REF!</v>
          </cell>
          <cell r="L124" t="e">
            <v>#REF!</v>
          </cell>
          <cell r="M124" t="e">
            <v>#REF!</v>
          </cell>
          <cell r="N124" t="e">
            <v>#REF!</v>
          </cell>
          <cell r="P124" t="e">
            <v>#REF!</v>
          </cell>
        </row>
        <row r="125">
          <cell r="A125" t="e">
            <v>#REF!</v>
          </cell>
          <cell r="B125" t="e">
            <v>#REF!</v>
          </cell>
          <cell r="C125" t="e">
            <v>#REF!</v>
          </cell>
          <cell r="D125" t="e">
            <v>#REF!</v>
          </cell>
          <cell r="E125" t="e">
            <v>#REF!</v>
          </cell>
          <cell r="F125" t="e">
            <v>#REF!</v>
          </cell>
          <cell r="G125" t="e">
            <v>#REF!</v>
          </cell>
          <cell r="H125" t="e">
            <v>#REF!</v>
          </cell>
          <cell r="I125" t="e">
            <v>#REF!</v>
          </cell>
          <cell r="J125" t="e">
            <v>#REF!</v>
          </cell>
          <cell r="K125" t="e">
            <v>#REF!</v>
          </cell>
          <cell r="L125" t="e">
            <v>#REF!</v>
          </cell>
          <cell r="M125" t="e">
            <v>#REF!</v>
          </cell>
          <cell r="N125" t="e">
            <v>#REF!</v>
          </cell>
          <cell r="P125" t="e">
            <v>#REF!</v>
          </cell>
        </row>
        <row r="126">
          <cell r="B126" t="e">
            <v>#REF!</v>
          </cell>
          <cell r="C126" t="e">
            <v>#REF!</v>
          </cell>
          <cell r="D126" t="e">
            <v>#REF!</v>
          </cell>
          <cell r="E126" t="e">
            <v>#REF!</v>
          </cell>
          <cell r="F126" t="e">
            <v>#REF!</v>
          </cell>
          <cell r="G126" t="e">
            <v>#REF!</v>
          </cell>
          <cell r="H126" t="e">
            <v>#REF!</v>
          </cell>
          <cell r="I126" t="e">
            <v>#REF!</v>
          </cell>
          <cell r="J126" t="e">
            <v>#REF!</v>
          </cell>
          <cell r="K126" t="e">
            <v>#REF!</v>
          </cell>
          <cell r="L126" t="e">
            <v>#REF!</v>
          </cell>
          <cell r="M126" t="e">
            <v>#REF!</v>
          </cell>
          <cell r="N126" t="e">
            <v>#REF!</v>
          </cell>
          <cell r="P126" t="e">
            <v>#REF!</v>
          </cell>
        </row>
        <row r="127">
          <cell r="B127" t="e">
            <v>#REF!</v>
          </cell>
          <cell r="C127" t="e">
            <v>#REF!</v>
          </cell>
          <cell r="D127" t="e">
            <v>#REF!</v>
          </cell>
          <cell r="E127" t="e">
            <v>#REF!</v>
          </cell>
          <cell r="F127" t="e">
            <v>#REF!</v>
          </cell>
          <cell r="G127" t="e">
            <v>#REF!</v>
          </cell>
          <cell r="H127" t="e">
            <v>#REF!</v>
          </cell>
          <cell r="I127" t="e">
            <v>#REF!</v>
          </cell>
          <cell r="J127" t="e">
            <v>#REF!</v>
          </cell>
          <cell r="K127" t="e">
            <v>#REF!</v>
          </cell>
          <cell r="L127" t="e">
            <v>#REF!</v>
          </cell>
          <cell r="M127" t="e">
            <v>#REF!</v>
          </cell>
          <cell r="N127" t="e">
            <v>#REF!</v>
          </cell>
          <cell r="P127" t="e">
            <v>#REF!</v>
          </cell>
        </row>
        <row r="128">
          <cell r="B128" t="e">
            <v>#REF!</v>
          </cell>
          <cell r="C128" t="e">
            <v>#REF!</v>
          </cell>
          <cell r="D128" t="e">
            <v>#REF!</v>
          </cell>
          <cell r="E128" t="e">
            <v>#REF!</v>
          </cell>
          <cell r="F128" t="e">
            <v>#REF!</v>
          </cell>
          <cell r="G128" t="e">
            <v>#REF!</v>
          </cell>
          <cell r="H128" t="e">
            <v>#REF!</v>
          </cell>
          <cell r="I128" t="e">
            <v>#REF!</v>
          </cell>
          <cell r="J128" t="e">
            <v>#REF!</v>
          </cell>
          <cell r="K128" t="e">
            <v>#REF!</v>
          </cell>
          <cell r="L128" t="e">
            <v>#REF!</v>
          </cell>
          <cell r="M128" t="e">
            <v>#REF!</v>
          </cell>
          <cell r="N128" t="e">
            <v>#REF!</v>
          </cell>
          <cell r="P128" t="e">
            <v>#REF!</v>
          </cell>
        </row>
        <row r="129">
          <cell r="A129" t="e">
            <v>#REF!</v>
          </cell>
          <cell r="B129" t="e">
            <v>#REF!</v>
          </cell>
          <cell r="C129" t="e">
            <v>#REF!</v>
          </cell>
          <cell r="D129" t="e">
            <v>#REF!</v>
          </cell>
          <cell r="E129" t="e">
            <v>#REF!</v>
          </cell>
          <cell r="F129" t="e">
            <v>#REF!</v>
          </cell>
          <cell r="G129" t="e">
            <v>#REF!</v>
          </cell>
          <cell r="H129" t="e">
            <v>#REF!</v>
          </cell>
          <cell r="I129" t="e">
            <v>#REF!</v>
          </cell>
          <cell r="J129" t="e">
            <v>#REF!</v>
          </cell>
          <cell r="K129" t="e">
            <v>#REF!</v>
          </cell>
          <cell r="L129" t="e">
            <v>#REF!</v>
          </cell>
          <cell r="M129" t="e">
            <v>#REF!</v>
          </cell>
          <cell r="N129" t="e">
            <v>#REF!</v>
          </cell>
          <cell r="P129" t="e">
            <v>#REF!</v>
          </cell>
        </row>
        <row r="130">
          <cell r="B130" t="e">
            <v>#REF!</v>
          </cell>
          <cell r="C130" t="e">
            <v>#REF!</v>
          </cell>
          <cell r="D130" t="e">
            <v>#REF!</v>
          </cell>
          <cell r="E130" t="e">
            <v>#REF!</v>
          </cell>
          <cell r="F130" t="e">
            <v>#REF!</v>
          </cell>
          <cell r="G130" t="e">
            <v>#REF!</v>
          </cell>
          <cell r="H130" t="e">
            <v>#REF!</v>
          </cell>
          <cell r="I130" t="e">
            <v>#REF!</v>
          </cell>
          <cell r="J130" t="e">
            <v>#REF!</v>
          </cell>
          <cell r="K130" t="e">
            <v>#REF!</v>
          </cell>
          <cell r="L130" t="e">
            <v>#REF!</v>
          </cell>
          <cell r="M130" t="e">
            <v>#REF!</v>
          </cell>
          <cell r="N130" t="e">
            <v>#REF!</v>
          </cell>
          <cell r="P130" t="e">
            <v>#REF!</v>
          </cell>
        </row>
        <row r="132">
          <cell r="A132" t="e">
            <v>#REF!</v>
          </cell>
          <cell r="B132" t="e">
            <v>#REF!</v>
          </cell>
          <cell r="C132" t="e">
            <v>#REF!</v>
          </cell>
          <cell r="D132" t="e">
            <v>#REF!</v>
          </cell>
          <cell r="E132" t="e">
            <v>#REF!</v>
          </cell>
          <cell r="F132" t="e">
            <v>#REF!</v>
          </cell>
          <cell r="G132" t="e">
            <v>#REF!</v>
          </cell>
          <cell r="H132" t="e">
            <v>#REF!</v>
          </cell>
          <cell r="I132" t="e">
            <v>#REF!</v>
          </cell>
          <cell r="J132" t="e">
            <v>#REF!</v>
          </cell>
          <cell r="K132" t="e">
            <v>#REF!</v>
          </cell>
          <cell r="L132" t="e">
            <v>#REF!</v>
          </cell>
          <cell r="M132" t="e">
            <v>#REF!</v>
          </cell>
          <cell r="N132" t="e">
            <v>#REF!</v>
          </cell>
          <cell r="P132" t="e">
            <v>#REF!</v>
          </cell>
        </row>
        <row r="133">
          <cell r="A133" t="e">
            <v>#REF!</v>
          </cell>
          <cell r="B133" t="e">
            <v>#REF!</v>
          </cell>
          <cell r="C133" t="e">
            <v>#REF!</v>
          </cell>
          <cell r="D133" t="e">
            <v>#REF!</v>
          </cell>
          <cell r="E133" t="e">
            <v>#REF!</v>
          </cell>
          <cell r="F133" t="e">
            <v>#REF!</v>
          </cell>
          <cell r="G133" t="e">
            <v>#REF!</v>
          </cell>
          <cell r="H133" t="e">
            <v>#REF!</v>
          </cell>
          <cell r="I133" t="e">
            <v>#REF!</v>
          </cell>
          <cell r="J133" t="e">
            <v>#REF!</v>
          </cell>
          <cell r="K133" t="e">
            <v>#REF!</v>
          </cell>
          <cell r="L133" t="e">
            <v>#REF!</v>
          </cell>
          <cell r="M133" t="e">
            <v>#REF!</v>
          </cell>
          <cell r="N133" t="e">
            <v>#REF!</v>
          </cell>
          <cell r="P133" t="e">
            <v>#REF!</v>
          </cell>
        </row>
        <row r="134">
          <cell r="A134" t="e">
            <v>#REF!</v>
          </cell>
          <cell r="B134" t="e">
            <v>#REF!</v>
          </cell>
          <cell r="C134" t="e">
            <v>#REF!</v>
          </cell>
          <cell r="D134" t="e">
            <v>#REF!</v>
          </cell>
          <cell r="E134" t="e">
            <v>#REF!</v>
          </cell>
          <cell r="F134" t="e">
            <v>#REF!</v>
          </cell>
          <cell r="G134" t="e">
            <v>#REF!</v>
          </cell>
          <cell r="H134" t="e">
            <v>#REF!</v>
          </cell>
          <cell r="I134" t="e">
            <v>#REF!</v>
          </cell>
          <cell r="J134" t="e">
            <v>#REF!</v>
          </cell>
          <cell r="K134" t="e">
            <v>#REF!</v>
          </cell>
          <cell r="L134" t="e">
            <v>#REF!</v>
          </cell>
          <cell r="M134" t="e">
            <v>#REF!</v>
          </cell>
          <cell r="N134" t="e">
            <v>#REF!</v>
          </cell>
          <cell r="P134" t="e">
            <v>#REF!</v>
          </cell>
        </row>
        <row r="135">
          <cell r="A135" t="e">
            <v>#REF!</v>
          </cell>
          <cell r="B135" t="e">
            <v>#REF!</v>
          </cell>
          <cell r="C135" t="e">
            <v>#REF!</v>
          </cell>
          <cell r="D135" t="e">
            <v>#REF!</v>
          </cell>
          <cell r="E135" t="e">
            <v>#REF!</v>
          </cell>
          <cell r="F135" t="e">
            <v>#REF!</v>
          </cell>
          <cell r="G135" t="e">
            <v>#REF!</v>
          </cell>
          <cell r="H135" t="e">
            <v>#REF!</v>
          </cell>
          <cell r="I135" t="e">
            <v>#REF!</v>
          </cell>
          <cell r="J135" t="e">
            <v>#REF!</v>
          </cell>
          <cell r="K135" t="e">
            <v>#REF!</v>
          </cell>
          <cell r="L135" t="e">
            <v>#REF!</v>
          </cell>
          <cell r="M135" t="e">
            <v>#REF!</v>
          </cell>
          <cell r="N135" t="e">
            <v>#REF!</v>
          </cell>
          <cell r="P135" t="e">
            <v>#REF!</v>
          </cell>
        </row>
        <row r="137">
          <cell r="C137" t="e">
            <v>#REF!</v>
          </cell>
          <cell r="D137" t="e">
            <v>#REF!</v>
          </cell>
          <cell r="E137" t="e">
            <v>#REF!</v>
          </cell>
          <cell r="F137" t="e">
            <v>#REF!</v>
          </cell>
          <cell r="G137" t="e">
            <v>#REF!</v>
          </cell>
          <cell r="H137" t="e">
            <v>#REF!</v>
          </cell>
          <cell r="I137" t="e">
            <v>#REF!</v>
          </cell>
          <cell r="J137" t="e">
            <v>#REF!</v>
          </cell>
          <cell r="K137" t="e">
            <v>#REF!</v>
          </cell>
          <cell r="L137" t="e">
            <v>#REF!</v>
          </cell>
          <cell r="M137" t="e">
            <v>#REF!</v>
          </cell>
          <cell r="N137" t="e">
            <v>#REF!</v>
          </cell>
          <cell r="P137" t="e">
            <v>#REF!</v>
          </cell>
        </row>
        <row r="138">
          <cell r="C138" t="e">
            <v>#REF!</v>
          </cell>
          <cell r="D138" t="e">
            <v>#REF!</v>
          </cell>
          <cell r="E138" t="e">
            <v>#REF!</v>
          </cell>
          <cell r="F138" t="e">
            <v>#REF!</v>
          </cell>
          <cell r="G138" t="e">
            <v>#REF!</v>
          </cell>
          <cell r="H138" t="e">
            <v>#REF!</v>
          </cell>
          <cell r="I138" t="e">
            <v>#REF!</v>
          </cell>
          <cell r="J138" t="e">
            <v>#REF!</v>
          </cell>
          <cell r="K138" t="e">
            <v>#REF!</v>
          </cell>
          <cell r="L138" t="e">
            <v>#REF!</v>
          </cell>
          <cell r="M138" t="e">
            <v>#REF!</v>
          </cell>
          <cell r="N138" t="e">
            <v>#REF!</v>
          </cell>
          <cell r="P138" t="e">
            <v>#REF!</v>
          </cell>
        </row>
        <row r="139">
          <cell r="A139" t="e">
            <v>#REF!</v>
          </cell>
          <cell r="B139" t="e">
            <v>#REF!</v>
          </cell>
          <cell r="C139" t="e">
            <v>#REF!</v>
          </cell>
          <cell r="D139" t="e">
            <v>#REF!</v>
          </cell>
          <cell r="E139" t="e">
            <v>#REF!</v>
          </cell>
          <cell r="F139" t="e">
            <v>#REF!</v>
          </cell>
          <cell r="G139" t="e">
            <v>#REF!</v>
          </cell>
          <cell r="H139" t="e">
            <v>#REF!</v>
          </cell>
          <cell r="I139" t="e">
            <v>#REF!</v>
          </cell>
          <cell r="J139" t="e">
            <v>#REF!</v>
          </cell>
          <cell r="K139" t="e">
            <v>#REF!</v>
          </cell>
          <cell r="L139" t="e">
            <v>#REF!</v>
          </cell>
          <cell r="M139" t="e">
            <v>#REF!</v>
          </cell>
          <cell r="N139" t="e">
            <v>#REF!</v>
          </cell>
          <cell r="P139" t="e">
            <v>#REF!</v>
          </cell>
        </row>
        <row r="143">
          <cell r="A143" t="e">
            <v>#REF!</v>
          </cell>
          <cell r="B143" t="e">
            <v>#REF!</v>
          </cell>
          <cell r="C143" t="e">
            <v>#REF!</v>
          </cell>
          <cell r="D143" t="e">
            <v>#REF!</v>
          </cell>
          <cell r="E143" t="e">
            <v>#REF!</v>
          </cell>
          <cell r="F143" t="e">
            <v>#REF!</v>
          </cell>
          <cell r="G143" t="e">
            <v>#REF!</v>
          </cell>
          <cell r="H143" t="e">
            <v>#REF!</v>
          </cell>
          <cell r="I143" t="e">
            <v>#REF!</v>
          </cell>
          <cell r="J143" t="e">
            <v>#REF!</v>
          </cell>
          <cell r="K143" t="e">
            <v>#REF!</v>
          </cell>
          <cell r="L143" t="e">
            <v>#REF!</v>
          </cell>
          <cell r="M143" t="e">
            <v>#REF!</v>
          </cell>
          <cell r="N143" t="e">
            <v>#REF!</v>
          </cell>
          <cell r="P143" t="e">
            <v>#REF!</v>
          </cell>
        </row>
        <row r="144">
          <cell r="A144" t="e">
            <v>#REF!</v>
          </cell>
          <cell r="B144" t="e">
            <v>#REF!</v>
          </cell>
          <cell r="C144" t="e">
            <v>#REF!</v>
          </cell>
          <cell r="D144" t="e">
            <v>#REF!</v>
          </cell>
          <cell r="E144" t="e">
            <v>#REF!</v>
          </cell>
          <cell r="F144" t="e">
            <v>#REF!</v>
          </cell>
          <cell r="G144" t="e">
            <v>#REF!</v>
          </cell>
          <cell r="H144" t="e">
            <v>#REF!</v>
          </cell>
          <cell r="I144" t="e">
            <v>#REF!</v>
          </cell>
          <cell r="J144" t="e">
            <v>#REF!</v>
          </cell>
          <cell r="K144" t="e">
            <v>#REF!</v>
          </cell>
          <cell r="L144" t="e">
            <v>#REF!</v>
          </cell>
          <cell r="M144" t="e">
            <v>#REF!</v>
          </cell>
          <cell r="N144" t="e">
            <v>#REF!</v>
          </cell>
          <cell r="P144" t="e">
            <v>#REF!</v>
          </cell>
        </row>
        <row r="145">
          <cell r="A145" t="e">
            <v>#REF!</v>
          </cell>
          <cell r="B145" t="e">
            <v>#REF!</v>
          </cell>
          <cell r="C145" t="e">
            <v>#REF!</v>
          </cell>
          <cell r="D145" t="e">
            <v>#REF!</v>
          </cell>
          <cell r="E145" t="e">
            <v>#REF!</v>
          </cell>
          <cell r="F145" t="e">
            <v>#REF!</v>
          </cell>
          <cell r="G145" t="e">
            <v>#REF!</v>
          </cell>
          <cell r="H145" t="e">
            <v>#REF!</v>
          </cell>
          <cell r="I145" t="e">
            <v>#REF!</v>
          </cell>
          <cell r="J145" t="e">
            <v>#REF!</v>
          </cell>
          <cell r="K145" t="e">
            <v>#REF!</v>
          </cell>
          <cell r="L145" t="e">
            <v>#REF!</v>
          </cell>
          <cell r="M145" t="e">
            <v>#REF!</v>
          </cell>
          <cell r="N145" t="e">
            <v>#REF!</v>
          </cell>
          <cell r="P145" t="e">
            <v>#REF!</v>
          </cell>
        </row>
        <row r="146">
          <cell r="B146" t="e">
            <v>#REF!</v>
          </cell>
          <cell r="C146" t="e">
            <v>#REF!</v>
          </cell>
          <cell r="D146" t="e">
            <v>#REF!</v>
          </cell>
          <cell r="E146" t="e">
            <v>#REF!</v>
          </cell>
          <cell r="F146" t="e">
            <v>#REF!</v>
          </cell>
          <cell r="G146" t="e">
            <v>#REF!</v>
          </cell>
          <cell r="H146" t="e">
            <v>#REF!</v>
          </cell>
          <cell r="I146" t="e">
            <v>#REF!</v>
          </cell>
          <cell r="J146" t="e">
            <v>#REF!</v>
          </cell>
          <cell r="K146" t="e">
            <v>#REF!</v>
          </cell>
          <cell r="L146" t="e">
            <v>#REF!</v>
          </cell>
          <cell r="M146" t="e">
            <v>#REF!</v>
          </cell>
          <cell r="N146" t="e">
            <v>#REF!</v>
          </cell>
          <cell r="P146" t="e">
            <v>#REF!</v>
          </cell>
        </row>
        <row r="147">
          <cell r="B147" t="e">
            <v>#REF!</v>
          </cell>
          <cell r="C147" t="e">
            <v>#REF!</v>
          </cell>
          <cell r="D147" t="e">
            <v>#REF!</v>
          </cell>
          <cell r="E147" t="e">
            <v>#REF!</v>
          </cell>
          <cell r="F147" t="e">
            <v>#REF!</v>
          </cell>
          <cell r="G147" t="e">
            <v>#REF!</v>
          </cell>
          <cell r="H147" t="e">
            <v>#REF!</v>
          </cell>
          <cell r="I147" t="e">
            <v>#REF!</v>
          </cell>
          <cell r="J147" t="e">
            <v>#REF!</v>
          </cell>
          <cell r="K147" t="e">
            <v>#REF!</v>
          </cell>
          <cell r="L147" t="e">
            <v>#REF!</v>
          </cell>
          <cell r="M147" t="e">
            <v>#REF!</v>
          </cell>
          <cell r="N147" t="e">
            <v>#REF!</v>
          </cell>
          <cell r="P147" t="e">
            <v>#REF!</v>
          </cell>
        </row>
        <row r="148">
          <cell r="B148" t="e">
            <v>#REF!</v>
          </cell>
          <cell r="C148" t="e">
            <v>#REF!</v>
          </cell>
          <cell r="D148" t="e">
            <v>#REF!</v>
          </cell>
          <cell r="E148" t="e">
            <v>#REF!</v>
          </cell>
          <cell r="F148" t="e">
            <v>#REF!</v>
          </cell>
          <cell r="G148" t="e">
            <v>#REF!</v>
          </cell>
          <cell r="H148" t="e">
            <v>#REF!</v>
          </cell>
          <cell r="I148" t="e">
            <v>#REF!</v>
          </cell>
          <cell r="J148" t="e">
            <v>#REF!</v>
          </cell>
          <cell r="K148" t="e">
            <v>#REF!</v>
          </cell>
          <cell r="L148" t="e">
            <v>#REF!</v>
          </cell>
          <cell r="M148" t="e">
            <v>#REF!</v>
          </cell>
          <cell r="N148" t="e">
            <v>#REF!</v>
          </cell>
          <cell r="P148" t="e">
            <v>#REF!</v>
          </cell>
        </row>
        <row r="149">
          <cell r="B149" t="e">
            <v>#REF!</v>
          </cell>
          <cell r="C149" t="e">
            <v>#REF!</v>
          </cell>
          <cell r="D149" t="e">
            <v>#REF!</v>
          </cell>
          <cell r="E149" t="e">
            <v>#REF!</v>
          </cell>
          <cell r="F149" t="e">
            <v>#REF!</v>
          </cell>
          <cell r="G149" t="e">
            <v>#REF!</v>
          </cell>
          <cell r="H149" t="e">
            <v>#REF!</v>
          </cell>
          <cell r="I149" t="e">
            <v>#REF!</v>
          </cell>
          <cell r="J149" t="e">
            <v>#REF!</v>
          </cell>
          <cell r="K149" t="e">
            <v>#REF!</v>
          </cell>
          <cell r="L149" t="e">
            <v>#REF!</v>
          </cell>
          <cell r="M149" t="e">
            <v>#REF!</v>
          </cell>
          <cell r="N149" t="e">
            <v>#REF!</v>
          </cell>
          <cell r="P149" t="e">
            <v>#REF!</v>
          </cell>
        </row>
        <row r="150">
          <cell r="A150" t="e">
            <v>#REF!</v>
          </cell>
          <cell r="B150" t="e">
            <v>#REF!</v>
          </cell>
          <cell r="C150" t="e">
            <v>#REF!</v>
          </cell>
          <cell r="D150" t="e">
            <v>#REF!</v>
          </cell>
          <cell r="E150" t="e">
            <v>#REF!</v>
          </cell>
          <cell r="F150" t="e">
            <v>#REF!</v>
          </cell>
          <cell r="G150" t="e">
            <v>#REF!</v>
          </cell>
          <cell r="H150" t="e">
            <v>#REF!</v>
          </cell>
          <cell r="I150" t="e">
            <v>#REF!</v>
          </cell>
          <cell r="J150" t="e">
            <v>#REF!</v>
          </cell>
          <cell r="K150" t="e">
            <v>#REF!</v>
          </cell>
          <cell r="L150" t="e">
            <v>#REF!</v>
          </cell>
          <cell r="M150" t="e">
            <v>#REF!</v>
          </cell>
          <cell r="N150" t="e">
            <v>#REF!</v>
          </cell>
          <cell r="P150" t="e">
            <v>#REF!</v>
          </cell>
        </row>
        <row r="151">
          <cell r="B151" t="e">
            <v>#REF!</v>
          </cell>
          <cell r="C151" t="e">
            <v>#REF!</v>
          </cell>
          <cell r="D151" t="e">
            <v>#REF!</v>
          </cell>
          <cell r="E151" t="e">
            <v>#REF!</v>
          </cell>
          <cell r="F151" t="e">
            <v>#REF!</v>
          </cell>
          <cell r="G151" t="e">
            <v>#REF!</v>
          </cell>
          <cell r="H151" t="e">
            <v>#REF!</v>
          </cell>
          <cell r="I151" t="e">
            <v>#REF!</v>
          </cell>
          <cell r="J151" t="e">
            <v>#REF!</v>
          </cell>
          <cell r="K151" t="e">
            <v>#REF!</v>
          </cell>
          <cell r="L151" t="e">
            <v>#REF!</v>
          </cell>
          <cell r="M151" t="e">
            <v>#REF!</v>
          </cell>
          <cell r="N151" t="e">
            <v>#REF!</v>
          </cell>
          <cell r="P151" t="e">
            <v>#REF!</v>
          </cell>
        </row>
        <row r="152">
          <cell r="A152" t="e">
            <v>#REF!</v>
          </cell>
          <cell r="B152" t="e">
            <v>#REF!</v>
          </cell>
          <cell r="C152" t="e">
            <v>#REF!</v>
          </cell>
          <cell r="D152" t="e">
            <v>#REF!</v>
          </cell>
          <cell r="E152" t="e">
            <v>#REF!</v>
          </cell>
          <cell r="F152" t="e">
            <v>#REF!</v>
          </cell>
          <cell r="G152" t="e">
            <v>#REF!</v>
          </cell>
          <cell r="H152" t="e">
            <v>#REF!</v>
          </cell>
          <cell r="I152" t="e">
            <v>#REF!</v>
          </cell>
          <cell r="J152" t="e">
            <v>#REF!</v>
          </cell>
          <cell r="K152" t="e">
            <v>#REF!</v>
          </cell>
          <cell r="L152" t="e">
            <v>#REF!</v>
          </cell>
          <cell r="M152" t="e">
            <v>#REF!</v>
          </cell>
          <cell r="N152" t="e">
            <v>#REF!</v>
          </cell>
          <cell r="P152" t="e">
            <v>#REF!</v>
          </cell>
        </row>
        <row r="153">
          <cell r="A153" t="e">
            <v>#REF!</v>
          </cell>
          <cell r="B153" t="e">
            <v>#REF!</v>
          </cell>
          <cell r="C153" t="e">
            <v>#REF!</v>
          </cell>
          <cell r="D153" t="e">
            <v>#REF!</v>
          </cell>
          <cell r="E153" t="e">
            <v>#REF!</v>
          </cell>
          <cell r="F153" t="e">
            <v>#REF!</v>
          </cell>
          <cell r="G153" t="e">
            <v>#REF!</v>
          </cell>
          <cell r="H153" t="e">
            <v>#REF!</v>
          </cell>
          <cell r="I153" t="e">
            <v>#REF!</v>
          </cell>
          <cell r="J153" t="e">
            <v>#REF!</v>
          </cell>
          <cell r="K153" t="e">
            <v>#REF!</v>
          </cell>
          <cell r="L153" t="e">
            <v>#REF!</v>
          </cell>
          <cell r="M153" t="e">
            <v>#REF!</v>
          </cell>
          <cell r="N153" t="e">
            <v>#REF!</v>
          </cell>
          <cell r="P153" t="e">
            <v>#REF!</v>
          </cell>
        </row>
        <row r="154">
          <cell r="A154" t="e">
            <v>#REF!</v>
          </cell>
          <cell r="B154" t="e">
            <v>#REF!</v>
          </cell>
          <cell r="C154" t="e">
            <v>#REF!</v>
          </cell>
          <cell r="D154" t="e">
            <v>#REF!</v>
          </cell>
          <cell r="E154" t="e">
            <v>#REF!</v>
          </cell>
          <cell r="F154" t="e">
            <v>#REF!</v>
          </cell>
          <cell r="G154" t="e">
            <v>#REF!</v>
          </cell>
          <cell r="H154" t="e">
            <v>#REF!</v>
          </cell>
          <cell r="I154" t="e">
            <v>#REF!</v>
          </cell>
          <cell r="J154" t="e">
            <v>#REF!</v>
          </cell>
          <cell r="K154" t="e">
            <v>#REF!</v>
          </cell>
          <cell r="L154" t="e">
            <v>#REF!</v>
          </cell>
          <cell r="M154" t="e">
            <v>#REF!</v>
          </cell>
          <cell r="N154" t="e">
            <v>#REF!</v>
          </cell>
          <cell r="P154" t="e">
            <v>#REF!</v>
          </cell>
        </row>
        <row r="155">
          <cell r="A155" t="e">
            <v>#REF!</v>
          </cell>
          <cell r="B155" t="e">
            <v>#REF!</v>
          </cell>
          <cell r="C155" t="e">
            <v>#REF!</v>
          </cell>
          <cell r="D155" t="e">
            <v>#REF!</v>
          </cell>
          <cell r="E155" t="e">
            <v>#REF!</v>
          </cell>
          <cell r="F155" t="e">
            <v>#REF!</v>
          </cell>
          <cell r="G155" t="e">
            <v>#REF!</v>
          </cell>
          <cell r="H155" t="e">
            <v>#REF!</v>
          </cell>
          <cell r="I155" t="e">
            <v>#REF!</v>
          </cell>
          <cell r="J155" t="e">
            <v>#REF!</v>
          </cell>
          <cell r="K155" t="e">
            <v>#REF!</v>
          </cell>
          <cell r="L155" t="e">
            <v>#REF!</v>
          </cell>
          <cell r="M155" t="e">
            <v>#REF!</v>
          </cell>
          <cell r="N155" t="e">
            <v>#REF!</v>
          </cell>
          <cell r="P155" t="e">
            <v>#REF!</v>
          </cell>
        </row>
        <row r="156">
          <cell r="A156" t="e">
            <v>#REF!</v>
          </cell>
          <cell r="B156" t="e">
            <v>#REF!</v>
          </cell>
          <cell r="C156" t="e">
            <v>#REF!</v>
          </cell>
          <cell r="D156" t="e">
            <v>#REF!</v>
          </cell>
          <cell r="E156" t="e">
            <v>#REF!</v>
          </cell>
          <cell r="F156" t="e">
            <v>#REF!</v>
          </cell>
          <cell r="G156" t="e">
            <v>#REF!</v>
          </cell>
          <cell r="H156" t="e">
            <v>#REF!</v>
          </cell>
          <cell r="I156" t="e">
            <v>#REF!</v>
          </cell>
          <cell r="J156" t="e">
            <v>#REF!</v>
          </cell>
          <cell r="K156" t="e">
            <v>#REF!</v>
          </cell>
          <cell r="L156" t="e">
            <v>#REF!</v>
          </cell>
          <cell r="M156" t="e">
            <v>#REF!</v>
          </cell>
          <cell r="N156" t="e">
            <v>#REF!</v>
          </cell>
          <cell r="P156" t="e">
            <v>#REF!</v>
          </cell>
        </row>
        <row r="157">
          <cell r="A157" t="e">
            <v>#REF!</v>
          </cell>
          <cell r="B157" t="e">
            <v>#REF!</v>
          </cell>
          <cell r="C157" t="e">
            <v>#REF!</v>
          </cell>
          <cell r="D157" t="e">
            <v>#REF!</v>
          </cell>
          <cell r="E157" t="e">
            <v>#REF!</v>
          </cell>
          <cell r="F157" t="e">
            <v>#REF!</v>
          </cell>
          <cell r="G157" t="e">
            <v>#REF!</v>
          </cell>
          <cell r="H157" t="e">
            <v>#REF!</v>
          </cell>
          <cell r="I157" t="e">
            <v>#REF!</v>
          </cell>
          <cell r="J157" t="e">
            <v>#REF!</v>
          </cell>
          <cell r="K157" t="e">
            <v>#REF!</v>
          </cell>
          <cell r="L157" t="e">
            <v>#REF!</v>
          </cell>
          <cell r="M157" t="e">
            <v>#REF!</v>
          </cell>
          <cell r="N157" t="e">
            <v>#REF!</v>
          </cell>
          <cell r="P157" t="e">
            <v>#REF!</v>
          </cell>
        </row>
        <row r="159">
          <cell r="A159" t="e">
            <v>#REF!</v>
          </cell>
          <cell r="B159" t="e">
            <v>#REF!</v>
          </cell>
          <cell r="C159" t="e">
            <v>#REF!</v>
          </cell>
          <cell r="D159" t="e">
            <v>#REF!</v>
          </cell>
          <cell r="E159" t="e">
            <v>#REF!</v>
          </cell>
          <cell r="F159" t="e">
            <v>#REF!</v>
          </cell>
          <cell r="G159" t="e">
            <v>#REF!</v>
          </cell>
          <cell r="H159" t="e">
            <v>#REF!</v>
          </cell>
          <cell r="I159" t="e">
            <v>#REF!</v>
          </cell>
          <cell r="J159" t="e">
            <v>#REF!</v>
          </cell>
          <cell r="K159" t="e">
            <v>#REF!</v>
          </cell>
          <cell r="L159" t="e">
            <v>#REF!</v>
          </cell>
          <cell r="M159" t="e">
            <v>#REF!</v>
          </cell>
          <cell r="N159" t="e">
            <v>#REF!</v>
          </cell>
          <cell r="P159" t="e">
            <v>#REF!</v>
          </cell>
        </row>
        <row r="160">
          <cell r="A160" t="e">
            <v>#REF!</v>
          </cell>
          <cell r="B160" t="e">
            <v>#REF!</v>
          </cell>
          <cell r="C160" t="e">
            <v>#REF!</v>
          </cell>
          <cell r="D160" t="e">
            <v>#REF!</v>
          </cell>
          <cell r="E160" t="e">
            <v>#REF!</v>
          </cell>
          <cell r="F160" t="e">
            <v>#REF!</v>
          </cell>
          <cell r="G160" t="e">
            <v>#REF!</v>
          </cell>
          <cell r="H160" t="e">
            <v>#REF!</v>
          </cell>
          <cell r="I160" t="e">
            <v>#REF!</v>
          </cell>
          <cell r="J160" t="e">
            <v>#REF!</v>
          </cell>
          <cell r="K160" t="e">
            <v>#REF!</v>
          </cell>
          <cell r="L160" t="e">
            <v>#REF!</v>
          </cell>
          <cell r="M160" t="e">
            <v>#REF!</v>
          </cell>
          <cell r="N160" t="e">
            <v>#REF!</v>
          </cell>
          <cell r="P160" t="e">
            <v>#REF!</v>
          </cell>
        </row>
      </sheetData>
      <sheetData sheetId="7"/>
      <sheetData sheetId="8">
        <row r="5">
          <cell r="C5" t="e">
            <v>#REF!</v>
          </cell>
          <cell r="D5" t="e">
            <v>#REF!</v>
          </cell>
          <cell r="E5" t="e">
            <v>#REF!</v>
          </cell>
          <cell r="F5" t="e">
            <v>#REF!</v>
          </cell>
          <cell r="G5" t="e">
            <v>#REF!</v>
          </cell>
          <cell r="H5" t="e">
            <v>#REF!</v>
          </cell>
          <cell r="I5" t="e">
            <v>#REF!</v>
          </cell>
          <cell r="J5" t="e">
            <v>#REF!</v>
          </cell>
          <cell r="K5" t="e">
            <v>#REF!</v>
          </cell>
          <cell r="L5" t="e">
            <v>#REF!</v>
          </cell>
          <cell r="M5" t="e">
            <v>#REF!</v>
          </cell>
          <cell r="N5" t="e">
            <v>#REF!</v>
          </cell>
        </row>
        <row r="6">
          <cell r="C6" t="e">
            <v>#REF!</v>
          </cell>
          <cell r="D6" t="e">
            <v>#REF!</v>
          </cell>
          <cell r="E6" t="e">
            <v>#REF!</v>
          </cell>
          <cell r="F6" t="e">
            <v>#REF!</v>
          </cell>
          <cell r="G6" t="e">
            <v>#REF!</v>
          </cell>
          <cell r="H6" t="e">
            <v>#REF!</v>
          </cell>
          <cell r="I6" t="e">
            <v>#REF!</v>
          </cell>
          <cell r="J6" t="e">
            <v>#REF!</v>
          </cell>
          <cell r="K6" t="e">
            <v>#REF!</v>
          </cell>
          <cell r="L6" t="e">
            <v>#REF!</v>
          </cell>
          <cell r="M6" t="e">
            <v>#REF!</v>
          </cell>
          <cell r="N6" t="e">
            <v>#REF!</v>
          </cell>
        </row>
        <row r="7">
          <cell r="C7" t="e">
            <v>#REF!</v>
          </cell>
          <cell r="D7" t="e">
            <v>#REF!</v>
          </cell>
          <cell r="E7" t="e">
            <v>#REF!</v>
          </cell>
          <cell r="F7" t="e">
            <v>#REF!</v>
          </cell>
          <cell r="G7" t="e">
            <v>#REF!</v>
          </cell>
          <cell r="H7" t="e">
            <v>#REF!</v>
          </cell>
          <cell r="I7" t="e">
            <v>#REF!</v>
          </cell>
          <cell r="J7" t="e">
            <v>#REF!</v>
          </cell>
          <cell r="K7" t="e">
            <v>#REF!</v>
          </cell>
          <cell r="L7" t="e">
            <v>#REF!</v>
          </cell>
          <cell r="M7" t="e">
            <v>#REF!</v>
          </cell>
          <cell r="N7" t="e">
            <v>#REF!</v>
          </cell>
        </row>
        <row r="10">
          <cell r="C10" t="e">
            <v>#REF!</v>
          </cell>
          <cell r="D10" t="e">
            <v>#REF!</v>
          </cell>
          <cell r="E10" t="e">
            <v>#REF!</v>
          </cell>
          <cell r="F10" t="e">
            <v>#REF!</v>
          </cell>
          <cell r="G10" t="e">
            <v>#REF!</v>
          </cell>
          <cell r="H10" t="e">
            <v>#REF!</v>
          </cell>
          <cell r="I10" t="e">
            <v>#REF!</v>
          </cell>
          <cell r="J10" t="e">
            <v>#REF!</v>
          </cell>
          <cell r="K10" t="e">
            <v>#REF!</v>
          </cell>
          <cell r="L10" t="e">
            <v>#REF!</v>
          </cell>
          <cell r="M10" t="e">
            <v>#REF!</v>
          </cell>
          <cell r="N10" t="e">
            <v>#REF!</v>
          </cell>
        </row>
        <row r="11">
          <cell r="C11" t="e">
            <v>#REF!</v>
          </cell>
          <cell r="D11" t="e">
            <v>#REF!</v>
          </cell>
          <cell r="E11" t="e">
            <v>#REF!</v>
          </cell>
          <cell r="F11" t="e">
            <v>#REF!</v>
          </cell>
          <cell r="G11" t="e">
            <v>#REF!</v>
          </cell>
          <cell r="H11" t="e">
            <v>#REF!</v>
          </cell>
          <cell r="I11" t="e">
            <v>#REF!</v>
          </cell>
          <cell r="J11" t="e">
            <v>#REF!</v>
          </cell>
          <cell r="K11" t="e">
            <v>#REF!</v>
          </cell>
          <cell r="L11" t="e">
            <v>#REF!</v>
          </cell>
          <cell r="M11" t="e">
            <v>#REF!</v>
          </cell>
          <cell r="N11" t="e">
            <v>#REF!</v>
          </cell>
        </row>
        <row r="12">
          <cell r="C12" t="e">
            <v>#REF!</v>
          </cell>
          <cell r="D12" t="e">
            <v>#REF!</v>
          </cell>
          <cell r="E12" t="e">
            <v>#REF!</v>
          </cell>
          <cell r="F12" t="e">
            <v>#REF!</v>
          </cell>
          <cell r="G12" t="e">
            <v>#REF!</v>
          </cell>
          <cell r="H12" t="e">
            <v>#REF!</v>
          </cell>
          <cell r="I12" t="e">
            <v>#REF!</v>
          </cell>
          <cell r="J12" t="e">
            <v>#REF!</v>
          </cell>
          <cell r="K12" t="e">
            <v>#REF!</v>
          </cell>
          <cell r="L12" t="e">
            <v>#REF!</v>
          </cell>
          <cell r="M12" t="e">
            <v>#REF!</v>
          </cell>
          <cell r="N12" t="e">
            <v>#REF!</v>
          </cell>
        </row>
        <row r="13">
          <cell r="C13" t="e">
            <v>#REF!</v>
          </cell>
          <cell r="D13" t="e">
            <v>#REF!</v>
          </cell>
          <cell r="E13" t="e">
            <v>#REF!</v>
          </cell>
          <cell r="F13" t="e">
            <v>#REF!</v>
          </cell>
          <cell r="G13" t="e">
            <v>#REF!</v>
          </cell>
          <cell r="H13" t="e">
            <v>#REF!</v>
          </cell>
          <cell r="I13" t="e">
            <v>#REF!</v>
          </cell>
          <cell r="J13" t="e">
            <v>#REF!</v>
          </cell>
          <cell r="K13" t="e">
            <v>#REF!</v>
          </cell>
          <cell r="L13" t="e">
            <v>#REF!</v>
          </cell>
          <cell r="M13" t="e">
            <v>#REF!</v>
          </cell>
          <cell r="N13" t="e">
            <v>#REF!</v>
          </cell>
        </row>
      </sheetData>
      <sheetData sheetId="9"/>
      <sheetData sheetId="10">
        <row r="7">
          <cell r="A7" t="e">
            <v>#REF!</v>
          </cell>
        </row>
        <row r="8">
          <cell r="A8" t="e">
            <v>#REF!</v>
          </cell>
        </row>
        <row r="9">
          <cell r="A9" t="e">
            <v>#REF!</v>
          </cell>
        </row>
        <row r="10">
          <cell r="A10" t="e">
            <v>#REF!</v>
          </cell>
        </row>
        <row r="11">
          <cell r="A11" t="e">
            <v>#REF!</v>
          </cell>
        </row>
        <row r="12">
          <cell r="A12" t="e">
            <v>#REF!</v>
          </cell>
        </row>
        <row r="13">
          <cell r="A13" t="e">
            <v>#REF!</v>
          </cell>
        </row>
        <row r="14">
          <cell r="A14" t="e">
            <v>#REF!</v>
          </cell>
        </row>
        <row r="15">
          <cell r="A15" t="e">
            <v>#REF!</v>
          </cell>
        </row>
        <row r="16">
          <cell r="A16" t="e">
            <v>#REF!</v>
          </cell>
        </row>
        <row r="17">
          <cell r="A17" t="e">
            <v>#REF!</v>
          </cell>
        </row>
        <row r="18">
          <cell r="A18" t="e">
            <v>#REF!</v>
          </cell>
        </row>
        <row r="19">
          <cell r="A19" t="e">
            <v>#REF!</v>
          </cell>
        </row>
        <row r="20">
          <cell r="A20" t="e">
            <v>#REF!</v>
          </cell>
        </row>
        <row r="21">
          <cell r="A21" t="e">
            <v>#REF!</v>
          </cell>
        </row>
        <row r="22">
          <cell r="A22" t="e">
            <v>#REF!</v>
          </cell>
        </row>
        <row r="23">
          <cell r="A23" t="e">
            <v>#REF!</v>
          </cell>
        </row>
        <row r="24">
          <cell r="A24" t="e">
            <v>#REF!</v>
          </cell>
        </row>
        <row r="27">
          <cell r="A27" t="e">
            <v>#REF!</v>
          </cell>
        </row>
        <row r="28">
          <cell r="A28" t="e">
            <v>#REF!</v>
          </cell>
        </row>
        <row r="29">
          <cell r="A29" t="e">
            <v>#REF!</v>
          </cell>
        </row>
        <row r="30">
          <cell r="A30" t="e">
            <v>#REF!</v>
          </cell>
        </row>
        <row r="31">
          <cell r="A31" t="e">
            <v>#REF!</v>
          </cell>
        </row>
        <row r="32">
          <cell r="A32" t="e">
            <v>#REF!</v>
          </cell>
        </row>
        <row r="33">
          <cell r="A33" t="e">
            <v>#REF!</v>
          </cell>
        </row>
        <row r="45">
          <cell r="A45" t="e">
            <v>#REF!</v>
          </cell>
        </row>
        <row r="46">
          <cell r="A46" t="e">
            <v>#REF!</v>
          </cell>
        </row>
        <row r="47">
          <cell r="A47" t="e">
            <v>#REF!</v>
          </cell>
        </row>
        <row r="48">
          <cell r="A48" t="e">
            <v>#REF!</v>
          </cell>
        </row>
        <row r="49">
          <cell r="A49" t="e">
            <v>#REF!</v>
          </cell>
        </row>
        <row r="50">
          <cell r="A50" t="e">
            <v>#REF!</v>
          </cell>
        </row>
        <row r="51">
          <cell r="A51" t="e">
            <v>#REF!</v>
          </cell>
        </row>
        <row r="52">
          <cell r="A52" t="e">
            <v>#REF!</v>
          </cell>
        </row>
        <row r="53">
          <cell r="A53" t="e">
            <v>#REF!</v>
          </cell>
        </row>
        <row r="54">
          <cell r="A54" t="e">
            <v>#REF!</v>
          </cell>
        </row>
        <row r="55">
          <cell r="A55" t="e">
            <v>#REF!</v>
          </cell>
        </row>
        <row r="56">
          <cell r="A56" t="e">
            <v>#REF!</v>
          </cell>
        </row>
        <row r="57">
          <cell r="A57" t="e">
            <v>#REF!</v>
          </cell>
        </row>
        <row r="58">
          <cell r="A58" t="e">
            <v>#REF!</v>
          </cell>
        </row>
        <row r="59">
          <cell r="A59" t="e">
            <v>#REF!</v>
          </cell>
        </row>
        <row r="60">
          <cell r="A60" t="e">
            <v>#REF!</v>
          </cell>
        </row>
        <row r="61">
          <cell r="A61" t="e">
            <v>#REF!</v>
          </cell>
        </row>
        <row r="62">
          <cell r="A62" t="e">
            <v>#REF!</v>
          </cell>
        </row>
        <row r="63">
          <cell r="A63" t="e">
            <v>#REF!</v>
          </cell>
        </row>
        <row r="64">
          <cell r="A64" t="e">
            <v>#REF!</v>
          </cell>
        </row>
        <row r="65">
          <cell r="A65" t="e">
            <v>#REF!</v>
          </cell>
        </row>
        <row r="66">
          <cell r="A66" t="e">
            <v>#REF!</v>
          </cell>
        </row>
        <row r="67">
          <cell r="A67" t="e">
            <v>#REF!</v>
          </cell>
        </row>
        <row r="68">
          <cell r="A68" t="e">
            <v>#REF!</v>
          </cell>
        </row>
        <row r="69">
          <cell r="A69" t="e">
            <v>#REF!</v>
          </cell>
        </row>
        <row r="70">
          <cell r="A70" t="e">
            <v>#REF!</v>
          </cell>
        </row>
        <row r="71">
          <cell r="A71" t="e">
            <v>#REF!</v>
          </cell>
        </row>
        <row r="72">
          <cell r="A72" t="e">
            <v>#REF!</v>
          </cell>
        </row>
        <row r="73">
          <cell r="A73" t="e">
            <v>#REF!</v>
          </cell>
        </row>
        <row r="74">
          <cell r="A74" t="e">
            <v>#REF!</v>
          </cell>
        </row>
        <row r="75">
          <cell r="A75" t="e">
            <v>#REF!</v>
          </cell>
        </row>
        <row r="76">
          <cell r="A76" t="e">
            <v>#REF!</v>
          </cell>
        </row>
        <row r="77">
          <cell r="A77" t="e">
            <v>#REF!</v>
          </cell>
        </row>
        <row r="78">
          <cell r="A78" t="e">
            <v>#REF!</v>
          </cell>
        </row>
        <row r="79">
          <cell r="A79" t="e">
            <v>#REF!</v>
          </cell>
        </row>
        <row r="81">
          <cell r="A81" t="e">
            <v>#REF!</v>
          </cell>
        </row>
        <row r="83">
          <cell r="A83" t="e">
            <v>#REF!</v>
          </cell>
        </row>
        <row r="84">
          <cell r="A84" t="e">
            <v>#REF!</v>
          </cell>
        </row>
        <row r="85">
          <cell r="A85" t="e">
            <v>#REF!</v>
          </cell>
        </row>
        <row r="86">
          <cell r="A86" t="e">
            <v>#REF!</v>
          </cell>
        </row>
        <row r="90">
          <cell r="A90" t="e">
            <v>#REF!</v>
          </cell>
        </row>
        <row r="91">
          <cell r="A91" t="e">
            <v>#REF!</v>
          </cell>
        </row>
        <row r="92">
          <cell r="A92" t="e">
            <v>#REF!</v>
          </cell>
        </row>
        <row r="93">
          <cell r="A93" t="e">
            <v>#REF!</v>
          </cell>
        </row>
        <row r="94">
          <cell r="A94" t="e">
            <v>#REF!</v>
          </cell>
        </row>
        <row r="95">
          <cell r="A95" t="e">
            <v>#REF!</v>
          </cell>
        </row>
        <row r="96">
          <cell r="A96" t="e">
            <v>#REF!</v>
          </cell>
        </row>
        <row r="97">
          <cell r="A97" t="e">
            <v>#REF!</v>
          </cell>
        </row>
        <row r="98">
          <cell r="A98" t="e">
            <v>#REF!</v>
          </cell>
        </row>
        <row r="99">
          <cell r="A99" t="e">
            <v>#REF!</v>
          </cell>
        </row>
        <row r="100">
          <cell r="A100" t="e">
            <v>#REF!</v>
          </cell>
        </row>
        <row r="101">
          <cell r="A101" t="e">
            <v>#REF!</v>
          </cell>
        </row>
        <row r="102">
          <cell r="A102" t="e">
            <v>#REF!</v>
          </cell>
        </row>
        <row r="103">
          <cell r="A103" t="e">
            <v>#REF!</v>
          </cell>
        </row>
        <row r="104">
          <cell r="A104" t="e">
            <v>#REF!</v>
          </cell>
        </row>
        <row r="105">
          <cell r="A105" t="e">
            <v>#REF!</v>
          </cell>
        </row>
        <row r="113">
          <cell r="A113" t="e">
            <v>#REF!</v>
          </cell>
        </row>
        <row r="114">
          <cell r="A114" t="e">
            <v>#REF!</v>
          </cell>
        </row>
        <row r="120">
          <cell r="A120" t="e">
            <v>#REF!</v>
          </cell>
        </row>
        <row r="121">
          <cell r="A121" t="e">
            <v>#REF!</v>
          </cell>
        </row>
        <row r="122">
          <cell r="A122" t="e">
            <v>#REF!</v>
          </cell>
        </row>
      </sheetData>
      <sheetData sheetId="11"/>
      <sheetData sheetId="12"/>
      <sheetData sheetId="13"/>
      <sheetData sheetId="14"/>
      <sheetData sheetId="15"/>
      <sheetData sheetId="16"/>
      <sheetData sheetId="17"/>
      <sheetData sheetId="18"/>
      <sheetData sheetId="19"/>
      <sheetData sheetId="20"/>
      <sheetData sheetId="21"/>
      <sheetData sheetId="22"/>
    </sheetDataSet>
  </externalBook>
</externalLink>
</file>

<file path=xl/persons/person.xml><?xml version="1.0" encoding="utf-8"?>
<personList xmlns="http://schemas.microsoft.com/office/spreadsheetml/2018/threadedcomments" xmlns:x="http://schemas.openxmlformats.org/spreadsheetml/2006/main">
  <person displayName="Stagiaire" id="{F45E74C1-8326-0B1F-81B2-E555BFFF7AF9}"/>
  <person displayName="Cyril" id="{EFD6B52A-4BD9-56C0-C817-C694C888714F}"/>
</personList>
</file>

<file path=xl/theme/theme.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ゴシック"/>
        <a:font script="Hang" typeface="맑은 고딕"/>
        <a:font script="Hans" typeface="宋体"/>
        <a:font script="Hant" typeface="新細明體"/>
        <a:font script="Arab" typeface="Times New Roman"/>
        <a:font script="Hebr" typeface="Times New Roman"/>
        <a:font script="Thai" typeface="Angsana New"/>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明朝"/>
        <a:font script="Hang" typeface="맑은 고딕"/>
        <a:font script="Hans" typeface="宋体"/>
        <a:font script="Hant" typeface="新細明體"/>
        <a:font script="Arab" typeface="Arial"/>
        <a:font script="Hebr" typeface="Arial"/>
        <a:font script="Thai" typeface="Cordia New"/>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theme/theme1.xml><?xml version="1.0" encoding="utf-8"?>
<a:theme xmlns:a="http://schemas.openxmlformats.org/drawingml/2006/main" xmlns:r="http://schemas.openxmlformats.org/officeDocument/2006/relationships" xmlns:p="http://schemas.openxmlformats.org/presentationml/2006/main" name="Thème Office 2013 – 2022">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a:ea typeface="Arial"/>
        <a:cs typeface="Arial"/>
      </a:majorFont>
      <a:minorFont>
        <a:latin typeface="Calibri"/>
        <a:ea typeface="Arial"/>
        <a:cs typeface="Arial"/>
      </a:minorFont>
    </a:fontScheme>
    <a:fmtScheme name="Office 2013 - 2022">
      <a:fillStyleLst>
        <a:solidFill>
          <a:schemeClr val="phClr"/>
        </a:solidFill>
        <a:gradFill>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threadedComments/threadedComment1.xml><?xml version="1.0" encoding="utf-8"?>
<ThreadedComments xmlns="http://schemas.microsoft.com/office/spreadsheetml/2018/threadedcomments" xmlns:x="http://schemas.openxmlformats.org/spreadsheetml/2006/main">
  <threadedComment ref="A6" personId="{F45E74C1-8326-0B1F-81B2-E555BFFF7AF9}" id="{00A70098-00E5-43A9-8E49-001D005D00F1}" done="0">
    <text xml:space="preserve">A affecter à des sections dynamiques seulement
</text>
  </threadedComment>
  <threadedComment ref="A69" personId="{F45E74C1-8326-0B1F-81B2-E555BFFF7AF9}" id="{005600A7-00B1-48AB-AC8B-006700390043}" done="0">
    <text xml:space="preserve">A affecter à des sections dynamiques seulement
</text>
  </threadedComment>
</ThreadedComments>
</file>

<file path=xl/threadedComments/threadedComment2.xml><?xml version="1.0" encoding="utf-8"?>
<ThreadedComments xmlns="http://schemas.microsoft.com/office/spreadsheetml/2018/threadedcomments" xmlns:x="http://schemas.openxmlformats.org/spreadsheetml/2006/main">
  <threadedComment ref="C151" personId="{EFD6B52A-4BD9-56C0-C817-C694C888714F}" id="{007D00BD-005C-4322-8708-009D0065004B}" done="0">
    <text xml:space="preserve">Indemnités départ Danielle
</text>
  </threadedComment>
  <threadedComment ref="E151" personId="{EFD6B52A-4BD9-56C0-C817-C694C888714F}" id="{009F009D-0077-45AE-8880-0013001600FC}" done="0">
    <text xml:space="preserve">Indemnités départs Didier
</text>
  </threadedComment>
  <threadedComment ref="A6" personId="{F45E74C1-8326-0B1F-81B2-E555BFFF7AF9}" id="{00E20025-0009-489F-8EDF-007100BA00D4}" done="0">
    <text xml:space="preserve">A affecter à des sections dynamiques seulement
</text>
  </threadedComment>
  <threadedComment ref="A69" personId="{F45E74C1-8326-0B1F-81B2-E555BFFF7AF9}" id="{00890044-00F2-4F3E-9E4B-004B008C0042}" done="0">
    <text xml:space="preserve">A affecter à des sections dynamiques seulement
</text>
  </threadedComment>
</ThreadedComments>
</file>

<file path=xl/threadedComments/threadedComment3.xml><?xml version="1.0" encoding="utf-8"?>
<ThreadedComments xmlns="http://schemas.microsoft.com/office/spreadsheetml/2018/threadedcomments" xmlns:x="http://schemas.openxmlformats.org/spreadsheetml/2006/main">
  <threadedComment ref="A6" personId="{F45E74C1-8326-0B1F-81B2-E555BFFF7AF9}" id="{003A00F6-00C6-4A3E-93FD-000900E10057}" done="0">
    <text xml:space="preserve">A affecter à des sections dynamiques seulement
</text>
  </threadedComment>
  <threadedComment ref="A69" personId="{F45E74C1-8326-0B1F-81B2-E555BFFF7AF9}" id="{00560029-008B-4981-ABB4-00EE000A00DC}" done="0">
    <text xml:space="preserve">A affecter à des sections dynamiques seulement
</text>
  </threadedComment>
</ThreadedComments>
</file>

<file path=xl/threadedComments/threadedComment4.xml><?xml version="1.0" encoding="utf-8"?>
<ThreadedComments xmlns="http://schemas.microsoft.com/office/spreadsheetml/2018/threadedcomments" xmlns:x="http://schemas.openxmlformats.org/spreadsheetml/2006/main">
  <threadedComment ref="C135" personId="{EFD6B52A-4BD9-56C0-C817-C694C888714F}" id="{00E600C7-00F8-40A4-9111-00D3009A0045}" done="0">
    <text xml:space="preserve">NEXEM
</text>
  </threadedComment>
</ThreadedComments>
</file>

<file path=xl/worksheets/_rels/sheet3.xml.rels><?xml version="1.0" encoding="UTF-8" standalone="yes"?><Relationships xmlns="http://schemas.openxmlformats.org/package/2006/relationships"><Relationship  Id="rId1" Type="http://schemas.openxmlformats.org/officeDocument/2006/relationships/drawing" Target="../drawings/drawing1.xml"/></Relationships>
</file>

<file path=xl/worksheets/_rels/sheet5.xml.rels><?xml version="1.0" encoding="UTF-8" standalone="yes"?><Relationships xmlns="http://schemas.openxmlformats.org/package/2006/relationships"><Relationship  Id="rId1" Type="http://schemas.microsoft.com/office/2017/10/relationships/threadedComment" Target="../threadedComments/threadedComment1.xml"/><Relationship  Id="rId2" Type="http://schemas.openxmlformats.org/officeDocument/2006/relationships/comments" Target="../comments1.xml"/><Relationship  Id="rId3" Type="http://schemas.openxmlformats.org/officeDocument/2006/relationships/drawing" Target="../drawings/drawing2.xml"/><Relationship  Id="rId4" Type="http://schemas.openxmlformats.org/officeDocument/2006/relationships/vmlDrawing" Target="../drawings/vmlDrawing1.vml"/></Relationships>
</file>

<file path=xl/worksheets/_rels/sheet6.xml.rels><?xml version="1.0" encoding="UTF-8" standalone="yes"?><Relationships xmlns="http://schemas.openxmlformats.org/package/2006/relationships"><Relationship  Id="rId1" Type="http://schemas.microsoft.com/office/2017/10/relationships/threadedComment" Target="../threadedComments/threadedComment2.xml"/><Relationship  Id="rId2" Type="http://schemas.openxmlformats.org/officeDocument/2006/relationships/comments" Target="../comments2.xml"/><Relationship  Id="rId3" Type="http://schemas.openxmlformats.org/officeDocument/2006/relationships/drawing" Target="../drawings/drawing3.xml"/><Relationship  Id="rId4" Type="http://schemas.openxmlformats.org/officeDocument/2006/relationships/vmlDrawing" Target="../drawings/vmlDrawing2.vml"/></Relationships>
</file>

<file path=xl/worksheets/_rels/sheet7.xml.rels><?xml version="1.0" encoding="UTF-8" standalone="yes"?><Relationships xmlns="http://schemas.openxmlformats.org/package/2006/relationships"><Relationship  Id="rId1" Type="http://schemas.microsoft.com/office/2017/10/relationships/threadedComment" Target="../threadedComments/threadedComment3.xml"/><Relationship  Id="rId2" Type="http://schemas.openxmlformats.org/officeDocument/2006/relationships/comments" Target="../comments3.xml"/><Relationship  Id="rId3" Type="http://schemas.openxmlformats.org/officeDocument/2006/relationships/drawing" Target="../drawings/drawing4.xml"/><Relationship  Id="rId4" Type="http://schemas.openxmlformats.org/officeDocument/2006/relationships/vmlDrawing" Target="../drawings/vmlDrawing3.vml"/></Relationships>
</file>

<file path=xl/worksheets/_rels/sheet8.xml.rels><?xml version="1.0" encoding="UTF-8" standalone="yes"?><Relationships xmlns="http://schemas.openxmlformats.org/package/2006/relationships"><Relationship  Id="rId1" Type="http://schemas.openxmlformats.org/officeDocument/2006/relationships/drawing" Target="../drawings/drawing5.xml"/></Relationships>
</file>

<file path=xl/worksheets/_rels/sheet9.xml.rels><?xml version="1.0" encoding="UTF-8" standalone="yes"?><Relationships xmlns="http://schemas.openxmlformats.org/package/2006/relationships"><Relationship  Id="rId1" Type="http://schemas.openxmlformats.org/officeDocument/2006/relationships/drawing" Target="../drawings/drawing6.xml"/></Relationships>
</file>

<file path=xl/worksheets/_rels/sheet10.xml.rels><?xml version="1.0" encoding="UTF-8" standalone="yes"?><Relationships xmlns="http://schemas.openxmlformats.org/package/2006/relationships"><Relationship  Id="rId1" Type="http://schemas.openxmlformats.org/officeDocument/2006/relationships/drawing" Target="../drawings/drawing7.xml"/></Relationships>
</file>

<file path=xl/worksheets/_rels/sheet11.xml.rels><?xml version="1.0" encoding="UTF-8" standalone="yes"?><Relationships xmlns="http://schemas.openxmlformats.org/package/2006/relationships"><Relationship  Id="rId1" Type="http://schemas.openxmlformats.org/officeDocument/2006/relationships/drawing" Target="../drawings/drawing8.xml"/></Relationships>
</file>

<file path=xl/worksheets/_rels/sheet12.xml.rels><?xml version="1.0" encoding="UTF-8" standalone="yes"?><Relationships xmlns="http://schemas.openxmlformats.org/package/2006/relationships"><Relationship  Id="rId1" Type="http://schemas.openxmlformats.org/officeDocument/2006/relationships/drawing" Target="../drawings/drawing9.xml"/></Relationships>
</file>

<file path=xl/worksheets/_rels/sheet13.xml.rels><?xml version="1.0" encoding="UTF-8" standalone="yes"?><Relationships xmlns="http://schemas.openxmlformats.org/package/2006/relationships"><Relationship  Id="rId1" Type="http://schemas.microsoft.com/office/2017/10/relationships/threadedComment" Target="../threadedComments/threadedComment4.xml"/><Relationship  Id="rId2" Type="http://schemas.openxmlformats.org/officeDocument/2006/relationships/comments" Target="../comments4.xml"/><Relationship  Id="rId3" Type="http://schemas.openxmlformats.org/officeDocument/2006/relationships/drawing" Target="../drawings/drawing10.xml"/><Relationship  Id="rId4" Type="http://schemas.openxmlformats.org/officeDocument/2006/relationships/vmlDrawing" Target="../drawings/vmlDrawing4.vml"/></Relationships>
</file>

<file path=xl/worksheets/_rels/sheet14.xml.rels><?xml version="1.0" encoding="UTF-8" standalone="yes"?><Relationships xmlns="http://schemas.openxmlformats.org/package/2006/relationships"><Relationship  Id="rId1" Type="http://schemas.openxmlformats.org/officeDocument/2006/relationships/drawing" Target="../drawings/drawing11.xml"/></Relationships>
</file>

<file path=xl/worksheets/_rels/sheet15.xml.rels><?xml version="1.0" encoding="UTF-8" standalone="yes"?><Relationships xmlns="http://schemas.openxmlformats.org/package/2006/relationships"><Relationship  Id="rId1" Type="http://schemas.openxmlformats.org/officeDocument/2006/relationships/drawing" Target="../drawings/drawing12.xml"/></Relationships>
</file>

<file path=xl/worksheets/_rels/sheet16.xml.rels><?xml version="1.0" encoding="UTF-8" standalone="yes"?><Relationships xmlns="http://schemas.openxmlformats.org/package/2006/relationships"><Relationship  Id="rId1" Type="http://schemas.openxmlformats.org/officeDocument/2006/relationships/drawing" Target="../drawings/drawing13.xml"/><Relationship  Id="rId2" Type="http://schemas.openxmlformats.org/officeDocument/2006/relationships/vmlDrawing" Target="../drawings/vmlDrawing5.vml"/></Relationships>
</file>

<file path=xl/worksheets/_rels/sheet17.xml.rels><?xml version="1.0" encoding="UTF-8" standalone="yes"?><Relationships xmlns="http://schemas.openxmlformats.org/package/2006/relationships"><Relationship  Id="rId1" Type="http://schemas.openxmlformats.org/officeDocument/2006/relationships/drawing" Target="../drawings/drawing14.xml"/></Relationships>
</file>

<file path=xl/worksheets/_rels/sheet18.xml.rels><?xml version="1.0" encoding="UTF-8" standalone="yes"?><Relationships xmlns="http://schemas.openxmlformats.org/package/2006/relationships"><Relationship  Id="rId1" Type="http://schemas.openxmlformats.org/officeDocument/2006/relationships/drawing" Target="../drawings/drawing15.xml"/></Relationships>
</file>

<file path=xl/worksheets/_rels/sheet20.xml.rels><?xml version="1.0" encoding="UTF-8" standalone="yes"?><Relationships xmlns="http://schemas.openxmlformats.org/package/2006/relationships"><Relationship  Id="rId1" Type="http://schemas.openxmlformats.org/officeDocument/2006/relationships/drawing" Target="../drawings/drawing16.xml"/></Relationships>
</file>

<file path=xl/worksheets/_rels/sheet21.xml.rels><?xml version="1.0" encoding="UTF-8" standalone="yes"?><Relationships xmlns="http://schemas.openxmlformats.org/package/2006/relationships"><Relationship  Id="rId1" Type="http://schemas.openxmlformats.org/officeDocument/2006/relationships/drawing" Target="../drawings/drawing17.xml"/></Relationships>
</file>

<file path=xl/worksheets/_rels/sheet22.xml.rels><?xml version="1.0" encoding="UTF-8" standalone="yes"?><Relationships xmlns="http://schemas.openxmlformats.org/package/2006/relationships"><Relationship  Id="rId1" Type="http://schemas.openxmlformats.org/officeDocument/2006/relationships/hyperlink" Target="https://www.microsoft.com/fr-fr/microsoft-365/business/compare-all-microsoft-365-business-products-b?ef_id=a275907fbdda1c620a54f29dede74e45:G:s&amp;OCID=AIDcmm409lj8ne_SEM_a275907fbdda1c620a54f29dede74e45:G:s&amp;lnkd=Bing_O365SMB_Brand&amp;msclkid=a275907fbdda1c620a54f29dede74e45" TargetMode="External"/><Relationship  Id="rId2" Type="http://schemas.openxmlformats.org/officeDocument/2006/relationships/drawing" Target="../drawings/drawing18.xml"/></Relationships>
</file>

<file path=xl/worksheets/_rels/sheet24.xml.rels><?xml version="1.0" encoding="UTF-8" standalone="yes"?><Relationships xmlns="http://schemas.openxmlformats.org/package/2006/relationships"><Relationship  Id="rId1" Type="http://schemas.openxmlformats.org/officeDocument/2006/relationships/drawing" Target="../drawings/drawing19.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sheetViews>
    <sheetView zoomScale="110" workbookViewId="0">
      <selection activeCell="H26" activeCellId="0" sqref="H26"/>
    </sheetView>
  </sheetViews>
  <sheetFormatPr baseColWidth="10" defaultColWidth="11.44140625" defaultRowHeight="14.4"/>
  <cols>
    <col customWidth="1" min="2" max="2" width="23.5546875"/>
    <col customWidth="1" min="3" max="3" width="19.6640625"/>
    <col customWidth="1" min="5" max="5" width="38.109375"/>
    <col customWidth="1" min="6" max="6" width="20"/>
    <col bestFit="1" customWidth="1" min="10" max="10" width="19.44140625"/>
    <col customWidth="1" min="11" max="11" width="14.109375"/>
  </cols>
  <sheetData>
    <row r="1" ht="52.799999999999997">
      <c r="B1" s="1" t="s">
        <v>0</v>
      </c>
      <c r="C1" s="1" t="s">
        <v>1</v>
      </c>
      <c r="D1" s="1" t="s">
        <v>2</v>
      </c>
      <c r="E1" s="1" t="s">
        <v>3</v>
      </c>
      <c r="F1" s="1" t="s">
        <v>4</v>
      </c>
      <c r="G1" s="1" t="s">
        <v>5</v>
      </c>
      <c r="H1" s="2" t="s">
        <v>6</v>
      </c>
      <c r="I1" s="2" t="s">
        <v>7</v>
      </c>
      <c r="J1" s="2" t="s">
        <v>8</v>
      </c>
      <c r="N1" s="3" t="s">
        <v>9</v>
      </c>
      <c r="O1" s="3" t="s">
        <v>10</v>
      </c>
      <c r="P1" s="3" t="s">
        <v>11</v>
      </c>
      <c r="Q1" s="4" t="s">
        <v>12</v>
      </c>
      <c r="R1" s="4" t="s">
        <v>13</v>
      </c>
      <c r="S1" s="5" t="s">
        <v>14</v>
      </c>
    </row>
    <row r="2" ht="2.25" customHeight="1">
      <c r="B2" s="6"/>
      <c r="C2" s="6"/>
      <c r="D2" s="7"/>
      <c r="E2" s="7"/>
      <c r="F2" s="8"/>
      <c r="G2" s="9"/>
      <c r="H2" s="10"/>
      <c r="I2" s="9"/>
      <c r="J2" s="11"/>
      <c r="N2">
        <f t="shared" ref="N2:N21" si="0">20*10.5</f>
        <v>210</v>
      </c>
      <c r="O2" s="9">
        <f t="shared" ref="O2:O23" si="1">N2*5.5</f>
        <v>1155</v>
      </c>
      <c r="P2" s="12">
        <f t="shared" ref="P2:P23" si="2">I2*0.0425</f>
        <v>0</v>
      </c>
      <c r="Q2" s="9">
        <f t="shared" ref="Q2:Q23" si="3">IF(I2&gt;16013,(I2-8020)*0.0425,0)</f>
        <v>0</v>
      </c>
      <c r="R2" s="9">
        <f t="shared" ref="R2:R23" si="4">IF(I2&gt;16013,(I2-16013)*0.051,0)</f>
        <v>0</v>
      </c>
      <c r="S2" s="13">
        <f t="shared" ref="S2:S23" si="5">SUM(P2:R2)</f>
        <v>0</v>
      </c>
    </row>
    <row r="3">
      <c r="B3" s="6" t="s">
        <v>15</v>
      </c>
      <c r="C3" s="6" t="s">
        <v>16</v>
      </c>
      <c r="D3" s="7" t="s">
        <v>17</v>
      </c>
      <c r="E3" s="7" t="s">
        <v>18</v>
      </c>
      <c r="F3" s="8">
        <v>3410.5</v>
      </c>
      <c r="G3" s="9">
        <f>1861.56-111-207.25-28.69-151.71-0.55-34.11</f>
        <v>1328.25</v>
      </c>
      <c r="H3" s="10">
        <f t="shared" ref="H3:H23" si="6">G3/F3</f>
        <v>0.3894590236035772</v>
      </c>
      <c r="I3" s="9">
        <f t="shared" ref="I3:I22" si="7">F3*12</f>
        <v>40926</v>
      </c>
      <c r="J3" s="11">
        <f t="shared" ref="J3:J23" si="8">H3*I3</f>
        <v>15939</v>
      </c>
      <c r="N3">
        <f t="shared" si="0"/>
        <v>210</v>
      </c>
      <c r="O3" s="9">
        <f t="shared" si="1"/>
        <v>1155</v>
      </c>
      <c r="P3" s="12">
        <f t="shared" si="2"/>
        <v>1739.355</v>
      </c>
      <c r="Q3" s="9">
        <f t="shared" si="3"/>
        <v>1398.5050000000001</v>
      </c>
      <c r="R3" s="9">
        <f t="shared" si="4"/>
        <v>1270.5629999999999</v>
      </c>
      <c r="S3" s="13">
        <f t="shared" si="5"/>
        <v>4408.4229999999998</v>
      </c>
    </row>
    <row r="4">
      <c r="B4" s="6" t="s">
        <v>19</v>
      </c>
      <c r="C4" s="6" t="s">
        <v>20</v>
      </c>
      <c r="D4" s="7" t="s">
        <v>21</v>
      </c>
      <c r="E4" s="7" t="s">
        <v>22</v>
      </c>
      <c r="F4" s="8">
        <v>2834.4400000000001</v>
      </c>
      <c r="G4" s="9">
        <f>1518.81-111-148.99-28.69-125.23-0.45-28.34</f>
        <v>1076.1099999999999</v>
      </c>
      <c r="H4" s="10">
        <f t="shared" si="6"/>
        <v>0.37965524054134148</v>
      </c>
      <c r="I4" s="9">
        <f t="shared" si="7"/>
        <v>34013.279999999999</v>
      </c>
      <c r="J4" s="11">
        <f t="shared" si="8"/>
        <v>12913.319999999998</v>
      </c>
      <c r="N4">
        <f t="shared" si="0"/>
        <v>210</v>
      </c>
      <c r="O4" s="9">
        <f t="shared" si="1"/>
        <v>1155</v>
      </c>
      <c r="P4" s="12">
        <f t="shared" si="2"/>
        <v>1445.5644</v>
      </c>
      <c r="Q4" s="9">
        <f t="shared" si="3"/>
        <v>1104.7144000000001</v>
      </c>
      <c r="R4" s="9">
        <f t="shared" si="4"/>
        <v>918.01427999999987</v>
      </c>
      <c r="S4" s="13">
        <f t="shared" si="5"/>
        <v>3468.2930799999999</v>
      </c>
    </row>
    <row r="5">
      <c r="B5" s="6" t="s">
        <v>23</v>
      </c>
      <c r="C5" s="6" t="s">
        <v>24</v>
      </c>
      <c r="D5" s="14" t="s">
        <v>25</v>
      </c>
      <c r="E5" s="7" t="s">
        <v>26</v>
      </c>
      <c r="F5" s="8">
        <v>1707.54</v>
      </c>
      <c r="G5" s="9">
        <f>766.31-111-60.45-28.69-84.98-0.31-18.65</f>
        <v>462.22999999999985</v>
      </c>
      <c r="H5" s="10">
        <f t="shared" si="6"/>
        <v>0.27069936868243194</v>
      </c>
      <c r="I5" s="9">
        <f t="shared" si="7"/>
        <v>20490.48</v>
      </c>
      <c r="J5" s="11">
        <f t="shared" si="8"/>
        <v>5546.7599999999975</v>
      </c>
      <c r="N5">
        <f t="shared" si="0"/>
        <v>210</v>
      </c>
      <c r="O5" s="9">
        <f t="shared" si="1"/>
        <v>1155</v>
      </c>
      <c r="P5" s="12">
        <f t="shared" si="2"/>
        <v>870.84540000000004</v>
      </c>
      <c r="Q5" s="9">
        <f t="shared" si="3"/>
        <v>529.99540000000002</v>
      </c>
      <c r="R5" s="9">
        <f t="shared" si="4"/>
        <v>228.35147999999995</v>
      </c>
      <c r="S5" s="13">
        <f t="shared" si="5"/>
        <v>1629.19228</v>
      </c>
    </row>
    <row r="6">
      <c r="B6" s="6" t="s">
        <v>27</v>
      </c>
      <c r="C6" s="6" t="s">
        <v>28</v>
      </c>
      <c r="D6" s="15" t="s">
        <v>29</v>
      </c>
      <c r="E6" s="7" t="s">
        <v>30</v>
      </c>
      <c r="F6" s="8">
        <v>3080.4499999999998</v>
      </c>
      <c r="G6" s="9">
        <f>1893.16-111-212.62-28.69-154.15-0.55-34.62</f>
        <v>1351.53</v>
      </c>
      <c r="H6" s="10">
        <f t="shared" si="6"/>
        <v>0.43874433930107615</v>
      </c>
      <c r="I6" s="9">
        <f t="shared" si="7"/>
        <v>36965.399999999994</v>
      </c>
      <c r="J6" s="11">
        <f t="shared" si="8"/>
        <v>16218.359999999997</v>
      </c>
      <c r="N6">
        <f t="shared" si="0"/>
        <v>210</v>
      </c>
      <c r="O6" s="9">
        <f t="shared" si="1"/>
        <v>1155</v>
      </c>
      <c r="P6" s="12">
        <f t="shared" si="2"/>
        <v>1571.0294999999999</v>
      </c>
      <c r="Q6" s="9">
        <f t="shared" si="3"/>
        <v>1230.1794999999997</v>
      </c>
      <c r="R6" s="9">
        <f t="shared" si="4"/>
        <v>1068.5723999999996</v>
      </c>
      <c r="S6" s="13">
        <f t="shared" si="5"/>
        <v>3869.7813999999994</v>
      </c>
    </row>
    <row r="7">
      <c r="B7" s="6" t="s">
        <v>31</v>
      </c>
      <c r="C7" s="6" t="s">
        <v>32</v>
      </c>
      <c r="D7" s="15" t="s">
        <v>33</v>
      </c>
      <c r="E7" s="7" t="s">
        <v>34</v>
      </c>
      <c r="F7" s="8">
        <v>2750.4000000000001</v>
      </c>
      <c r="G7" s="9">
        <f>1505.06-111-143.2-28.69-122.59-0.44-27.5-7.71</f>
        <v>1063.9299999999998</v>
      </c>
      <c r="H7" s="10">
        <f t="shared" si="6"/>
        <v>0.38682737056428151</v>
      </c>
      <c r="I7" s="9">
        <f t="shared" si="7"/>
        <v>33004.800000000003</v>
      </c>
      <c r="J7" s="11">
        <f t="shared" si="8"/>
        <v>12767.16</v>
      </c>
      <c r="N7">
        <f t="shared" si="0"/>
        <v>210</v>
      </c>
      <c r="O7" s="9">
        <f t="shared" si="1"/>
        <v>1155</v>
      </c>
      <c r="P7" s="12">
        <f t="shared" si="2"/>
        <v>1402.7040000000002</v>
      </c>
      <c r="Q7" s="9">
        <f t="shared" si="3"/>
        <v>1061.8540000000003</v>
      </c>
      <c r="R7" s="9">
        <f t="shared" si="4"/>
        <v>866.58180000000004</v>
      </c>
      <c r="S7" s="13">
        <f t="shared" si="5"/>
        <v>3331.1398000000004</v>
      </c>
    </row>
    <row r="8">
      <c r="B8" s="6" t="s">
        <v>35</v>
      </c>
      <c r="C8" s="6" t="s">
        <v>36</v>
      </c>
      <c r="D8" s="15">
        <v>45108</v>
      </c>
      <c r="E8" s="7" t="s">
        <v>34</v>
      </c>
      <c r="F8" s="8">
        <v>2914.4899999999998</v>
      </c>
      <c r="G8" s="9">
        <v>1295.8599999999999</v>
      </c>
      <c r="H8" s="10">
        <f t="shared" si="6"/>
        <v>0.4446266756791068</v>
      </c>
      <c r="I8" s="9">
        <f t="shared" si="7"/>
        <v>34973.879999999997</v>
      </c>
      <c r="J8" s="11">
        <f t="shared" si="8"/>
        <v>15550.319999999998</v>
      </c>
      <c r="O8" s="9"/>
      <c r="P8" s="12">
        <f t="shared" si="2"/>
        <v>1486.3898999999999</v>
      </c>
      <c r="Q8" s="9">
        <f t="shared" si="3"/>
        <v>1145.5399</v>
      </c>
      <c r="R8" s="9">
        <f t="shared" si="4"/>
        <v>967.00487999999984</v>
      </c>
      <c r="S8" s="13">
        <f t="shared" si="5"/>
        <v>3598.9346799999998</v>
      </c>
    </row>
    <row r="9">
      <c r="B9" s="16" t="s">
        <v>37</v>
      </c>
      <c r="C9" s="16" t="s">
        <v>38</v>
      </c>
      <c r="D9" s="17" t="s">
        <v>39</v>
      </c>
      <c r="E9" s="18" t="s">
        <v>40</v>
      </c>
      <c r="F9" s="19">
        <v>1841.24</v>
      </c>
      <c r="G9" s="20">
        <f>1333.68-111-144.04-28.69-122.98-0.43</f>
        <v>926.54000000000008</v>
      </c>
      <c r="H9" s="21">
        <v>0.27000000000000002</v>
      </c>
      <c r="I9" s="20">
        <f t="shared" si="7"/>
        <v>22094.880000000001</v>
      </c>
      <c r="J9" s="22">
        <f t="shared" si="8"/>
        <v>5965.6176000000005</v>
      </c>
      <c r="N9">
        <f t="shared" si="0"/>
        <v>210</v>
      </c>
      <c r="O9" s="9">
        <f t="shared" si="1"/>
        <v>1155</v>
      </c>
      <c r="P9" s="12">
        <f t="shared" si="2"/>
        <v>939.03240000000017</v>
      </c>
      <c r="Q9" s="9">
        <f t="shared" si="3"/>
        <v>598.18240000000003</v>
      </c>
      <c r="R9" s="9">
        <f t="shared" si="4"/>
        <v>310.17588000000001</v>
      </c>
      <c r="S9" s="13">
        <f t="shared" si="5"/>
        <v>1847.3906800000002</v>
      </c>
    </row>
    <row r="10">
      <c r="B10" s="6" t="s">
        <v>41</v>
      </c>
      <c r="C10" s="6" t="s">
        <v>42</v>
      </c>
      <c r="D10" s="15" t="s">
        <v>43</v>
      </c>
      <c r="E10" s="7" t="s">
        <v>44</v>
      </c>
      <c r="F10" s="8">
        <v>3247</v>
      </c>
      <c r="G10" s="9">
        <f>1981.5-111-233.65-28.69-163.71-0.59-37.05</f>
        <v>1406.8099999999999</v>
      </c>
      <c r="H10" s="10">
        <f t="shared" si="6"/>
        <v>0.43326455189405605</v>
      </c>
      <c r="I10" s="9">
        <f t="shared" si="7"/>
        <v>38964</v>
      </c>
      <c r="J10" s="11">
        <f t="shared" si="8"/>
        <v>16881.720000000001</v>
      </c>
      <c r="N10">
        <f t="shared" si="0"/>
        <v>210</v>
      </c>
      <c r="O10" s="9">
        <f t="shared" si="1"/>
        <v>1155</v>
      </c>
      <c r="P10" s="12">
        <f t="shared" si="2"/>
        <v>1655.97</v>
      </c>
      <c r="Q10" s="9">
        <f t="shared" si="3"/>
        <v>1315.1200000000001</v>
      </c>
      <c r="R10" s="9">
        <f t="shared" si="4"/>
        <v>1170.501</v>
      </c>
      <c r="S10" s="13">
        <f t="shared" si="5"/>
        <v>4141.5910000000003</v>
      </c>
    </row>
    <row r="11">
      <c r="B11" s="6" t="s">
        <v>45</v>
      </c>
      <c r="C11" s="6" t="s">
        <v>46</v>
      </c>
      <c r="D11" s="15" t="s">
        <v>47</v>
      </c>
      <c r="E11" s="7" t="s">
        <v>48</v>
      </c>
      <c r="F11" s="8">
        <v>3162.96</v>
      </c>
      <c r="G11" s="9">
        <f>2059.7-111-240.88-28.69-167-0.6-37.36</f>
        <v>1474.1699999999998</v>
      </c>
      <c r="H11" s="10">
        <f t="shared" si="6"/>
        <v>0.46607291903786319</v>
      </c>
      <c r="I11" s="9">
        <f t="shared" si="7"/>
        <v>37955.520000000004</v>
      </c>
      <c r="J11" s="11">
        <f t="shared" si="8"/>
        <v>17690.039999999997</v>
      </c>
      <c r="N11">
        <f t="shared" si="0"/>
        <v>210</v>
      </c>
      <c r="O11" s="9">
        <f t="shared" si="1"/>
        <v>1155</v>
      </c>
      <c r="P11" s="12">
        <f t="shared" si="2"/>
        <v>1613.1096000000002</v>
      </c>
      <c r="Q11" s="9">
        <f t="shared" si="3"/>
        <v>1272.2596000000003</v>
      </c>
      <c r="R11" s="9">
        <f t="shared" si="4"/>
        <v>1119.06852</v>
      </c>
      <c r="S11" s="13">
        <f t="shared" si="5"/>
        <v>4004.4377200000008</v>
      </c>
    </row>
    <row r="12">
      <c r="B12" s="6" t="s">
        <v>49</v>
      </c>
      <c r="C12" s="6" t="s">
        <v>28</v>
      </c>
      <c r="D12" s="15" t="s">
        <v>50</v>
      </c>
      <c r="E12" s="7" t="s">
        <v>22</v>
      </c>
      <c r="F12" s="8">
        <v>2829.5999999999999</v>
      </c>
      <c r="G12" s="9">
        <v>1547.5599999999999</v>
      </c>
      <c r="H12" s="10">
        <f t="shared" si="6"/>
        <v>0.54691829233813971</v>
      </c>
      <c r="I12" s="9">
        <f t="shared" si="7"/>
        <v>33955.199999999997</v>
      </c>
      <c r="J12" s="11">
        <f t="shared" si="8"/>
        <v>18570.720000000001</v>
      </c>
      <c r="N12">
        <f t="shared" si="0"/>
        <v>210</v>
      </c>
      <c r="O12" s="9">
        <f t="shared" si="1"/>
        <v>1155</v>
      </c>
      <c r="P12" s="12">
        <f t="shared" si="2"/>
        <v>1443.096</v>
      </c>
      <c r="Q12" s="9">
        <f t="shared" si="3"/>
        <v>1102.2459999999999</v>
      </c>
      <c r="R12" s="9">
        <f t="shared" si="4"/>
        <v>915.05219999999974</v>
      </c>
      <c r="S12" s="13">
        <f t="shared" si="5"/>
        <v>3460.3941999999993</v>
      </c>
    </row>
    <row r="13">
      <c r="B13" s="16" t="s">
        <v>51</v>
      </c>
      <c r="C13" s="16" t="s">
        <v>52</v>
      </c>
      <c r="D13" s="17" t="s">
        <v>53</v>
      </c>
      <c r="E13" s="18" t="s">
        <v>54</v>
      </c>
      <c r="F13" s="19">
        <v>1959.6600000000001</v>
      </c>
      <c r="G13" s="20">
        <f>1467.02-55.5-161.29-28.69-130.81-0.46-28.84</f>
        <v>1061.4300000000001</v>
      </c>
      <c r="H13" s="21">
        <v>0.27000000000000002</v>
      </c>
      <c r="I13" s="20">
        <f t="shared" si="7"/>
        <v>23515.920000000002</v>
      </c>
      <c r="J13" s="22">
        <f t="shared" si="8"/>
        <v>6349.2984000000006</v>
      </c>
      <c r="N13">
        <f t="shared" si="0"/>
        <v>210</v>
      </c>
      <c r="O13" s="9">
        <f t="shared" si="1"/>
        <v>1155</v>
      </c>
      <c r="P13" s="12">
        <f t="shared" si="2"/>
        <v>999.42660000000012</v>
      </c>
      <c r="Q13" s="9">
        <f t="shared" si="3"/>
        <v>658.5766000000001</v>
      </c>
      <c r="R13" s="9">
        <f t="shared" si="4"/>
        <v>382.64892000000009</v>
      </c>
      <c r="S13" s="13">
        <f t="shared" si="5"/>
        <v>2040.6521200000002</v>
      </c>
    </row>
    <row r="14">
      <c r="B14" s="6" t="s">
        <v>55</v>
      </c>
      <c r="C14" s="6" t="s">
        <v>46</v>
      </c>
      <c r="D14" s="15" t="s">
        <v>17</v>
      </c>
      <c r="E14" s="7" t="s">
        <v>18</v>
      </c>
      <c r="F14" s="8">
        <v>3327.98</v>
      </c>
      <c r="G14" s="9">
        <f>2043.91-111-238.2-28.69-165.78-0.59-37.1</f>
        <v>1462.5500000000002</v>
      </c>
      <c r="H14" s="10">
        <f t="shared" si="6"/>
        <v>0.43947079008888279</v>
      </c>
      <c r="I14" s="9">
        <f t="shared" si="7"/>
        <v>39935.760000000002</v>
      </c>
      <c r="J14" s="11">
        <f t="shared" si="8"/>
        <v>17550.600000000002</v>
      </c>
      <c r="N14">
        <f t="shared" si="0"/>
        <v>210</v>
      </c>
      <c r="O14" s="9">
        <f t="shared" si="1"/>
        <v>1155</v>
      </c>
      <c r="P14" s="12">
        <f t="shared" si="2"/>
        <v>1697.2698000000003</v>
      </c>
      <c r="Q14" s="9">
        <f t="shared" si="3"/>
        <v>1356.4198000000001</v>
      </c>
      <c r="R14" s="9">
        <f t="shared" si="4"/>
        <v>1220.0607600000001</v>
      </c>
      <c r="S14" s="13">
        <f t="shared" si="5"/>
        <v>4273.7503600000009</v>
      </c>
    </row>
    <row r="15" ht="0.75" customHeight="1">
      <c r="B15" s="6"/>
      <c r="C15" s="6"/>
      <c r="D15" s="15"/>
      <c r="E15" s="7"/>
      <c r="F15" s="8"/>
      <c r="G15" s="9"/>
      <c r="H15" s="10"/>
      <c r="I15" s="9"/>
      <c r="J15" s="11"/>
      <c r="N15">
        <f t="shared" si="0"/>
        <v>210</v>
      </c>
      <c r="O15" s="9">
        <f t="shared" si="1"/>
        <v>1155</v>
      </c>
      <c r="P15" s="12">
        <f t="shared" si="2"/>
        <v>0</v>
      </c>
      <c r="Q15" s="9">
        <f t="shared" si="3"/>
        <v>0</v>
      </c>
      <c r="R15" s="9">
        <f t="shared" si="4"/>
        <v>0</v>
      </c>
      <c r="S15" s="13">
        <f t="shared" si="5"/>
        <v>0</v>
      </c>
    </row>
    <row r="16">
      <c r="B16" s="6" t="s">
        <v>56</v>
      </c>
      <c r="C16" s="6" t="s">
        <v>57</v>
      </c>
      <c r="D16" s="15" t="s">
        <v>58</v>
      </c>
      <c r="E16" s="7" t="s">
        <v>18</v>
      </c>
      <c r="F16" s="8">
        <v>3410.5</v>
      </c>
      <c r="G16" s="9">
        <f>1402.8-111-124.49-28.69-114.09-0.41-25.58</f>
        <v>998.53999999999985</v>
      </c>
      <c r="H16" s="10">
        <f t="shared" si="6"/>
        <v>0.2927840492596393</v>
      </c>
      <c r="I16" s="9">
        <f t="shared" si="7"/>
        <v>40926</v>
      </c>
      <c r="J16" s="11">
        <f t="shared" si="8"/>
        <v>11982.479999999998</v>
      </c>
      <c r="N16">
        <f t="shared" si="0"/>
        <v>210</v>
      </c>
      <c r="O16" s="9">
        <f t="shared" si="1"/>
        <v>1155</v>
      </c>
      <c r="P16" s="12">
        <f t="shared" si="2"/>
        <v>1739.355</v>
      </c>
      <c r="Q16" s="9">
        <f t="shared" si="3"/>
        <v>1398.5050000000001</v>
      </c>
      <c r="R16" s="9">
        <f t="shared" si="4"/>
        <v>1270.5629999999999</v>
      </c>
      <c r="S16" s="13">
        <f t="shared" si="5"/>
        <v>4408.4229999999998</v>
      </c>
    </row>
    <row r="17">
      <c r="B17" s="6" t="s">
        <v>59</v>
      </c>
      <c r="C17" s="6" t="s">
        <v>60</v>
      </c>
      <c r="D17" s="15" t="s">
        <v>61</v>
      </c>
      <c r="E17" s="7" t="s">
        <v>62</v>
      </c>
      <c r="F17" s="8">
        <v>2731.3000000000002</v>
      </c>
      <c r="G17" s="9">
        <f>1696.72-111-171.12-28.69-135.28-0.48-29.83</f>
        <v>1220.3199999999999</v>
      </c>
      <c r="H17" s="10">
        <f t="shared" si="6"/>
        <v>0.44679090542964883</v>
      </c>
      <c r="I17" s="9">
        <f>2731.3+G17</f>
        <v>3951.6199999999999</v>
      </c>
      <c r="J17" s="11">
        <f>H17*I17</f>
        <v>1765.547877713909</v>
      </c>
      <c r="N17">
        <f t="shared" si="0"/>
        <v>210</v>
      </c>
      <c r="O17" s="9">
        <f t="shared" si="1"/>
        <v>1155</v>
      </c>
      <c r="P17" s="12">
        <f t="shared" si="2"/>
        <v>167.94385</v>
      </c>
      <c r="Q17" s="9">
        <f t="shared" si="3"/>
        <v>0</v>
      </c>
      <c r="R17" s="9">
        <f t="shared" si="4"/>
        <v>0</v>
      </c>
      <c r="S17" s="13">
        <f t="shared" si="5"/>
        <v>167.94385</v>
      </c>
    </row>
    <row r="18">
      <c r="B18" s="23" t="s">
        <v>63</v>
      </c>
      <c r="C18" s="16" t="s">
        <v>64</v>
      </c>
      <c r="D18" s="17" t="s">
        <v>65</v>
      </c>
      <c r="E18" s="18" t="s">
        <v>66</v>
      </c>
      <c r="F18" s="19">
        <v>1997.8599999999999</v>
      </c>
      <c r="G18" s="20">
        <f>1583.57-111-166.85-28.69-133.34-0.47-29.4</f>
        <v>1113.8199999999999</v>
      </c>
      <c r="H18" s="24">
        <v>0.29999999999999999</v>
      </c>
      <c r="I18" s="20">
        <f t="shared" si="7"/>
        <v>23974.32</v>
      </c>
      <c r="J18" s="22">
        <f t="shared" si="8"/>
        <v>7192.2959999999994</v>
      </c>
      <c r="N18">
        <f t="shared" si="0"/>
        <v>210</v>
      </c>
      <c r="O18" s="9">
        <f t="shared" si="1"/>
        <v>1155</v>
      </c>
      <c r="P18" s="12">
        <f t="shared" si="2"/>
        <v>1018.9086000000001</v>
      </c>
      <c r="Q18" s="9">
        <f t="shared" si="3"/>
        <v>678.05860000000007</v>
      </c>
      <c r="R18" s="9">
        <f t="shared" si="4"/>
        <v>406.02731999999997</v>
      </c>
      <c r="S18" s="13">
        <f t="shared" si="5"/>
        <v>2102.9945200000002</v>
      </c>
    </row>
    <row r="19">
      <c r="B19" s="16" t="s">
        <v>67</v>
      </c>
      <c r="C19" s="16" t="s">
        <v>68</v>
      </c>
      <c r="D19" s="17" t="s">
        <v>69</v>
      </c>
      <c r="E19" s="18" t="s">
        <v>40</v>
      </c>
      <c r="F19" s="19">
        <v>2013.1400000000001</v>
      </c>
      <c r="G19" s="20">
        <f>1439.63-111-138.54-28.69-120.48-0.42-26.54</f>
        <v>1013.96</v>
      </c>
      <c r="H19" s="21">
        <v>0.31</v>
      </c>
      <c r="I19" s="20">
        <f t="shared" si="7"/>
        <v>24157.68</v>
      </c>
      <c r="J19" s="22">
        <f t="shared" si="8"/>
        <v>7488.8807999999999</v>
      </c>
      <c r="N19">
        <f t="shared" si="0"/>
        <v>210</v>
      </c>
      <c r="O19" s="9">
        <f t="shared" si="1"/>
        <v>1155</v>
      </c>
      <c r="P19" s="12">
        <f t="shared" si="2"/>
        <v>1026.7014000000001</v>
      </c>
      <c r="Q19" s="9">
        <f t="shared" si="3"/>
        <v>685.85140000000001</v>
      </c>
      <c r="R19" s="9">
        <f t="shared" si="4"/>
        <v>415.37867999999997</v>
      </c>
      <c r="S19" s="13">
        <f t="shared" si="5"/>
        <v>2127.9314800000002</v>
      </c>
    </row>
    <row r="20">
      <c r="B20" s="6" t="s">
        <v>70</v>
      </c>
      <c r="C20" s="6" t="s">
        <v>71</v>
      </c>
      <c r="D20" s="15" t="s">
        <v>72</v>
      </c>
      <c r="E20" s="7" t="s">
        <v>73</v>
      </c>
      <c r="F20" s="8">
        <v>2731.3000000000002</v>
      </c>
      <c r="G20" s="9">
        <f>1672.05-55.5-176.62-28.69-137.79-0.49-30.38</f>
        <v>1242.5799999999997</v>
      </c>
      <c r="H20" s="10">
        <f t="shared" si="6"/>
        <v>0.4549408706476768</v>
      </c>
      <c r="I20" s="9">
        <f t="shared" si="7"/>
        <v>32775.600000000006</v>
      </c>
      <c r="J20" s="11">
        <f t="shared" si="8"/>
        <v>14910.959999999999</v>
      </c>
      <c r="N20">
        <f t="shared" si="0"/>
        <v>210</v>
      </c>
      <c r="O20" s="9">
        <f t="shared" si="1"/>
        <v>1155</v>
      </c>
      <c r="P20" s="12">
        <f t="shared" si="2"/>
        <v>1392.9630000000004</v>
      </c>
      <c r="Q20" s="9">
        <f t="shared" si="3"/>
        <v>1052.1130000000003</v>
      </c>
      <c r="R20" s="9">
        <f t="shared" si="4"/>
        <v>854.89260000000024</v>
      </c>
      <c r="S20" s="13">
        <f t="shared" si="5"/>
        <v>3299.9686000000011</v>
      </c>
    </row>
    <row r="21">
      <c r="B21" s="6" t="s">
        <v>74</v>
      </c>
      <c r="C21" s="6" t="s">
        <v>75</v>
      </c>
      <c r="D21" s="15" t="s">
        <v>76</v>
      </c>
      <c r="E21" s="7" t="s">
        <v>18</v>
      </c>
      <c r="F21" s="8">
        <v>3080.4499999999998</v>
      </c>
      <c r="G21" s="9">
        <f>1893.16-111-212.62-28.69-154.15-0.55-34.62</f>
        <v>1351.53</v>
      </c>
      <c r="H21" s="10">
        <f t="shared" si="6"/>
        <v>0.43874433930107615</v>
      </c>
      <c r="I21" s="9">
        <f t="shared" si="7"/>
        <v>36965.399999999994</v>
      </c>
      <c r="J21" s="11">
        <f t="shared" si="8"/>
        <v>16218.359999999997</v>
      </c>
      <c r="N21">
        <f t="shared" si="0"/>
        <v>210</v>
      </c>
      <c r="O21" s="9">
        <f t="shared" si="1"/>
        <v>1155</v>
      </c>
      <c r="P21" s="12">
        <f t="shared" si="2"/>
        <v>1571.0294999999999</v>
      </c>
      <c r="Q21" s="9">
        <f t="shared" si="3"/>
        <v>1230.1794999999997</v>
      </c>
      <c r="R21" s="9">
        <f t="shared" si="4"/>
        <v>1068.5723999999996</v>
      </c>
      <c r="S21" s="13">
        <f t="shared" si="5"/>
        <v>3869.7813999999994</v>
      </c>
    </row>
    <row r="22">
      <c r="B22" s="6" t="s">
        <v>77</v>
      </c>
      <c r="C22" s="6" t="s">
        <v>78</v>
      </c>
      <c r="D22" s="15">
        <v>45212</v>
      </c>
      <c r="E22" s="7" t="s">
        <v>62</v>
      </c>
      <c r="F22" s="8">
        <v>2446.4099999999999</v>
      </c>
      <c r="G22" s="9">
        <v>1340.2</v>
      </c>
      <c r="H22" s="10">
        <f>G22/F22</f>
        <v>0.54782313675957839</v>
      </c>
      <c r="I22" s="9">
        <f t="shared" si="7"/>
        <v>29356.919999999998</v>
      </c>
      <c r="J22" s="11">
        <f t="shared" si="8"/>
        <v>16082.400000000001</v>
      </c>
      <c r="O22" s="9"/>
      <c r="P22" s="12">
        <f t="shared" si="2"/>
        <v>1247.6691000000001</v>
      </c>
      <c r="Q22" s="9">
        <f t="shared" si="3"/>
        <v>906.81909999999993</v>
      </c>
      <c r="R22" s="9">
        <f t="shared" si="4"/>
        <v>680.53991999999982</v>
      </c>
      <c r="S22" s="13">
        <f t="shared" si="5"/>
        <v>2835.0281199999995</v>
      </c>
    </row>
    <row r="23" ht="15">
      <c r="B23" s="25" t="s">
        <v>79</v>
      </c>
      <c r="C23" s="25" t="s">
        <v>80</v>
      </c>
      <c r="D23" s="26">
        <v>45002</v>
      </c>
      <c r="E23" s="7" t="s">
        <v>81</v>
      </c>
      <c r="F23" s="8">
        <v>2417.2399999999998</v>
      </c>
      <c r="G23" s="9">
        <v>1297.21</v>
      </c>
      <c r="H23" s="10">
        <f t="shared" si="6"/>
        <v>0.53664923631910777</v>
      </c>
      <c r="I23" s="9">
        <f t="shared" ref="I23:I26" si="9">F23*12</f>
        <v>29006.879999999997</v>
      </c>
      <c r="J23" s="11">
        <f t="shared" si="8"/>
        <v>15566.519999999999</v>
      </c>
      <c r="O23" s="9">
        <f t="shared" si="1"/>
        <v>0</v>
      </c>
      <c r="P23" s="27">
        <f t="shared" si="2"/>
        <v>1232.7924</v>
      </c>
      <c r="Q23" s="28">
        <f t="shared" si="3"/>
        <v>891.94239999999991</v>
      </c>
      <c r="R23" s="28">
        <f t="shared" si="4"/>
        <v>662.68787999999984</v>
      </c>
      <c r="S23" s="29">
        <f t="shared" si="5"/>
        <v>2787.4226800000001</v>
      </c>
    </row>
    <row r="24" ht="15">
      <c r="B24" s="6" t="s">
        <v>82</v>
      </c>
      <c r="C24" s="6" t="s">
        <v>83</v>
      </c>
      <c r="D24" s="15" t="s">
        <v>84</v>
      </c>
      <c r="E24" s="7" t="s">
        <v>22</v>
      </c>
      <c r="F24" s="30">
        <v>3621.8899999999999</v>
      </c>
      <c r="G24" s="9">
        <v>1969.4300000000001</v>
      </c>
      <c r="H24" s="10">
        <f t="shared" ref="H24:H26" si="10">G24/F24</f>
        <v>0.54375754095237572</v>
      </c>
      <c r="I24" s="9">
        <f t="shared" si="9"/>
        <v>43462.68</v>
      </c>
      <c r="J24" s="11">
        <f t="shared" ref="J24:J26" si="11">H24*I24</f>
        <v>23633.16</v>
      </c>
      <c r="O24" s="9"/>
      <c r="P24" s="27"/>
      <c r="Q24" s="28"/>
      <c r="R24" s="28"/>
      <c r="S24" s="29"/>
    </row>
    <row r="25" ht="15">
      <c r="B25" s="6" t="s">
        <v>85</v>
      </c>
      <c r="C25" s="6" t="s">
        <v>86</v>
      </c>
      <c r="D25" s="15">
        <v>45537</v>
      </c>
      <c r="E25" s="7" t="s">
        <v>22</v>
      </c>
      <c r="F25" s="30">
        <v>3151.4899999999998</v>
      </c>
      <c r="G25" s="9">
        <v>2390.5</v>
      </c>
      <c r="H25" s="10">
        <f t="shared" si="10"/>
        <v>0.75853009211515832</v>
      </c>
      <c r="I25" s="9">
        <f t="shared" si="9"/>
        <v>37817.879999999997</v>
      </c>
      <c r="J25" s="11">
        <f t="shared" si="11"/>
        <v>28686</v>
      </c>
      <c r="O25" s="9"/>
      <c r="P25" s="27"/>
      <c r="Q25" s="28"/>
      <c r="R25" s="28"/>
      <c r="S25" s="29"/>
    </row>
    <row r="26" ht="15">
      <c r="B26" s="6" t="s">
        <v>87</v>
      </c>
      <c r="C26" s="6" t="s">
        <v>88</v>
      </c>
      <c r="D26" s="15">
        <v>45537</v>
      </c>
      <c r="E26" s="7" t="s">
        <v>22</v>
      </c>
      <c r="F26" s="30">
        <v>3066.5999999999999</v>
      </c>
      <c r="G26" s="9">
        <v>2324.1100000000001</v>
      </c>
      <c r="H26" s="10">
        <f t="shared" si="10"/>
        <v>0.75787843213982919</v>
      </c>
      <c r="I26" s="9">
        <f t="shared" si="9"/>
        <v>36799.199999999997</v>
      </c>
      <c r="J26" s="11">
        <f t="shared" si="11"/>
        <v>27889.32</v>
      </c>
      <c r="O26" s="9"/>
      <c r="P26" s="27"/>
      <c r="Q26" s="28"/>
      <c r="R26" s="28"/>
      <c r="S26" s="29"/>
    </row>
    <row r="27" ht="15">
      <c r="I27" s="9">
        <f>SUM(I2:I26)</f>
        <v>735989.30000000005</v>
      </c>
      <c r="J27" s="9">
        <f>SUM(J2:J26)</f>
        <v>333358.84067771386</v>
      </c>
      <c r="O27" s="9">
        <f>SUM(O2:O23)</f>
        <v>21945</v>
      </c>
      <c r="P27" s="31">
        <f>SUM(P2:P23)</f>
        <v>26261.155449999998</v>
      </c>
      <c r="Q27" s="32">
        <f>SUM(Q2:Q23)</f>
        <v>19617.061600000001</v>
      </c>
      <c r="R27" s="32">
        <f>SUM(R2:R23)</f>
        <v>15795.256919999996</v>
      </c>
      <c r="S27" s="33">
        <f>SUM(P27:R27)</f>
        <v>61673.473969999992</v>
      </c>
    </row>
    <row r="28">
      <c r="I28" s="34"/>
    </row>
  </sheetData>
  <printOptions headings="0" gridLines="0"/>
  <pageMargins left="0.69999999999999996" right="0.69999999999999996" top="0.75" bottom="0.75" header="0.29999999999999999" footer="0.29999999999999999"/>
  <pageSetup paperSize="9" scale="100" fitToWidth="1" fitToHeight="1" pageOrder="downThenOver" orientation="portrait" usePrinterDefaults="1" blackAndWhite="0" draft="0" cellComments="none" useFirstPageNumber="0" errors="displayed" horizontalDpi="600" verticalDpi="600" copies="1"/>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sheetViews>
    <sheetView zoomScale="100" workbookViewId="0">
      <selection activeCell="E17" activeCellId="0" sqref="E17"/>
    </sheetView>
  </sheetViews>
  <sheetFormatPr baseColWidth="10" defaultColWidth="11.44140625" defaultRowHeight="14.4"/>
  <cols>
    <col customWidth="1" min="7" max="7" width="26.6640625"/>
    <col customWidth="1" min="8" max="8" width="15.109375"/>
    <col customWidth="1" min="14" max="14" width="16.5546875"/>
  </cols>
  <sheetData>
    <row r="1" ht="52.799999999999997">
      <c r="A1" s="1" t="s">
        <v>89</v>
      </c>
      <c r="B1" s="1" t="s">
        <v>0</v>
      </c>
      <c r="C1" s="1" t="s">
        <v>1</v>
      </c>
      <c r="D1" s="1" t="s">
        <v>2</v>
      </c>
      <c r="E1" s="1" t="s">
        <v>90</v>
      </c>
      <c r="F1" s="1" t="s">
        <v>91</v>
      </c>
      <c r="G1" s="1" t="s">
        <v>3</v>
      </c>
      <c r="H1" s="1" t="s">
        <v>4</v>
      </c>
      <c r="I1" s="2" t="s">
        <v>92</v>
      </c>
      <c r="J1" s="2" t="s">
        <v>6</v>
      </c>
      <c r="K1" s="2" t="s">
        <v>7</v>
      </c>
      <c r="L1" s="35" t="s">
        <v>93</v>
      </c>
      <c r="M1" s="35"/>
      <c r="P1" s="1" t="s">
        <v>11</v>
      </c>
      <c r="Q1" s="1" t="s">
        <v>12</v>
      </c>
      <c r="R1" s="1" t="s">
        <v>13</v>
      </c>
      <c r="S1" s="1" t="s">
        <v>14</v>
      </c>
    </row>
    <row r="2">
      <c r="I2" s="9"/>
      <c r="K2" s="9" t="e">
        <f>SUM(#REF!)</f>
        <v>#REF!</v>
      </c>
      <c r="L2" s="9" t="e">
        <f>SUM(#REF!)</f>
        <v>#REF!</v>
      </c>
      <c r="M2" s="9"/>
      <c r="P2" s="9" t="e">
        <f>SUM(#REF!)</f>
        <v>#REF!</v>
      </c>
      <c r="Q2" s="9" t="e">
        <f>SUM(#REF!)</f>
        <v>#REF!</v>
      </c>
      <c r="R2" s="9" t="e">
        <f>SUM(#REF!)</f>
        <v>#REF!</v>
      </c>
      <c r="S2" s="9" t="e">
        <f>SUM(#REF!)</f>
        <v>#REF!</v>
      </c>
    </row>
    <row r="8">
      <c r="E8" s="34"/>
      <c r="F8" s="11"/>
    </row>
    <row r="9">
      <c r="E9" s="34"/>
      <c r="F9" s="11"/>
    </row>
  </sheetData>
  <printOptions headings="0" gridLines="0"/>
  <pageMargins left="0.69999999999999996" right="0.69999999999999996" top="0.75" bottom="0.75" header="0.29999999999999999" footer="0.29999999999999999"/>
  <pageSetup paperSize="9" scale="100" fitToWidth="1" fitToHeight="1" pageOrder="downThenOver" orientation="portrait" usePrinterDefaults="1" blackAndWhite="0" draft="0" cellComments="none" useFirstPageNumber="0" errors="displayed" horizontalDpi="600" verticalDpi="600" copies="1"/>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sheetViews>
    <sheetView zoomScale="84" workbookViewId="0">
      <selection activeCell="G31" activeCellId="0" sqref="G31"/>
    </sheetView>
  </sheetViews>
  <sheetFormatPr baseColWidth="10" defaultColWidth="10.88671875" defaultRowHeight="14.4"/>
  <cols>
    <col min="1" max="16384" style="36" width="10.88671875"/>
  </cols>
  <sheetData>
    <row r="7">
      <c r="N7"/>
    </row>
    <row r="10">
      <c r="A10" s="37"/>
      <c r="B10" s="37"/>
      <c r="C10" s="37"/>
      <c r="D10" s="37"/>
      <c r="E10" s="37"/>
      <c r="F10" s="37"/>
      <c r="G10" s="37"/>
      <c r="H10" s="37"/>
      <c r="I10" s="37"/>
      <c r="J10" s="37"/>
      <c r="K10" s="37"/>
      <c r="L10" s="37"/>
      <c r="M10" s="37"/>
      <c r="N10" s="37"/>
      <c r="O10" s="37"/>
      <c r="P10" s="37"/>
      <c r="Q10" s="37"/>
      <c r="R10" s="37"/>
    </row>
    <row r="11">
      <c r="A11" s="37"/>
      <c r="B11" s="37"/>
      <c r="C11" s="37"/>
      <c r="D11" s="37"/>
      <c r="E11" s="37"/>
      <c r="F11" s="37"/>
      <c r="G11" s="37"/>
      <c r="H11" s="37"/>
      <c r="I11" s="37"/>
      <c r="J11" s="37"/>
      <c r="K11" s="37"/>
      <c r="L11" s="37"/>
      <c r="M11" s="37"/>
      <c r="N11" s="37"/>
      <c r="O11" s="37"/>
      <c r="P11" s="37"/>
      <c r="Q11" s="37"/>
      <c r="R11" s="37"/>
    </row>
    <row r="12">
      <c r="A12" s="37"/>
      <c r="B12" s="37"/>
      <c r="C12" s="37"/>
      <c r="D12" s="37"/>
      <c r="E12" s="37"/>
      <c r="F12" s="37"/>
      <c r="G12" s="37"/>
      <c r="H12" s="37"/>
      <c r="I12" s="37"/>
      <c r="J12" s="37"/>
      <c r="K12" s="37"/>
      <c r="L12" s="37"/>
      <c r="M12" s="37"/>
      <c r="N12" s="37"/>
      <c r="O12" s="37"/>
      <c r="P12" s="37"/>
      <c r="Q12" s="37"/>
      <c r="R12" s="37"/>
    </row>
    <row r="13">
      <c r="A13" s="37"/>
      <c r="B13" s="37"/>
      <c r="C13" s="37"/>
      <c r="D13" s="37"/>
      <c r="E13" s="37"/>
      <c r="F13" s="37"/>
      <c r="G13" s="37"/>
      <c r="H13" s="37"/>
      <c r="I13" s="37"/>
      <c r="J13" s="37"/>
      <c r="K13" s="37"/>
      <c r="L13" s="37"/>
      <c r="M13" s="37"/>
      <c r="N13" s="37"/>
      <c r="O13" s="37"/>
      <c r="P13" s="37"/>
      <c r="Q13" s="37"/>
      <c r="R13" s="37"/>
    </row>
    <row r="14">
      <c r="A14" s="37"/>
      <c r="B14" s="37"/>
      <c r="C14" s="37"/>
      <c r="D14" s="37"/>
      <c r="E14" s="37"/>
      <c r="F14" s="37"/>
      <c r="G14" s="37"/>
      <c r="H14" s="37"/>
      <c r="I14" s="37"/>
      <c r="J14" s="37"/>
      <c r="K14" s="37"/>
      <c r="L14" s="37"/>
      <c r="M14" s="37"/>
      <c r="N14" s="37"/>
      <c r="O14" s="37"/>
      <c r="P14" s="37"/>
      <c r="Q14" s="37"/>
      <c r="R14" s="37"/>
    </row>
    <row r="15">
      <c r="A15" s="38"/>
      <c r="B15" s="38"/>
      <c r="C15" s="38"/>
      <c r="D15" s="38"/>
      <c r="E15" s="38"/>
      <c r="F15" s="38"/>
      <c r="G15" s="39"/>
      <c r="H15" s="39"/>
      <c r="I15" s="39"/>
      <c r="J15" s="39"/>
      <c r="K15" s="39"/>
      <c r="L15" s="39"/>
      <c r="M15" s="40"/>
      <c r="N15" s="40"/>
      <c r="O15" s="40"/>
      <c r="P15" s="40"/>
      <c r="Q15" s="40"/>
      <c r="R15" s="40"/>
    </row>
    <row r="16">
      <c r="A16" s="38"/>
      <c r="B16" s="38"/>
      <c r="C16" s="38"/>
      <c r="D16" s="38"/>
      <c r="E16" s="38"/>
      <c r="F16" s="38"/>
      <c r="G16" s="39"/>
      <c r="H16" s="39"/>
      <c r="I16" s="39"/>
      <c r="J16" s="39"/>
      <c r="K16" s="39"/>
      <c r="L16" s="39"/>
      <c r="M16" s="40"/>
      <c r="N16" s="40"/>
      <c r="O16" s="40"/>
      <c r="P16" s="40"/>
      <c r="Q16" s="40"/>
      <c r="R16" s="40"/>
    </row>
    <row r="17">
      <c r="A17" s="38"/>
      <c r="B17" s="38"/>
      <c r="C17" s="38"/>
      <c r="D17" s="38"/>
      <c r="E17" s="38"/>
      <c r="F17" s="38"/>
      <c r="G17" s="39"/>
      <c r="H17" s="39"/>
      <c r="I17" s="39"/>
      <c r="J17" s="39"/>
      <c r="K17" s="39"/>
      <c r="L17" s="39"/>
      <c r="M17" s="40"/>
      <c r="N17" s="40"/>
      <c r="O17" s="40"/>
      <c r="P17" s="40"/>
      <c r="Q17" s="40"/>
      <c r="R17" s="40"/>
    </row>
    <row r="18">
      <c r="A18" s="38"/>
      <c r="B18" s="38"/>
      <c r="C18" s="38"/>
      <c r="D18" s="38"/>
      <c r="E18" s="38"/>
      <c r="F18" s="38"/>
      <c r="G18" s="39"/>
      <c r="H18" s="39"/>
      <c r="I18" s="39"/>
      <c r="J18" s="39"/>
      <c r="K18" s="39"/>
      <c r="L18" s="39"/>
      <c r="M18" s="40"/>
      <c r="N18" s="40"/>
      <c r="O18" s="40"/>
      <c r="P18" s="40"/>
      <c r="Q18" s="40"/>
      <c r="R18" s="40"/>
    </row>
    <row r="19">
      <c r="A19" s="38"/>
      <c r="B19" s="38"/>
      <c r="C19" s="38"/>
      <c r="D19" s="38"/>
      <c r="E19" s="38"/>
      <c r="F19" s="38"/>
      <c r="G19" s="39"/>
      <c r="H19" s="39"/>
      <c r="I19" s="39"/>
      <c r="J19" s="39"/>
      <c r="K19" s="39"/>
      <c r="L19" s="39"/>
      <c r="M19" s="40"/>
      <c r="N19" s="40"/>
      <c r="O19" s="40"/>
      <c r="P19" s="40"/>
      <c r="Q19" s="40"/>
      <c r="R19" s="40"/>
    </row>
    <row r="20">
      <c r="A20" s="38"/>
      <c r="B20" s="38"/>
      <c r="C20" s="38"/>
      <c r="D20" s="38"/>
      <c r="E20" s="38"/>
      <c r="F20" s="38"/>
      <c r="G20" s="39"/>
      <c r="H20" s="39"/>
      <c r="I20" s="39"/>
      <c r="J20" s="39"/>
      <c r="K20" s="39"/>
      <c r="L20" s="39"/>
      <c r="M20" s="40"/>
      <c r="N20" s="40"/>
      <c r="O20" s="40"/>
      <c r="P20" s="40"/>
      <c r="Q20" s="40"/>
      <c r="R20" s="40"/>
    </row>
    <row r="21">
      <c r="A21" s="38"/>
      <c r="B21" s="38"/>
      <c r="C21" s="38"/>
      <c r="D21" s="38"/>
      <c r="E21" s="38"/>
      <c r="F21" s="38"/>
      <c r="G21" s="39"/>
      <c r="H21" s="39"/>
      <c r="I21" s="39"/>
      <c r="J21" s="39"/>
      <c r="K21" s="39"/>
      <c r="L21" s="39"/>
      <c r="M21" s="40"/>
      <c r="N21" s="40"/>
      <c r="O21" s="40"/>
      <c r="P21" s="40"/>
      <c r="Q21" s="40"/>
      <c r="R21" s="40"/>
    </row>
    <row r="22">
      <c r="A22" s="38"/>
      <c r="B22" s="38"/>
      <c r="C22" s="38"/>
      <c r="D22" s="38"/>
      <c r="E22" s="38"/>
      <c r="F22" s="38"/>
      <c r="G22" s="39"/>
      <c r="H22" s="39"/>
      <c r="I22" s="39"/>
      <c r="J22" s="39"/>
      <c r="K22" s="39"/>
      <c r="L22" s="39"/>
      <c r="M22" s="40"/>
      <c r="N22" s="40"/>
      <c r="O22" s="40"/>
      <c r="P22" s="40"/>
      <c r="Q22" s="40"/>
      <c r="R22" s="40"/>
    </row>
    <row r="23">
      <c r="A23" s="38"/>
      <c r="B23" s="38"/>
      <c r="C23" s="38"/>
      <c r="D23" s="38"/>
      <c r="E23" s="38"/>
      <c r="F23" s="38"/>
      <c r="G23" s="39"/>
      <c r="H23" s="39"/>
      <c r="I23" s="39"/>
      <c r="J23" s="39"/>
      <c r="K23" s="39"/>
      <c r="L23" s="39"/>
      <c r="M23" s="40"/>
      <c r="N23" s="40"/>
      <c r="O23" s="40"/>
      <c r="P23" s="40"/>
      <c r="Q23" s="40"/>
      <c r="R23" s="40"/>
    </row>
    <row r="24">
      <c r="A24" s="38"/>
      <c r="B24" s="38"/>
      <c r="C24" s="38"/>
      <c r="D24" s="38"/>
      <c r="E24" s="38"/>
      <c r="F24" s="38"/>
      <c r="G24" s="39"/>
      <c r="H24" s="39"/>
      <c r="I24" s="39"/>
      <c r="J24" s="39"/>
      <c r="K24" s="39"/>
      <c r="L24" s="39"/>
      <c r="M24" s="40"/>
      <c r="N24" s="40"/>
      <c r="O24" s="40"/>
      <c r="P24" s="40"/>
      <c r="Q24" s="40"/>
      <c r="R24" s="40"/>
    </row>
    <row r="25">
      <c r="A25" s="38"/>
      <c r="B25" s="38"/>
      <c r="C25" s="38"/>
      <c r="D25" s="38"/>
      <c r="E25" s="38"/>
      <c r="F25" s="38"/>
      <c r="G25" s="39"/>
      <c r="H25" s="39"/>
      <c r="I25" s="39"/>
      <c r="J25" s="39"/>
      <c r="K25" s="39"/>
      <c r="L25" s="39"/>
      <c r="M25" s="40"/>
      <c r="N25" s="40"/>
      <c r="O25" s="40"/>
      <c r="P25" s="40"/>
      <c r="Q25" s="40"/>
      <c r="R25" s="40"/>
    </row>
    <row r="26">
      <c r="A26" s="38"/>
      <c r="B26" s="38"/>
      <c r="C26" s="38"/>
      <c r="D26" s="38"/>
      <c r="E26" s="38"/>
      <c r="F26" s="38"/>
      <c r="G26" s="39"/>
      <c r="H26" s="39"/>
      <c r="I26" s="39"/>
      <c r="J26" s="39"/>
      <c r="K26" s="39"/>
      <c r="L26" s="39"/>
      <c r="M26" s="40"/>
      <c r="N26" s="40"/>
      <c r="O26" s="40"/>
      <c r="P26" s="40"/>
      <c r="Q26" s="40"/>
      <c r="R26" s="40"/>
    </row>
    <row r="27">
      <c r="A27" s="38"/>
      <c r="B27" s="38"/>
      <c r="C27" s="38"/>
      <c r="D27" s="38"/>
      <c r="E27" s="38"/>
      <c r="F27" s="38"/>
      <c r="G27" s="39"/>
      <c r="H27" s="39"/>
      <c r="I27" s="39"/>
      <c r="J27" s="39"/>
      <c r="K27" s="39"/>
      <c r="L27" s="39"/>
      <c r="M27" s="40"/>
      <c r="N27" s="40"/>
      <c r="O27" s="40"/>
      <c r="P27" s="40"/>
      <c r="Q27" s="40"/>
      <c r="R27" s="40"/>
    </row>
  </sheetData>
  <printOptions headings="0" gridLines="0"/>
  <pageMargins left="0.69999999999999996" right="0.69999999999999996" top="0.75" bottom="0.75" header="0.29999999999999999" footer="0.29999999999999999"/>
  <pageSetup paperSize="9" scale="100" fitToWidth="1" fitToHeight="1" pageOrder="downThenOver" orientation="portrait" usePrinterDefaults="1" blackAndWhite="0" draft="0" cellComments="none" useFirstPageNumber="0" errors="displayed" horizontalDpi="600" verticalDpi="600" copies="1"/>
  <headerFooter/>
  <drawing r:id="rId1"/>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sheetViews>
    <sheetView zoomScale="70" workbookViewId="0">
      <selection activeCell="M42" activeCellId="0" sqref="M42"/>
    </sheetView>
  </sheetViews>
  <sheetFormatPr baseColWidth="10" defaultColWidth="10.88671875" defaultRowHeight="14.4"/>
  <cols>
    <col bestFit="1" customWidth="1" min="1" max="1" style="36" width="32.6640625"/>
    <col bestFit="1" customWidth="1" min="2" max="2" style="36" width="15.33203125"/>
    <col bestFit="1" customWidth="1" min="3" max="3" style="36" width="26.44140625"/>
    <col customWidth="1" min="4" max="5" style="36" width="26.44140625"/>
    <col bestFit="1" customWidth="1" min="6" max="6" style="36" width="41"/>
    <col min="7" max="7" style="36" width="10.88671875"/>
    <col bestFit="1" customWidth="1" min="8" max="8" style="36" width="14"/>
    <col customWidth="1" min="9" max="9" style="36" width="16.5546875"/>
    <col bestFit="1" customWidth="1" min="10" max="10" style="41" width="14"/>
    <col customWidth="1" min="11" max="11" style="41" width="19"/>
    <col customWidth="1" min="12" max="12" style="41" width="28.5546875"/>
    <col customWidth="1" min="13" max="13" style="41" width="33.88671875"/>
    <col bestFit="1" customWidth="1" min="14" max="14" style="36" width="48.5546875"/>
    <col bestFit="1" customWidth="1" min="15" max="15" style="36" width="19.33203125"/>
    <col min="16" max="16384" style="36" width="10.88671875"/>
  </cols>
  <sheetData>
    <row r="1" ht="18">
      <c r="A1" s="42" t="s">
        <v>94</v>
      </c>
    </row>
    <row r="2">
      <c r="A2" s="43" t="s">
        <v>0</v>
      </c>
      <c r="B2" s="43" t="s">
        <v>1</v>
      </c>
      <c r="C2" s="43" t="s">
        <v>95</v>
      </c>
      <c r="D2" s="43" t="s">
        <v>96</v>
      </c>
      <c r="E2" s="43" t="s">
        <v>97</v>
      </c>
      <c r="F2" s="43" t="s">
        <v>98</v>
      </c>
      <c r="G2" s="43" t="s">
        <v>99</v>
      </c>
      <c r="H2" s="43" t="s">
        <v>100</v>
      </c>
      <c r="I2" s="43"/>
      <c r="J2" s="44" t="s">
        <v>101</v>
      </c>
      <c r="K2" s="44" t="s">
        <v>102</v>
      </c>
      <c r="L2" s="44" t="s">
        <v>103</v>
      </c>
      <c r="M2" s="44" t="s">
        <v>104</v>
      </c>
    </row>
    <row r="3">
      <c r="A3" s="45" t="s">
        <v>105</v>
      </c>
      <c r="B3" s="45" t="s">
        <v>106</v>
      </c>
      <c r="C3" s="45" t="s">
        <v>107</v>
      </c>
      <c r="D3" s="46">
        <v>36526</v>
      </c>
      <c r="E3" s="46">
        <v>45473</v>
      </c>
      <c r="F3" s="45" t="s">
        <v>18</v>
      </c>
      <c r="G3" s="45" t="s">
        <v>108</v>
      </c>
      <c r="H3" s="45" t="s">
        <v>109</v>
      </c>
      <c r="I3" s="45"/>
      <c r="J3" s="47">
        <v>138.13</v>
      </c>
      <c r="K3" s="48">
        <v>4102.9200000000001</v>
      </c>
      <c r="L3" s="48">
        <f t="shared" ref="L3:L25" si="12">K3*(1+M3)</f>
        <v>4102.9200000000001</v>
      </c>
      <c r="M3" s="49">
        <f>CDI!H2</f>
        <v>0</v>
      </c>
      <c r="O3" s="50"/>
      <c r="P3" s="51"/>
    </row>
    <row r="4" s="52" customFormat="1">
      <c r="A4" s="53" t="s">
        <v>82</v>
      </c>
      <c r="B4" s="53" t="s">
        <v>83</v>
      </c>
      <c r="C4" s="53" t="s">
        <v>107</v>
      </c>
      <c r="D4" s="54">
        <v>45108</v>
      </c>
      <c r="E4" s="54">
        <v>402133</v>
      </c>
      <c r="F4" s="53" t="s">
        <v>22</v>
      </c>
      <c r="G4" s="53" t="s">
        <v>108</v>
      </c>
      <c r="H4" s="53" t="s">
        <v>109</v>
      </c>
      <c r="I4" s="53"/>
      <c r="J4" s="55">
        <v>69.064999999999998</v>
      </c>
      <c r="K4" s="56">
        <f>+CDI!F24</f>
        <v>3621.8899999999999</v>
      </c>
      <c r="L4" s="56">
        <f t="shared" si="12"/>
        <v>5591.3199999999997</v>
      </c>
      <c r="M4" s="57">
        <f>CDI!H24</f>
        <v>0.54375754095237572</v>
      </c>
      <c r="O4" s="50"/>
    </row>
    <row r="5">
      <c r="A5" s="45" t="s">
        <v>15</v>
      </c>
      <c r="B5" s="45" t="s">
        <v>16</v>
      </c>
      <c r="C5" s="45" t="s">
        <v>107</v>
      </c>
      <c r="D5" s="46">
        <v>36526</v>
      </c>
      <c r="E5" s="46">
        <v>402133</v>
      </c>
      <c r="F5" s="45" t="s">
        <v>18</v>
      </c>
      <c r="G5" s="45" t="s">
        <v>110</v>
      </c>
      <c r="H5" s="45" t="s">
        <v>109</v>
      </c>
      <c r="I5" s="45"/>
      <c r="J5" s="47">
        <v>138.13</v>
      </c>
      <c r="K5" s="48">
        <v>3949.6500000000001</v>
      </c>
      <c r="L5" s="48">
        <f t="shared" si="12"/>
        <v>5487.8768325758692</v>
      </c>
      <c r="M5" s="49">
        <f>CDI!H3</f>
        <v>0.3894590236035772</v>
      </c>
      <c r="O5" s="50"/>
    </row>
    <row r="6">
      <c r="A6" s="45" t="s">
        <v>19</v>
      </c>
      <c r="B6" s="45" t="s">
        <v>20</v>
      </c>
      <c r="C6" s="45" t="s">
        <v>107</v>
      </c>
      <c r="D6" s="46">
        <v>36526</v>
      </c>
      <c r="E6" s="46">
        <v>402133</v>
      </c>
      <c r="F6" s="45" t="s">
        <v>22</v>
      </c>
      <c r="G6" s="45" t="s">
        <v>111</v>
      </c>
      <c r="H6" s="45" t="s">
        <v>109</v>
      </c>
      <c r="I6" s="45"/>
      <c r="J6" s="47">
        <v>103.59999999999999</v>
      </c>
      <c r="K6" s="48">
        <f>2914.49*0.75</f>
        <v>2185.8674999999998</v>
      </c>
      <c r="L6" s="48">
        <f t="shared" si="12"/>
        <v>3015.7435515040006</v>
      </c>
      <c r="M6" s="49">
        <f>CDI!H4</f>
        <v>0.37965524054134148</v>
      </c>
      <c r="O6" s="50"/>
    </row>
    <row r="7">
      <c r="A7" s="45" t="s">
        <v>19</v>
      </c>
      <c r="B7" s="45" t="s">
        <v>20</v>
      </c>
      <c r="C7" s="45" t="s">
        <v>107</v>
      </c>
      <c r="D7" s="46">
        <v>36526</v>
      </c>
      <c r="E7" s="46">
        <v>402133</v>
      </c>
      <c r="F7" s="45" t="s">
        <v>22</v>
      </c>
      <c r="G7" s="45" t="s">
        <v>110</v>
      </c>
      <c r="H7" s="45" t="s">
        <v>109</v>
      </c>
      <c r="I7" s="45"/>
      <c r="J7" s="47">
        <v>34.530000000000001</v>
      </c>
      <c r="K7" s="48">
        <f>2891.1288-K6</f>
        <v>705.26130000000012</v>
      </c>
      <c r="L7" s="48">
        <f t="shared" si="12"/>
        <v>896.1750886661514</v>
      </c>
      <c r="M7" s="49">
        <f>CDI!H5</f>
        <v>0.27069936868243194</v>
      </c>
      <c r="O7" s="50"/>
    </row>
    <row r="8">
      <c r="A8" s="45" t="s">
        <v>23</v>
      </c>
      <c r="B8" s="45" t="s">
        <v>24</v>
      </c>
      <c r="C8" s="45" t="s">
        <v>112</v>
      </c>
      <c r="D8" s="46">
        <v>36526</v>
      </c>
      <c r="E8" s="46">
        <v>402133</v>
      </c>
      <c r="F8" s="45" t="s">
        <v>113</v>
      </c>
      <c r="G8" s="45" t="s">
        <v>114</v>
      </c>
      <c r="H8" s="45" t="s">
        <v>115</v>
      </c>
      <c r="I8" s="45"/>
      <c r="J8" s="47">
        <v>138.12</v>
      </c>
      <c r="K8" s="48">
        <v>2045.6900000000001</v>
      </c>
      <c r="L8" s="48">
        <f t="shared" si="12"/>
        <v>2599.456991519964</v>
      </c>
      <c r="M8" s="49">
        <f>CDI!H5</f>
        <v>0.27069936868243194</v>
      </c>
      <c r="O8" s="50"/>
    </row>
    <row r="9">
      <c r="A9" s="45" t="s">
        <v>116</v>
      </c>
      <c r="B9" s="45" t="s">
        <v>117</v>
      </c>
      <c r="C9" s="45" t="s">
        <v>118</v>
      </c>
      <c r="D9" s="46">
        <v>36526</v>
      </c>
      <c r="E9" s="46">
        <v>402133</v>
      </c>
      <c r="F9" s="45" t="s">
        <v>119</v>
      </c>
      <c r="G9" s="45" t="s">
        <v>114</v>
      </c>
      <c r="H9" s="45" t="s">
        <v>115</v>
      </c>
      <c r="I9" s="45" t="s">
        <v>120</v>
      </c>
      <c r="J9" s="47">
        <v>151.66999999999999</v>
      </c>
      <c r="K9" s="48">
        <v>1170.6500000000001</v>
      </c>
      <c r="L9" s="48">
        <f t="shared" si="12"/>
        <v>1170.6500000000001</v>
      </c>
      <c r="M9" s="49">
        <f>0</f>
        <v>0</v>
      </c>
      <c r="O9" s="50"/>
    </row>
    <row r="10">
      <c r="A10" s="45" t="s">
        <v>31</v>
      </c>
      <c r="B10" s="45" t="s">
        <v>32</v>
      </c>
      <c r="C10" s="45" t="s">
        <v>107</v>
      </c>
      <c r="D10" s="46">
        <v>36526</v>
      </c>
      <c r="E10" s="46">
        <v>402133</v>
      </c>
      <c r="F10" s="45" t="s">
        <v>34</v>
      </c>
      <c r="G10" s="45" t="s">
        <v>108</v>
      </c>
      <c r="H10" s="45" t="s">
        <v>109</v>
      </c>
      <c r="I10" s="45"/>
      <c r="J10" s="47">
        <v>138.13</v>
      </c>
      <c r="K10" s="48">
        <v>2805.4080000000004</v>
      </c>
      <c r="L10" s="48">
        <f t="shared" si="12"/>
        <v>3562.8681600000004</v>
      </c>
      <c r="M10" s="49">
        <f>CDI!H9</f>
        <v>0.27000000000000002</v>
      </c>
      <c r="O10" s="50"/>
    </row>
    <row r="11">
      <c r="A11" s="45" t="s">
        <v>37</v>
      </c>
      <c r="B11" s="45" t="s">
        <v>38</v>
      </c>
      <c r="C11" s="45" t="s">
        <v>112</v>
      </c>
      <c r="D11" s="46">
        <v>36526</v>
      </c>
      <c r="E11" s="46">
        <v>402133</v>
      </c>
      <c r="F11" s="45" t="s">
        <v>40</v>
      </c>
      <c r="G11" s="45" t="s">
        <v>108</v>
      </c>
      <c r="H11" s="45" t="s">
        <v>121</v>
      </c>
      <c r="I11" s="45" t="s">
        <v>122</v>
      </c>
      <c r="J11" s="47">
        <v>138.13</v>
      </c>
      <c r="K11" s="48">
        <v>2111.1143999999999</v>
      </c>
      <c r="L11" s="48">
        <f t="shared" si="12"/>
        <v>2681.115288</v>
      </c>
      <c r="M11" s="49">
        <v>0.27000000000000002</v>
      </c>
      <c r="O11" s="50"/>
    </row>
    <row r="12">
      <c r="A12" s="45" t="s">
        <v>123</v>
      </c>
      <c r="B12" s="45" t="s">
        <v>36</v>
      </c>
      <c r="C12" s="45" t="s">
        <v>124</v>
      </c>
      <c r="D12" s="46">
        <v>45108</v>
      </c>
      <c r="E12" s="46">
        <v>402134</v>
      </c>
      <c r="F12" s="45" t="s">
        <v>34</v>
      </c>
      <c r="G12" s="45" t="s">
        <v>108</v>
      </c>
      <c r="H12" s="45" t="s">
        <v>109</v>
      </c>
      <c r="I12" s="45"/>
      <c r="J12" s="47">
        <v>138.13</v>
      </c>
      <c r="K12" s="48">
        <v>2914.4899999999998</v>
      </c>
      <c r="L12" s="48">
        <f>K12*(1+M12)</f>
        <v>4210.3499999999995</v>
      </c>
      <c r="M12" s="49">
        <f>CDI!H8</f>
        <v>0.4446266756791068</v>
      </c>
      <c r="O12" s="50"/>
    </row>
    <row r="13">
      <c r="A13" s="45" t="s">
        <v>41</v>
      </c>
      <c r="B13" s="45" t="s">
        <v>42</v>
      </c>
      <c r="C13" s="45" t="s">
        <v>107</v>
      </c>
      <c r="D13" s="46">
        <v>36526</v>
      </c>
      <c r="E13" s="46">
        <v>402133</v>
      </c>
      <c r="F13" s="45" t="s">
        <v>34</v>
      </c>
      <c r="G13" s="45" t="s">
        <v>114</v>
      </c>
      <c r="H13" s="45" t="s">
        <v>121</v>
      </c>
      <c r="I13" s="45" t="s">
        <v>125</v>
      </c>
      <c r="J13" s="47">
        <v>138.13</v>
      </c>
      <c r="K13" s="48">
        <v>3890.6999999999998</v>
      </c>
      <c r="L13" s="48">
        <f t="shared" si="12"/>
        <v>5704.049906100614</v>
      </c>
      <c r="M13" s="49">
        <f>CDI!H11</f>
        <v>0.46607291903786319</v>
      </c>
      <c r="N13" s="50"/>
      <c r="O13" s="50"/>
    </row>
    <row r="14">
      <c r="A14" s="45" t="s">
        <v>45</v>
      </c>
      <c r="B14" s="45" t="s">
        <v>46</v>
      </c>
      <c r="C14" s="45" t="s">
        <v>107</v>
      </c>
      <c r="D14" s="46">
        <v>36526</v>
      </c>
      <c r="E14" s="46">
        <v>402133</v>
      </c>
      <c r="F14" s="45" t="s">
        <v>18</v>
      </c>
      <c r="G14" s="45" t="s">
        <v>126</v>
      </c>
      <c r="H14" s="45" t="s">
        <v>109</v>
      </c>
      <c r="I14" s="45" t="s">
        <v>127</v>
      </c>
      <c r="J14" s="47">
        <v>138.13</v>
      </c>
      <c r="K14" s="48">
        <v>3839.6100000000001</v>
      </c>
      <c r="L14" s="48">
        <f t="shared" si="12"/>
        <v>5939.5629444444448</v>
      </c>
      <c r="M14" s="49">
        <f>CDI!H12</f>
        <v>0.54691829233813971</v>
      </c>
      <c r="O14" s="50"/>
    </row>
    <row r="15">
      <c r="A15" s="45" t="s">
        <v>49</v>
      </c>
      <c r="B15" s="45" t="s">
        <v>28</v>
      </c>
      <c r="C15" s="45" t="s">
        <v>107</v>
      </c>
      <c r="D15" s="46">
        <v>36526</v>
      </c>
      <c r="E15" s="46">
        <v>402133</v>
      </c>
      <c r="F15" s="45" t="s">
        <v>22</v>
      </c>
      <c r="G15" s="45" t="s">
        <v>126</v>
      </c>
      <c r="H15" s="45" t="s">
        <v>109</v>
      </c>
      <c r="I15" s="45"/>
      <c r="J15" s="47">
        <v>138.13</v>
      </c>
      <c r="K15" s="48">
        <v>2805.1716659999997</v>
      </c>
      <c r="L15" s="48">
        <f t="shared" si="12"/>
        <v>3562.5680158199998</v>
      </c>
      <c r="M15" s="49">
        <f>CDI!H13</f>
        <v>0.27000000000000002</v>
      </c>
      <c r="O15" s="50"/>
    </row>
    <row r="16">
      <c r="A16" s="45" t="s">
        <v>51</v>
      </c>
      <c r="B16" s="45" t="s">
        <v>52</v>
      </c>
      <c r="C16" s="45" t="s">
        <v>112</v>
      </c>
      <c r="D16" s="46">
        <v>36526</v>
      </c>
      <c r="E16" s="46">
        <v>402133</v>
      </c>
      <c r="F16" s="45" t="s">
        <v>54</v>
      </c>
      <c r="G16" s="45" t="s">
        <v>110</v>
      </c>
      <c r="H16" s="45" t="s">
        <v>121</v>
      </c>
      <c r="I16" s="45" t="s">
        <v>122</v>
      </c>
      <c r="J16" s="47">
        <v>138.13</v>
      </c>
      <c r="K16" s="48">
        <v>2246.8968</v>
      </c>
      <c r="L16" s="48">
        <f t="shared" si="12"/>
        <v>2853.5589359999999</v>
      </c>
      <c r="M16" s="49">
        <v>0.27000000000000002</v>
      </c>
      <c r="O16" s="50"/>
    </row>
    <row r="17" ht="14.25" customHeight="1">
      <c r="A17" s="45" t="s">
        <v>55</v>
      </c>
      <c r="B17" s="45" t="s">
        <v>46</v>
      </c>
      <c r="C17" s="45" t="s">
        <v>107</v>
      </c>
      <c r="D17" s="46">
        <v>36526</v>
      </c>
      <c r="E17" s="46">
        <v>402133</v>
      </c>
      <c r="F17" s="45" t="s">
        <v>18</v>
      </c>
      <c r="G17" s="45" t="s">
        <v>110</v>
      </c>
      <c r="H17" s="45" t="s">
        <v>109</v>
      </c>
      <c r="I17" s="45" t="s">
        <v>128</v>
      </c>
      <c r="J17" s="47">
        <v>138.13</v>
      </c>
      <c r="K17" s="48">
        <v>3816.8200000000002</v>
      </c>
      <c r="L17" s="48">
        <f t="shared" si="12"/>
        <v>5494.2009010270494</v>
      </c>
      <c r="M17" s="49">
        <f>CDI!H14</f>
        <v>0.43947079008888279</v>
      </c>
      <c r="O17" s="50"/>
    </row>
    <row r="18">
      <c r="A18" s="45" t="s">
        <v>129</v>
      </c>
      <c r="B18" s="45" t="s">
        <v>130</v>
      </c>
      <c r="C18" s="45" t="s">
        <v>107</v>
      </c>
      <c r="D18" s="46">
        <v>36526</v>
      </c>
      <c r="E18" s="46">
        <v>402133</v>
      </c>
      <c r="F18" s="45" t="s">
        <v>18</v>
      </c>
      <c r="G18" s="45" t="s">
        <v>110</v>
      </c>
      <c r="H18" s="45" t="s">
        <v>109</v>
      </c>
      <c r="I18" s="45"/>
      <c r="J18" s="47">
        <v>138.13</v>
      </c>
      <c r="K18" s="48">
        <v>3621.8899999999999</v>
      </c>
      <c r="L18" s="48">
        <f t="shared" si="12"/>
        <v>3621.8899999999999</v>
      </c>
      <c r="M18" s="49">
        <f>CDI!H15</f>
        <v>0</v>
      </c>
      <c r="O18" s="50"/>
    </row>
    <row r="19">
      <c r="A19" s="45" t="s">
        <v>56</v>
      </c>
      <c r="B19" s="45" t="s">
        <v>57</v>
      </c>
      <c r="C19" s="45" t="s">
        <v>107</v>
      </c>
      <c r="D19" s="46">
        <v>36526</v>
      </c>
      <c r="E19" s="46">
        <v>402133</v>
      </c>
      <c r="F19" s="45" t="s">
        <v>18</v>
      </c>
      <c r="G19" s="45" t="s">
        <v>111</v>
      </c>
      <c r="H19" s="45" t="s">
        <v>109</v>
      </c>
      <c r="I19" s="45"/>
      <c r="J19" s="47">
        <v>138.13</v>
      </c>
      <c r="K19" s="48">
        <v>3508.6999999999998</v>
      </c>
      <c r="L19" s="48">
        <f t="shared" si="12"/>
        <v>4535.9913936372959</v>
      </c>
      <c r="M19" s="49">
        <v>0.2927840492596393</v>
      </c>
      <c r="O19" s="50"/>
    </row>
    <row r="20" s="52" customFormat="1">
      <c r="A20" s="53" t="s">
        <v>131</v>
      </c>
      <c r="B20" s="53" t="s">
        <v>80</v>
      </c>
      <c r="C20" s="53" t="s">
        <v>132</v>
      </c>
      <c r="D20" s="54">
        <v>36526</v>
      </c>
      <c r="E20" s="54">
        <v>402133</v>
      </c>
      <c r="F20" s="53" t="s">
        <v>133</v>
      </c>
      <c r="G20" s="53" t="s">
        <v>114</v>
      </c>
      <c r="H20" s="53" t="s">
        <v>121</v>
      </c>
      <c r="I20" s="53" t="s">
        <v>134</v>
      </c>
      <c r="J20" s="55">
        <v>138.13</v>
      </c>
      <c r="K20" s="56">
        <v>2131.8816000000002</v>
      </c>
      <c r="L20" s="56">
        <f t="shared" si="12"/>
        <v>3275.9542325627576</v>
      </c>
      <c r="M20" s="57">
        <f>CDI!H23</f>
        <v>0.53664923631910777</v>
      </c>
      <c r="O20" s="50"/>
    </row>
    <row r="21">
      <c r="A21" s="45" t="s">
        <v>59</v>
      </c>
      <c r="B21" s="45" t="s">
        <v>60</v>
      </c>
      <c r="C21" s="45" t="s">
        <v>135</v>
      </c>
      <c r="D21" s="46">
        <v>36526</v>
      </c>
      <c r="E21" s="46">
        <v>44958</v>
      </c>
      <c r="F21" s="45" t="s">
        <v>62</v>
      </c>
      <c r="G21" s="45" t="s">
        <v>114</v>
      </c>
      <c r="H21" s="45" t="s">
        <v>121</v>
      </c>
      <c r="I21" s="45" t="s">
        <v>136</v>
      </c>
      <c r="J21" s="47">
        <v>138.13</v>
      </c>
      <c r="K21" s="48">
        <v>3042.5070000000001</v>
      </c>
      <c r="L21" s="48">
        <f t="shared" si="12"/>
        <v>4401.8714573060442</v>
      </c>
      <c r="M21" s="49">
        <v>0.44679090542964883</v>
      </c>
      <c r="O21" s="50"/>
    </row>
    <row r="22">
      <c r="A22" s="45" t="s">
        <v>63</v>
      </c>
      <c r="B22" s="45" t="s">
        <v>64</v>
      </c>
      <c r="C22" s="45" t="s">
        <v>112</v>
      </c>
      <c r="D22" s="46">
        <v>36526</v>
      </c>
      <c r="E22" s="46">
        <v>402133</v>
      </c>
      <c r="F22" s="45" t="s">
        <v>113</v>
      </c>
      <c r="G22" s="45" t="s">
        <v>114</v>
      </c>
      <c r="H22" s="45" t="s">
        <v>121</v>
      </c>
      <c r="I22" s="45" t="s">
        <v>137</v>
      </c>
      <c r="J22" s="47">
        <v>138.13</v>
      </c>
      <c r="K22" s="48">
        <v>2290.6955999999996</v>
      </c>
      <c r="L22" s="48">
        <f t="shared" si="12"/>
        <v>2977.9042799999997</v>
      </c>
      <c r="M22" s="49">
        <v>0.29999999999999999</v>
      </c>
      <c r="O22" s="50"/>
    </row>
    <row r="23">
      <c r="A23" s="45" t="s">
        <v>67</v>
      </c>
      <c r="B23" s="45" t="s">
        <v>68</v>
      </c>
      <c r="C23" s="45" t="s">
        <v>112</v>
      </c>
      <c r="D23" s="46">
        <v>36526</v>
      </c>
      <c r="E23" s="46">
        <v>402133</v>
      </c>
      <c r="F23" s="45" t="s">
        <v>40</v>
      </c>
      <c r="G23" s="45" t="s">
        <v>114</v>
      </c>
      <c r="H23" s="45" t="s">
        <v>121</v>
      </c>
      <c r="I23" s="45" t="s">
        <v>138</v>
      </c>
      <c r="J23" s="47">
        <v>138.13</v>
      </c>
      <c r="K23" s="48">
        <v>2276.7522000000004</v>
      </c>
      <c r="L23" s="48">
        <f t="shared" si="12"/>
        <v>2982.5453820000007</v>
      </c>
      <c r="M23" s="49">
        <v>0.31</v>
      </c>
      <c r="O23" s="50"/>
    </row>
    <row r="24">
      <c r="A24" s="45" t="s">
        <v>70</v>
      </c>
      <c r="B24" s="45" t="s">
        <v>71</v>
      </c>
      <c r="C24" s="45" t="s">
        <v>112</v>
      </c>
      <c r="D24" s="46">
        <v>36526</v>
      </c>
      <c r="E24" s="46">
        <v>402133</v>
      </c>
      <c r="F24" s="45" t="s">
        <v>73</v>
      </c>
      <c r="G24" s="45" t="s">
        <v>114</v>
      </c>
      <c r="H24" s="45" t="s">
        <v>121</v>
      </c>
      <c r="I24" s="45" t="s">
        <v>139</v>
      </c>
      <c r="J24" s="47">
        <v>138.13</v>
      </c>
      <c r="K24" s="48">
        <v>3099.2190000000005</v>
      </c>
      <c r="L24" s="48">
        <f t="shared" si="12"/>
        <v>4509.1803901878229</v>
      </c>
      <c r="M24" s="49">
        <v>0.4549408706476768</v>
      </c>
      <c r="O24" s="50"/>
    </row>
    <row r="25">
      <c r="A25" s="45" t="s">
        <v>74</v>
      </c>
      <c r="B25" s="45" t="s">
        <v>75</v>
      </c>
      <c r="C25" s="45" t="s">
        <v>107</v>
      </c>
      <c r="D25" s="46">
        <v>36526</v>
      </c>
      <c r="E25" s="46">
        <v>402133</v>
      </c>
      <c r="F25" s="45" t="s">
        <v>18</v>
      </c>
      <c r="G25" s="45" t="s">
        <v>111</v>
      </c>
      <c r="H25" s="45" t="s">
        <v>109</v>
      </c>
      <c r="I25" s="45"/>
      <c r="J25" s="47">
        <v>138.13</v>
      </c>
      <c r="K25" s="48">
        <v>3647.04</v>
      </c>
      <c r="L25" s="48">
        <f t="shared" si="12"/>
        <v>5247.1581552045964</v>
      </c>
      <c r="M25" s="49">
        <v>0.43874433930107615</v>
      </c>
      <c r="N25" s="50">
        <f>K11*12</f>
        <v>25333.372799999997</v>
      </c>
      <c r="O25" s="50"/>
    </row>
    <row r="26">
      <c r="A26" s="45" t="s">
        <v>77</v>
      </c>
      <c r="B26" s="45" t="s">
        <v>140</v>
      </c>
      <c r="C26" s="45" t="s">
        <v>124</v>
      </c>
      <c r="D26" s="46">
        <v>44958</v>
      </c>
      <c r="E26" s="46">
        <v>402134</v>
      </c>
      <c r="F26" s="45" t="s">
        <v>62</v>
      </c>
      <c r="G26" s="45" t="s">
        <v>114</v>
      </c>
      <c r="H26" s="45" t="s">
        <v>121</v>
      </c>
      <c r="I26" s="45"/>
      <c r="J26" s="47">
        <v>138.13</v>
      </c>
      <c r="K26" s="48">
        <v>2446.4099999999999</v>
      </c>
      <c r="L26" s="48">
        <f t="shared" ref="L26:L32" si="13">K26*(1+M26)</f>
        <v>3767.4713999999999</v>
      </c>
      <c r="M26" s="49">
        <v>0.54000000000000004</v>
      </c>
      <c r="N26" s="50">
        <f>K16*12</f>
        <v>26962.761599999998</v>
      </c>
      <c r="O26" s="50"/>
    </row>
    <row r="27">
      <c r="A27" s="45" t="s">
        <v>141</v>
      </c>
      <c r="B27" s="45" t="s">
        <v>142</v>
      </c>
      <c r="C27" s="45" t="s">
        <v>107</v>
      </c>
      <c r="D27" s="46">
        <v>45323</v>
      </c>
      <c r="E27" s="46">
        <v>402133</v>
      </c>
      <c r="F27" s="45" t="s">
        <v>143</v>
      </c>
      <c r="G27" s="45" t="s">
        <v>111</v>
      </c>
      <c r="H27" s="45" t="s">
        <v>109</v>
      </c>
      <c r="I27" s="45"/>
      <c r="J27" s="47">
        <v>97</v>
      </c>
      <c r="K27" s="47">
        <v>2548.8000000000002</v>
      </c>
      <c r="L27" s="55">
        <f t="shared" si="13"/>
        <v>3517.3440000000001</v>
      </c>
      <c r="M27" s="58">
        <v>0.38</v>
      </c>
      <c r="N27" s="50">
        <f>K20*12</f>
        <v>25582.5792</v>
      </c>
    </row>
    <row r="28">
      <c r="A28" s="45" t="s">
        <v>144</v>
      </c>
      <c r="B28" s="45" t="s">
        <v>144</v>
      </c>
      <c r="C28" s="45" t="s">
        <v>112</v>
      </c>
      <c r="D28" s="46">
        <v>45292</v>
      </c>
      <c r="E28" s="46">
        <v>402133</v>
      </c>
      <c r="F28" s="45" t="s">
        <v>145</v>
      </c>
      <c r="G28" s="45" t="s">
        <v>114</v>
      </c>
      <c r="H28" s="45"/>
      <c r="I28" s="45" t="s">
        <v>146</v>
      </c>
      <c r="J28" s="47">
        <v>138.13</v>
      </c>
      <c r="K28" s="47">
        <v>1800</v>
      </c>
      <c r="L28" s="55">
        <f t="shared" si="13"/>
        <v>2250</v>
      </c>
      <c r="M28" s="58">
        <v>0.25</v>
      </c>
      <c r="N28" s="50">
        <f>N27/2</f>
        <v>12791.2896</v>
      </c>
    </row>
    <row r="29">
      <c r="A29" s="45" t="s">
        <v>27</v>
      </c>
      <c r="B29" s="45" t="s">
        <v>147</v>
      </c>
      <c r="C29" s="45" t="s">
        <v>148</v>
      </c>
      <c r="D29" s="46">
        <v>36526</v>
      </c>
      <c r="E29" s="46">
        <v>402133</v>
      </c>
      <c r="F29" s="45" t="s">
        <v>149</v>
      </c>
      <c r="G29" s="45" t="s">
        <v>114</v>
      </c>
      <c r="H29" s="45" t="s">
        <v>115</v>
      </c>
      <c r="I29" s="45"/>
      <c r="J29" s="47">
        <v>138.13</v>
      </c>
      <c r="K29" s="47">
        <v>4118.1999999999998</v>
      </c>
      <c r="L29" s="55">
        <f t="shared" si="13"/>
        <v>5147.75</v>
      </c>
      <c r="M29" s="58">
        <v>0.25</v>
      </c>
      <c r="N29" s="50">
        <f>K23*12</f>
        <v>27321.026400000002</v>
      </c>
    </row>
    <row r="30">
      <c r="A30" s="45" t="s">
        <v>150</v>
      </c>
      <c r="B30" s="45" t="s">
        <v>151</v>
      </c>
      <c r="C30" s="45" t="s">
        <v>152</v>
      </c>
      <c r="D30" s="46">
        <v>45537</v>
      </c>
      <c r="E30" s="46">
        <v>402133</v>
      </c>
      <c r="F30" s="45" t="s">
        <v>18</v>
      </c>
      <c r="G30" s="45" t="s">
        <v>110</v>
      </c>
      <c r="H30" s="45" t="s">
        <v>109</v>
      </c>
      <c r="I30" s="45"/>
      <c r="J30" s="47">
        <v>138.13</v>
      </c>
      <c r="K30" s="47">
        <v>3151.4899999999998</v>
      </c>
      <c r="L30" s="55">
        <f t="shared" si="13"/>
        <v>5541.9899999999998</v>
      </c>
      <c r="M30" s="58">
        <f>+CDI!H25</f>
        <v>0.75853009211515832</v>
      </c>
      <c r="N30" s="50">
        <f>(K22+N28+K13+K26)*12</f>
        <v>257029.14240000001</v>
      </c>
    </row>
    <row r="31">
      <c r="A31" s="45" t="s">
        <v>153</v>
      </c>
      <c r="B31" s="45" t="s">
        <v>154</v>
      </c>
      <c r="C31" s="45" t="s">
        <v>107</v>
      </c>
      <c r="D31" s="46">
        <v>45537</v>
      </c>
      <c r="E31" s="46">
        <v>402133</v>
      </c>
      <c r="F31" s="45" t="s">
        <v>18</v>
      </c>
      <c r="G31" s="45" t="s">
        <v>108</v>
      </c>
      <c r="H31" s="45" t="s">
        <v>109</v>
      </c>
      <c r="I31" s="45"/>
      <c r="J31" s="47">
        <v>138.13</v>
      </c>
      <c r="K31" s="47">
        <v>3066.5999999999999</v>
      </c>
      <c r="L31" s="55">
        <f t="shared" si="13"/>
        <v>5390.71</v>
      </c>
      <c r="M31" s="58">
        <f>+CDI!H26</f>
        <v>0.75787843213982919</v>
      </c>
      <c r="N31" s="50"/>
    </row>
    <row r="32">
      <c r="A32" s="45"/>
      <c r="B32" s="45"/>
      <c r="C32" s="45"/>
      <c r="D32" s="46"/>
      <c r="E32" s="46"/>
      <c r="F32" s="45"/>
      <c r="G32" s="45"/>
      <c r="H32" s="45"/>
      <c r="I32" s="45"/>
      <c r="J32" s="47"/>
      <c r="K32" s="47"/>
      <c r="L32" s="55">
        <f t="shared" si="13"/>
        <v>0</v>
      </c>
      <c r="M32" s="58"/>
      <c r="N32" s="50"/>
    </row>
    <row r="33">
      <c r="A33" s="45"/>
      <c r="B33" s="45"/>
      <c r="C33" s="45"/>
      <c r="D33" s="46"/>
      <c r="E33" s="46"/>
      <c r="F33" s="45"/>
      <c r="G33" s="45"/>
      <c r="H33" s="45"/>
      <c r="I33" s="45"/>
      <c r="J33" s="47"/>
      <c r="K33" s="47"/>
      <c r="L33" s="55"/>
      <c r="M33" s="58"/>
      <c r="N33" s="50"/>
    </row>
    <row r="34">
      <c r="L34" s="59"/>
      <c r="N34" s="50"/>
    </row>
    <row r="35" ht="13.949999999999999" customHeight="1">
      <c r="K35" s="60" t="s">
        <v>155</v>
      </c>
      <c r="L35" s="41" t="s">
        <v>109</v>
      </c>
      <c r="M35" s="61">
        <f>AVERAGEIF($H$3:$H$25,L35,$M$3:$M$25)-0.02</f>
        <v>0.30970117849589007</v>
      </c>
    </row>
    <row r="36">
      <c r="K36" s="60"/>
      <c r="L36" s="41" t="s">
        <v>121</v>
      </c>
      <c r="M36" s="61">
        <f>AVERAGEIF($H$3:$H$25,L36,$M$3:$M$25)+0.03</f>
        <v>0.41180674142928708</v>
      </c>
      <c r="N36" s="50">
        <f>(K11+K13+K20+K23+K22+K26)*12</f>
        <v>181770.64559999999</v>
      </c>
    </row>
    <row r="37" ht="15.449999999999999" customHeight="1">
      <c r="K37" s="60"/>
      <c r="L37" s="41" t="s">
        <v>115</v>
      </c>
      <c r="M37" s="61">
        <f>AVERAGEIF($H$3:$H$25,L37,$M$3:$M$25)</f>
        <v>0.13534968434121597</v>
      </c>
      <c r="N37" s="50"/>
    </row>
    <row r="41">
      <c r="K41" s="41">
        <f>SUM(K3:K29)</f>
        <v>76744.235065999994</v>
      </c>
      <c r="L41" s="41">
        <f>K41*0.22</f>
        <v>16883.73171452</v>
      </c>
      <c r="M41" s="41">
        <f>K41-L41</f>
        <v>59860.503351479994</v>
      </c>
      <c r="N41" s="50">
        <f>K24*12</f>
        <v>37190.628000000004</v>
      </c>
    </row>
    <row r="42">
      <c r="K42" s="41">
        <f>K41*12</f>
        <v>920930.82079199993</v>
      </c>
      <c r="M42" s="41">
        <f>M41*12</f>
        <v>718326.0402177599</v>
      </c>
      <c r="N42" s="50"/>
    </row>
    <row r="44">
      <c r="E44" s="62" t="s">
        <v>156</v>
      </c>
    </row>
    <row r="45">
      <c r="E45" s="36" t="s">
        <v>157</v>
      </c>
      <c r="F45" s="41">
        <f>75430*1.02</f>
        <v>76938.600000000006</v>
      </c>
      <c r="I45" s="50">
        <f>SUM('Hypotheses expl'!C143:C144)-F45</f>
        <v>-13525.954934000009</v>
      </c>
    </row>
    <row r="46">
      <c r="E46" s="36" t="s">
        <v>158</v>
      </c>
      <c r="F46" s="41">
        <f>F45-3162*1.02</f>
        <v>73713.360000000001</v>
      </c>
      <c r="I46" s="50">
        <f>SUM('Hypotheses expl'!D143:D144)-F46</f>
        <v>-10896.811933999998</v>
      </c>
    </row>
    <row r="47">
      <c r="E47" s="36" t="s">
        <v>159</v>
      </c>
      <c r="F47" s="41">
        <f>F46-2834*1.02</f>
        <v>70822.680000000008</v>
      </c>
      <c r="I47" s="50">
        <f>SUM('Hypotheses expl'!I143:I144)-F47</f>
        <v>-1469.7519340000144</v>
      </c>
      <c r="M47" s="41">
        <f>2912*12</f>
        <v>34944</v>
      </c>
    </row>
    <row r="48">
      <c r="E48" s="36" t="s">
        <v>160</v>
      </c>
      <c r="F48" s="41">
        <f>F47-1199*1.02-2834*1.02+(3440-1881*1.02)</f>
        <v>68230.400000000023</v>
      </c>
      <c r="I48" s="50">
        <f>SUM('Hypotheses expl'!K143:K144)-F48</f>
        <v>1122.5280659999698</v>
      </c>
    </row>
    <row r="50">
      <c r="L50" s="41">
        <f>3080.45*0.6</f>
        <v>1848.2699999999998</v>
      </c>
    </row>
    <row r="57">
      <c r="K57" s="41">
        <f>138.13-103.6</f>
        <v>34.530000000000001</v>
      </c>
    </row>
    <row r="63">
      <c r="B63" s="36">
        <v>1</v>
      </c>
      <c r="C63" s="36">
        <v>2884.5700000000002</v>
      </c>
    </row>
    <row r="64">
      <c r="B64" s="36">
        <v>2</v>
      </c>
      <c r="C64" s="36">
        <v>2681.1999999999998</v>
      </c>
    </row>
    <row r="65">
      <c r="B65" s="36">
        <v>3</v>
      </c>
      <c r="C65" s="36">
        <v>2814.5599999999999</v>
      </c>
    </row>
    <row r="66">
      <c r="B66" s="36">
        <v>4</v>
      </c>
      <c r="C66" s="36">
        <v>1850.1300000000001</v>
      </c>
    </row>
    <row r="67">
      <c r="B67" s="36">
        <v>5</v>
      </c>
      <c r="C67" s="36">
        <v>1446.8499999999999</v>
      </c>
    </row>
    <row r="68">
      <c r="B68" s="36">
        <v>6</v>
      </c>
      <c r="C68" s="36">
        <v>2772.3600000000001</v>
      </c>
    </row>
    <row r="69">
      <c r="B69" s="36">
        <v>7</v>
      </c>
      <c r="C69" s="36">
        <v>2346.7199999999998</v>
      </c>
    </row>
    <row r="70">
      <c r="B70" s="36">
        <v>8</v>
      </c>
      <c r="C70" s="36">
        <v>2109.8200000000002</v>
      </c>
    </row>
    <row r="71">
      <c r="B71" s="36">
        <v>9</v>
      </c>
      <c r="C71" s="36">
        <v>1522.1700000000001</v>
      </c>
    </row>
    <row r="72">
      <c r="B72" s="36">
        <v>10</v>
      </c>
      <c r="C72" s="36">
        <v>2938.5900000000001</v>
      </c>
    </row>
    <row r="73">
      <c r="B73" s="36">
        <v>11</v>
      </c>
      <c r="C73" s="36">
        <v>1105.0599999999999</v>
      </c>
    </row>
    <row r="74">
      <c r="B74" s="36">
        <v>12</v>
      </c>
      <c r="C74" s="36">
        <v>2900.77</v>
      </c>
    </row>
    <row r="75">
      <c r="B75" s="36">
        <v>13</v>
      </c>
      <c r="C75" s="36">
        <v>2327.46</v>
      </c>
    </row>
    <row r="76">
      <c r="B76" s="36">
        <v>14</v>
      </c>
      <c r="C76" s="36">
        <v>1740.0699999999999</v>
      </c>
    </row>
    <row r="77">
      <c r="B77" s="36">
        <v>15</v>
      </c>
      <c r="C77" s="36">
        <v>2821.77</v>
      </c>
    </row>
    <row r="78">
      <c r="B78" s="36">
        <v>16</v>
      </c>
      <c r="C78" s="36">
        <v>2527.8899999999999</v>
      </c>
    </row>
    <row r="79">
      <c r="B79" s="36">
        <v>17</v>
      </c>
      <c r="C79" s="36">
        <v>2447.1900000000001</v>
      </c>
    </row>
    <row r="80">
      <c r="B80" s="36">
        <v>18</v>
      </c>
      <c r="C80" s="36">
        <v>1819.8900000000001</v>
      </c>
    </row>
    <row r="81">
      <c r="B81" s="36">
        <v>19</v>
      </c>
      <c r="C81" s="36">
        <v>258.29000000000002</v>
      </c>
    </row>
    <row r="82">
      <c r="B82" s="36">
        <v>20</v>
      </c>
      <c r="C82" s="36">
        <v>1794.2</v>
      </c>
    </row>
    <row r="83">
      <c r="B83" s="36">
        <v>21</v>
      </c>
      <c r="C83" s="36">
        <v>1879.8</v>
      </c>
    </row>
    <row r="84">
      <c r="B84" s="36">
        <v>22</v>
      </c>
      <c r="C84" s="36">
        <v>2379.4000000000001</v>
      </c>
    </row>
    <row r="85">
      <c r="B85" s="36">
        <v>23</v>
      </c>
      <c r="C85" s="36">
        <v>2750.1700000000001</v>
      </c>
    </row>
    <row r="86">
      <c r="B86" s="36">
        <v>24</v>
      </c>
      <c r="C86" s="36">
        <v>1803.3299999999999</v>
      </c>
    </row>
    <row r="87">
      <c r="C87" s="63">
        <f>SUM(C63:C86)</f>
        <v>51922.260000000002</v>
      </c>
    </row>
  </sheetData>
  <autoFilter ref="A2:V25"/>
  <mergeCells count="1">
    <mergeCell ref="K35:K37"/>
  </mergeCells>
  <printOptions headings="0" gridLines="0"/>
  <pageMargins left="0.69999999999999996" right="0.69999999999999996" top="0.75" bottom="0.75" header="0.29999999999999999" footer="0.29999999999999999"/>
  <pageSetup paperSize="9" scale="100" fitToWidth="1" fitToHeight="1" pageOrder="downThenOver" orientation="portrait" usePrinterDefaults="1" blackAndWhite="0" draft="0" cellComments="none" useFirstPageNumber="0" errors="displayed" horizontalDpi="4294967292" verticalDpi="1200" copies="1"/>
  <headerFooter/>
  <extLst>
    <ext xmlns:x14="http://schemas.microsoft.com/office/spreadsheetml/2009/9/main" uri="{CCE6A557-97BC-4b89-ADB6-D9C93CAAB3DF}">
      <x14:dataValidations xmlns:xm="http://schemas.microsoft.com/office/excel/2006/main" count="3" disablePrompts="0">
        <x14:dataValidation xr:uid="{00B500B4-00A5-453A-8658-00BA00CF00ED}" type="list" allowBlank="1" errorStyle="stop" imeMode="noControl" operator="between" showDropDown="0" showErrorMessage="1" showInputMessage="1">
          <x14:formula1>
            <xm:f>"Formation,Documentation,Administratif"</xm:f>
          </x14:formula1>
          <xm:sqref>H47:H1048576 H10:H45 H1:H8</xm:sqref>
        </x14:dataValidation>
        <x14:dataValidation xr:uid="{009A0074-00F4-439C-8E10-00A1005A00FF}" type="list" allowBlank="1" errorStyle="stop" imeMode="noControl" operator="between" showDropDown="0" showErrorMessage="1" showInputMessage="1">
          <x14:formula1>
            <xm:f>"Formation,Documentation,Administratif,Apprenti"</xm:f>
          </x14:formula1>
          <xm:sqref>H9</xm:sqref>
        </x14:dataValidation>
        <x14:dataValidation xr:uid="{00A900E1-0087-4994-A528-0070001700DC}" type="list" allowBlank="1" errorStyle="stop" imeMode="noControl" operator="between" showDropDown="0" showErrorMessage="1" showInputMessage="1">
          <x14:formula1>
            <xm:f>"FI ME, FI ES, FI AVION, FC, AUTRE"</xm:f>
          </x14:formula1>
          <xm:sqref>G47:G1048576 G1:G45</xm:sqref>
        </x14:dataValidation>
      </x14:dataValidations>
    </ext>
  </extLst>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sheetViews>
    <sheetView zoomScale="100" workbookViewId="0">
      <pane xSplit="2" ySplit="3" topLeftCell="C4" activePane="bottomRight" state="frozen"/>
      <selection activeCell="P7" activeCellId="0" sqref="P7"/>
    </sheetView>
  </sheetViews>
  <sheetFormatPr baseColWidth="10" defaultColWidth="10.6640625" defaultRowHeight="14.4"/>
  <cols>
    <col customWidth="1" min="1" max="1" style="36" width="39"/>
    <col bestFit="1" customWidth="1" min="2" max="2" style="36" width="51.33203125"/>
    <col bestFit="1" customWidth="1" min="3" max="3" style="36" width="13.88671875"/>
    <col bestFit="1" customWidth="1" min="4" max="4" style="36" width="14.6640625"/>
    <col bestFit="1" customWidth="1" min="5" max="5" style="36" width="12.44140625"/>
    <col bestFit="1" customWidth="1" min="6" max="6" style="36" width="11.44140625"/>
    <col customWidth="1" min="7" max="7" style="36" width="12.33203125"/>
    <col bestFit="1" customWidth="1" min="8" max="8" style="36" width="11.5546875"/>
    <col bestFit="1" customWidth="1" min="9" max="10" style="36" width="13.109375"/>
    <col bestFit="1" customWidth="1" min="11" max="11" style="36" width="13.44140625"/>
    <col bestFit="1" customWidth="1" min="12" max="12" style="36" width="12.109375"/>
    <col bestFit="1" customWidth="1" min="13" max="13" style="36" width="12.88671875"/>
    <col bestFit="1" customWidth="1" min="14" max="14" style="36" width="15.5546875"/>
    <col bestFit="1" customWidth="1" min="15" max="15" style="63" width="17.44140625"/>
    <col customWidth="1" min="16" max="16" style="64" width="9.6640625"/>
    <col customWidth="1" min="17" max="17" style="65" width="6.44140625"/>
    <col bestFit="1" customWidth="1" min="18" max="18" style="66" width="20"/>
    <col bestFit="1" customWidth="1" min="19" max="19" style="67" width="13.88671875"/>
    <col bestFit="1" customWidth="1" min="20" max="20" style="66" width="20"/>
    <col bestFit="1" customWidth="1" min="21" max="21" style="67" width="13.109375"/>
    <col bestFit="1" customWidth="1" min="22" max="22" style="66" width="20"/>
    <col bestFit="1" customWidth="1" min="23" max="23" style="67" width="13.109375"/>
    <col bestFit="1" customWidth="1" min="24" max="24" style="66" width="20"/>
    <col bestFit="1" customWidth="1" min="25" max="25" style="67" width="13.109375"/>
    <col bestFit="1" customWidth="1" min="26" max="26" style="66" width="20"/>
    <col customWidth="1" min="27" max="27" style="67" width="16.44140625"/>
    <col bestFit="1" customWidth="1" min="28" max="28" style="66" width="20"/>
    <col min="29" max="29" style="67" width="10.6640625"/>
    <col min="30" max="16384" style="36" width="10.6640625"/>
  </cols>
  <sheetData>
    <row r="1" ht="21">
      <c r="A1" s="68" t="s">
        <v>161</v>
      </c>
      <c r="B1" s="69">
        <v>44927</v>
      </c>
      <c r="Q1" s="65" t="s">
        <v>162</v>
      </c>
      <c r="R1" s="70" t="s">
        <v>163</v>
      </c>
      <c r="S1" s="71" t="s">
        <v>164</v>
      </c>
      <c r="T1" s="70" t="s">
        <v>165</v>
      </c>
      <c r="U1" s="71" t="s">
        <v>164</v>
      </c>
      <c r="V1" s="70" t="s">
        <v>166</v>
      </c>
      <c r="W1" s="71" t="s">
        <v>164</v>
      </c>
      <c r="X1" s="70" t="s">
        <v>167</v>
      </c>
      <c r="Y1" s="71" t="s">
        <v>164</v>
      </c>
      <c r="Z1" s="70" t="s">
        <v>168</v>
      </c>
      <c r="AA1" s="71" t="s">
        <v>164</v>
      </c>
      <c r="AB1" s="70" t="s">
        <v>169</v>
      </c>
      <c r="AC1" s="71" t="s">
        <v>164</v>
      </c>
    </row>
    <row r="2" ht="21">
      <c r="A2" s="72" t="s">
        <v>170</v>
      </c>
      <c r="B2" s="72"/>
    </row>
    <row r="3" ht="28.800000000000001">
      <c r="C3" s="73">
        <f>B1</f>
        <v>44927</v>
      </c>
      <c r="D3" s="74">
        <f>DATE(YEAR(C3),MONTH(C3)+1,DAY(C3))</f>
        <v>44958</v>
      </c>
      <c r="E3" s="74">
        <f t="shared" ref="E3:N3" si="14">DATE(YEAR(D3),MONTH(D3)+1,DAY(D3))</f>
        <v>44986</v>
      </c>
      <c r="F3" s="74">
        <f t="shared" si="14"/>
        <v>45017</v>
      </c>
      <c r="G3" s="74">
        <f t="shared" si="14"/>
        <v>45047</v>
      </c>
      <c r="H3" s="74">
        <f t="shared" si="14"/>
        <v>45078</v>
      </c>
      <c r="I3" s="74">
        <f t="shared" si="14"/>
        <v>45108</v>
      </c>
      <c r="J3" s="74">
        <f t="shared" si="14"/>
        <v>45139</v>
      </c>
      <c r="K3" s="74">
        <f t="shared" si="14"/>
        <v>45170</v>
      </c>
      <c r="L3" s="74">
        <f t="shared" si="14"/>
        <v>45200</v>
      </c>
      <c r="M3" s="74">
        <f t="shared" si="14"/>
        <v>45231</v>
      </c>
      <c r="N3" s="74">
        <f t="shared" si="14"/>
        <v>45261</v>
      </c>
      <c r="O3" s="75" t="s">
        <v>171</v>
      </c>
      <c r="P3" s="76" t="s">
        <v>172</v>
      </c>
      <c r="Q3" s="77" t="s">
        <v>173</v>
      </c>
    </row>
    <row r="4" ht="18">
      <c r="C4" s="78"/>
      <c r="D4" s="78"/>
      <c r="E4" s="78"/>
      <c r="F4" s="78"/>
      <c r="G4" s="78"/>
      <c r="H4" s="78"/>
      <c r="I4" s="78"/>
      <c r="J4" s="78"/>
      <c r="K4" s="78"/>
      <c r="L4" s="78"/>
      <c r="M4" s="78"/>
      <c r="N4" s="78"/>
      <c r="O4" s="79"/>
    </row>
    <row r="5" ht="18">
      <c r="C5" s="80" t="s">
        <v>174</v>
      </c>
      <c r="D5" s="80"/>
      <c r="E5" s="80"/>
      <c r="F5" s="80"/>
      <c r="G5" s="80"/>
      <c r="H5" s="80"/>
      <c r="I5" s="80"/>
      <c r="J5" s="80"/>
      <c r="K5" s="80"/>
      <c r="L5" s="80"/>
      <c r="M5" s="80"/>
      <c r="N5" s="80"/>
    </row>
    <row r="6" ht="18.600000000000001">
      <c r="A6" s="81" t="s">
        <v>175</v>
      </c>
      <c r="B6" s="82"/>
      <c r="C6" s="83">
        <f>C3</f>
        <v>44927</v>
      </c>
      <c r="D6" s="83">
        <f t="shared" ref="D6:N6" si="15">D3</f>
        <v>44958</v>
      </c>
      <c r="E6" s="83">
        <f t="shared" si="15"/>
        <v>44986</v>
      </c>
      <c r="F6" s="83">
        <f t="shared" si="15"/>
        <v>45017</v>
      </c>
      <c r="G6" s="83">
        <f t="shared" si="15"/>
        <v>45047</v>
      </c>
      <c r="H6" s="83">
        <f t="shared" si="15"/>
        <v>45078</v>
      </c>
      <c r="I6" s="83">
        <f t="shared" si="15"/>
        <v>45108</v>
      </c>
      <c r="J6" s="83">
        <f t="shared" si="15"/>
        <v>45139</v>
      </c>
      <c r="K6" s="83">
        <f t="shared" si="15"/>
        <v>45170</v>
      </c>
      <c r="L6" s="83">
        <f t="shared" si="15"/>
        <v>45200</v>
      </c>
      <c r="M6" s="83">
        <f t="shared" si="15"/>
        <v>45231</v>
      </c>
      <c r="N6" s="83">
        <f t="shared" si="15"/>
        <v>45261</v>
      </c>
      <c r="O6" s="84" t="s">
        <v>171</v>
      </c>
      <c r="P6" s="85"/>
    </row>
    <row r="7" ht="15">
      <c r="A7" s="86" t="s">
        <v>176</v>
      </c>
    </row>
    <row r="8">
      <c r="A8" s="87" t="s">
        <v>177</v>
      </c>
      <c r="B8" s="87" t="s">
        <v>178</v>
      </c>
    </row>
    <row r="9" ht="15">
      <c r="A9" s="88">
        <v>1</v>
      </c>
      <c r="B9" s="88">
        <v>1</v>
      </c>
      <c r="C9" s="89"/>
      <c r="D9" s="89"/>
      <c r="E9" s="89"/>
      <c r="F9" s="89"/>
      <c r="G9" s="89"/>
      <c r="H9" s="89"/>
      <c r="I9" s="89"/>
      <c r="J9" s="89"/>
      <c r="K9" s="89">
        <f>146300*0.7</f>
        <v>102410</v>
      </c>
      <c r="L9" s="89">
        <f>146300*0.2</f>
        <v>29260</v>
      </c>
      <c r="M9" s="89">
        <f>146300*0.1</f>
        <v>14630</v>
      </c>
      <c r="N9" s="89"/>
      <c r="O9" s="90">
        <f>SUM(C9:N9)-40000</f>
        <v>106300</v>
      </c>
    </row>
    <row r="10" ht="15.6">
      <c r="A10" s="91"/>
      <c r="B10" s="91"/>
      <c r="C10" s="92">
        <f>$A$9*C9</f>
        <v>0</v>
      </c>
      <c r="D10" s="92">
        <f t="shared" ref="D10:N10" si="16">$A$9*D9</f>
        <v>0</v>
      </c>
      <c r="E10" s="92">
        <f t="shared" si="16"/>
        <v>0</v>
      </c>
      <c r="F10" s="92">
        <f t="shared" si="16"/>
        <v>0</v>
      </c>
      <c r="G10" s="92">
        <f t="shared" si="16"/>
        <v>0</v>
      </c>
      <c r="H10" s="92">
        <f t="shared" si="16"/>
        <v>0</v>
      </c>
      <c r="I10" s="92">
        <f t="shared" si="16"/>
        <v>0</v>
      </c>
      <c r="J10" s="92">
        <f t="shared" si="16"/>
        <v>0</v>
      </c>
      <c r="K10" s="92">
        <f t="shared" si="16"/>
        <v>102410</v>
      </c>
      <c r="L10" s="92">
        <f t="shared" si="16"/>
        <v>29260</v>
      </c>
      <c r="M10" s="92">
        <f t="shared" si="16"/>
        <v>14630</v>
      </c>
      <c r="N10" s="92">
        <f t="shared" si="16"/>
        <v>0</v>
      </c>
      <c r="O10" s="92">
        <f>SUM(C10:N10)-40000</f>
        <v>106300</v>
      </c>
      <c r="P10" s="93" t="s">
        <v>179</v>
      </c>
      <c r="Q10" s="65" t="str">
        <f>IF(ROUND(O10,0)&lt;&gt;ROUND(SUM(S10,U10,W10,Y10,AA10,AC10),0),"x","")</f>
        <v/>
      </c>
      <c r="R10" s="94" t="s">
        <v>108</v>
      </c>
      <c r="S10" s="95">
        <f>42*(190*3)+42*(410*3)-20669</f>
        <v>54931</v>
      </c>
      <c r="T10" s="94" t="s">
        <v>110</v>
      </c>
      <c r="U10" s="95">
        <f>100*(190*2)-10390</f>
        <v>27610</v>
      </c>
      <c r="V10" s="94" t="s">
        <v>126</v>
      </c>
      <c r="W10" s="95">
        <f>15*(190*2)+15*(190*3)+15*(410*3)-8941</f>
        <v>23759</v>
      </c>
      <c r="X10" s="94"/>
      <c r="Y10" s="96"/>
      <c r="Z10" s="94"/>
      <c r="AA10" s="96"/>
      <c r="AB10" s="94"/>
      <c r="AC10" s="96"/>
    </row>
    <row r="11" ht="15">
      <c r="A11" s="86" t="s">
        <v>180</v>
      </c>
    </row>
    <row r="12">
      <c r="A12" s="87" t="s">
        <v>177</v>
      </c>
      <c r="B12" s="87" t="s">
        <v>178</v>
      </c>
    </row>
    <row r="13" ht="15">
      <c r="A13" s="88">
        <v>1</v>
      </c>
      <c r="B13" s="88"/>
      <c r="C13" s="89"/>
      <c r="D13" s="89"/>
      <c r="E13" s="89"/>
      <c r="F13" s="89"/>
      <c r="G13" s="89">
        <f>42800*0.6</f>
        <v>25680</v>
      </c>
      <c r="H13" s="89">
        <f>42800*0.4</f>
        <v>17120</v>
      </c>
      <c r="I13" s="89"/>
      <c r="J13" s="89"/>
      <c r="K13" s="89"/>
      <c r="L13" s="89"/>
      <c r="M13" s="89"/>
      <c r="N13" s="89"/>
      <c r="O13" s="97">
        <f t="shared" ref="O13:O33" si="17">SUM(C13:N13)</f>
        <v>42800</v>
      </c>
    </row>
    <row r="14" ht="15.6">
      <c r="A14" s="91"/>
      <c r="B14" s="91"/>
      <c r="C14" s="92">
        <f t="shared" ref="C14:H14" si="18">+$A$13*C13</f>
        <v>0</v>
      </c>
      <c r="D14" s="92">
        <f t="shared" si="18"/>
        <v>0</v>
      </c>
      <c r="E14" s="92">
        <f t="shared" si="18"/>
        <v>0</v>
      </c>
      <c r="F14" s="92">
        <f t="shared" si="18"/>
        <v>0</v>
      </c>
      <c r="G14" s="92">
        <f t="shared" si="18"/>
        <v>25680</v>
      </c>
      <c r="H14" s="92">
        <f t="shared" si="18"/>
        <v>17120</v>
      </c>
      <c r="I14" s="92">
        <f t="shared" ref="I14:N14" si="19">+$A$13*I13</f>
        <v>0</v>
      </c>
      <c r="J14" s="92">
        <f t="shared" si="19"/>
        <v>0</v>
      </c>
      <c r="K14" s="92">
        <f t="shared" si="19"/>
        <v>0</v>
      </c>
      <c r="L14" s="92">
        <f t="shared" si="19"/>
        <v>0</v>
      </c>
      <c r="M14" s="92">
        <f t="shared" si="19"/>
        <v>0</v>
      </c>
      <c r="N14" s="92">
        <f t="shared" si="19"/>
        <v>0</v>
      </c>
      <c r="O14" s="92">
        <f t="shared" si="17"/>
        <v>42800</v>
      </c>
      <c r="P14" s="93" t="s">
        <v>179</v>
      </c>
      <c r="Q14" s="65" t="str">
        <f>IF(O14&lt;&gt;SUM(S14,U14,W14,Y14,AA14,AC14),"x","")</f>
        <v/>
      </c>
      <c r="R14" s="94" t="s">
        <v>108</v>
      </c>
      <c r="S14" s="95">
        <f>42*(80)/0.4</f>
        <v>8400</v>
      </c>
      <c r="T14" s="94" t="s">
        <v>110</v>
      </c>
      <c r="U14" s="95">
        <f>(100*0.5*(60+80)+100*0.5*(80))/0.4</f>
        <v>27500</v>
      </c>
      <c r="V14" s="94" t="s">
        <v>126</v>
      </c>
      <c r="W14" s="95">
        <f>(15*(80)+15*0.4*(60+80)+15*0.6*(80))/0.4</f>
        <v>6900</v>
      </c>
      <c r="X14" s="94"/>
      <c r="Y14" s="96"/>
      <c r="Z14" s="94"/>
      <c r="AA14" s="96"/>
      <c r="AB14" s="94"/>
      <c r="AC14" s="96"/>
    </row>
    <row r="15" ht="15">
      <c r="A15" s="86" t="s">
        <v>181</v>
      </c>
    </row>
    <row r="16">
      <c r="A16" s="87" t="s">
        <v>177</v>
      </c>
      <c r="B16" s="87" t="s">
        <v>178</v>
      </c>
    </row>
    <row r="17" ht="15">
      <c r="A17" s="88">
        <v>1</v>
      </c>
      <c r="B17" s="88">
        <v>1</v>
      </c>
      <c r="C17" s="89"/>
      <c r="D17" s="89"/>
      <c r="E17" s="89"/>
      <c r="F17" s="89"/>
      <c r="G17" s="89"/>
      <c r="H17" s="89"/>
      <c r="I17" s="89"/>
      <c r="J17" s="89"/>
      <c r="K17" s="89"/>
      <c r="L17" s="89">
        <v>50000</v>
      </c>
      <c r="M17" s="89"/>
      <c r="N17" s="89">
        <f>218021-L17</f>
        <v>168021</v>
      </c>
      <c r="O17" s="97">
        <f t="shared" si="17"/>
        <v>218021</v>
      </c>
    </row>
    <row r="18" ht="15.6">
      <c r="A18" s="91"/>
      <c r="B18" s="91"/>
      <c r="C18" s="92">
        <f t="shared" ref="C18:H18" si="20">+$A$17*C17</f>
        <v>0</v>
      </c>
      <c r="D18" s="92">
        <f t="shared" si="20"/>
        <v>0</v>
      </c>
      <c r="E18" s="92">
        <f t="shared" si="20"/>
        <v>0</v>
      </c>
      <c r="F18" s="92">
        <f t="shared" si="20"/>
        <v>0</v>
      </c>
      <c r="G18" s="92">
        <f t="shared" si="20"/>
        <v>0</v>
      </c>
      <c r="H18" s="92">
        <f t="shared" si="20"/>
        <v>0</v>
      </c>
      <c r="I18" s="92">
        <f t="shared" ref="I18:N18" si="21">+$A$17*I17</f>
        <v>0</v>
      </c>
      <c r="J18" s="92">
        <f t="shared" si="21"/>
        <v>0</v>
      </c>
      <c r="K18" s="92">
        <f t="shared" si="21"/>
        <v>0</v>
      </c>
      <c r="L18" s="92">
        <f t="shared" si="21"/>
        <v>50000</v>
      </c>
      <c r="M18" s="92">
        <f t="shared" si="21"/>
        <v>0</v>
      </c>
      <c r="N18" s="92">
        <f t="shared" si="21"/>
        <v>168021</v>
      </c>
      <c r="O18" s="92">
        <f t="shared" si="17"/>
        <v>218021</v>
      </c>
      <c r="P18" s="93" t="s">
        <v>179</v>
      </c>
      <c r="Q18" s="65" t="str">
        <f>IF(O18&lt;&gt;SUM(S18,U18,W18,Y18,AA18,AC18),"x","")</f>
        <v/>
      </c>
      <c r="R18" s="94" t="s">
        <v>111</v>
      </c>
      <c r="S18" s="95">
        <f>O18</f>
        <v>218021</v>
      </c>
      <c r="T18" s="94"/>
      <c r="U18" s="96"/>
      <c r="V18" s="94"/>
      <c r="W18" s="96"/>
      <c r="X18" s="94"/>
      <c r="Y18" s="96"/>
      <c r="Z18" s="94"/>
      <c r="AA18" s="96"/>
      <c r="AB18" s="94"/>
      <c r="AC18" s="96"/>
    </row>
    <row r="19" ht="15">
      <c r="A19" s="86" t="s">
        <v>182</v>
      </c>
    </row>
    <row r="20">
      <c r="A20" s="87" t="s">
        <v>177</v>
      </c>
      <c r="B20" s="87" t="s">
        <v>178</v>
      </c>
    </row>
    <row r="21" ht="15">
      <c r="A21" s="88"/>
      <c r="B21" s="88"/>
      <c r="C21" s="89"/>
      <c r="D21" s="89"/>
      <c r="E21" s="89"/>
      <c r="F21" s="89"/>
      <c r="G21" s="89"/>
      <c r="H21" s="89"/>
      <c r="I21" s="89"/>
      <c r="J21" s="89"/>
      <c r="K21" s="89"/>
      <c r="L21" s="89"/>
      <c r="M21" s="89"/>
      <c r="N21" s="89"/>
      <c r="O21" s="97">
        <f t="shared" si="17"/>
        <v>0</v>
      </c>
    </row>
    <row r="22" ht="15.6">
      <c r="A22" s="91"/>
      <c r="B22" s="91"/>
      <c r="C22" s="92">
        <f t="shared" ref="C22:H22" si="22">$A$21*C21</f>
        <v>0</v>
      </c>
      <c r="D22" s="92">
        <f t="shared" si="22"/>
        <v>0</v>
      </c>
      <c r="E22" s="92">
        <f t="shared" si="22"/>
        <v>0</v>
      </c>
      <c r="F22" s="92">
        <f t="shared" si="22"/>
        <v>0</v>
      </c>
      <c r="G22" s="92">
        <f t="shared" si="22"/>
        <v>0</v>
      </c>
      <c r="H22" s="92">
        <f t="shared" si="22"/>
        <v>0</v>
      </c>
      <c r="I22" s="92">
        <f t="shared" ref="I22:N22" si="23">$A$21*I21</f>
        <v>0</v>
      </c>
      <c r="J22" s="92">
        <f t="shared" si="23"/>
        <v>0</v>
      </c>
      <c r="K22" s="92">
        <f t="shared" si="23"/>
        <v>0</v>
      </c>
      <c r="L22" s="92">
        <f t="shared" si="23"/>
        <v>0</v>
      </c>
      <c r="M22" s="92">
        <f t="shared" si="23"/>
        <v>0</v>
      </c>
      <c r="N22" s="92">
        <f t="shared" si="23"/>
        <v>0</v>
      </c>
      <c r="O22" s="92">
        <f t="shared" si="17"/>
        <v>0</v>
      </c>
      <c r="P22" s="93" t="s">
        <v>179</v>
      </c>
      <c r="Q22" s="65" t="str">
        <f>IF(O22&lt;&gt;SUM(S22,U22,W22,Y22,AA22,AC22),"x","")</f>
        <v/>
      </c>
      <c r="R22" s="94" t="s">
        <v>183</v>
      </c>
      <c r="S22" s="95">
        <f>O22</f>
        <v>0</v>
      </c>
      <c r="T22" s="94"/>
      <c r="U22" s="96"/>
      <c r="V22" s="94"/>
      <c r="W22" s="96"/>
      <c r="X22" s="94"/>
      <c r="Y22" s="96"/>
      <c r="Z22" s="94"/>
      <c r="AA22" s="96"/>
      <c r="AB22" s="94"/>
      <c r="AC22" s="96"/>
    </row>
    <row r="23" ht="15">
      <c r="A23" s="86" t="s">
        <v>184</v>
      </c>
    </row>
    <row r="24">
      <c r="A24" s="87" t="s">
        <v>177</v>
      </c>
      <c r="B24" s="87" t="s">
        <v>178</v>
      </c>
    </row>
    <row r="25" ht="15">
      <c r="A25" s="88">
        <v>1</v>
      </c>
      <c r="B25" s="88">
        <v>1</v>
      </c>
      <c r="C25" s="89"/>
      <c r="D25" s="89">
        <v>20365</v>
      </c>
      <c r="E25" s="89"/>
      <c r="F25" s="89"/>
      <c r="G25" s="89"/>
      <c r="H25" s="89">
        <v>22348</v>
      </c>
      <c r="I25" s="89"/>
      <c r="J25" s="89"/>
      <c r="K25" s="89"/>
      <c r="L25" s="89">
        <v>12489</v>
      </c>
      <c r="M25" s="89"/>
      <c r="N25" s="89">
        <v>4306</v>
      </c>
      <c r="O25" s="97">
        <f t="shared" si="17"/>
        <v>59508</v>
      </c>
    </row>
    <row r="26" ht="15.6">
      <c r="A26" s="91"/>
      <c r="B26" s="91"/>
      <c r="C26" s="92">
        <f>C25*$A$25</f>
        <v>0</v>
      </c>
      <c r="D26" s="92">
        <f t="shared" ref="D26:H26" si="24">D25*$A$25</f>
        <v>20365</v>
      </c>
      <c r="E26" s="92">
        <f t="shared" si="24"/>
        <v>0</v>
      </c>
      <c r="F26" s="92">
        <f t="shared" si="24"/>
        <v>0</v>
      </c>
      <c r="G26" s="92">
        <f t="shared" si="24"/>
        <v>0</v>
      </c>
      <c r="H26" s="92">
        <f t="shared" si="24"/>
        <v>22348</v>
      </c>
      <c r="I26" s="92">
        <f t="shared" ref="I26:N26" si="25">I25*$A$25</f>
        <v>0</v>
      </c>
      <c r="J26" s="92">
        <f t="shared" si="25"/>
        <v>0</v>
      </c>
      <c r="K26" s="92">
        <f t="shared" si="25"/>
        <v>0</v>
      </c>
      <c r="L26" s="92">
        <f t="shared" si="25"/>
        <v>12489</v>
      </c>
      <c r="M26" s="92">
        <f t="shared" si="25"/>
        <v>0</v>
      </c>
      <c r="N26" s="92">
        <f t="shared" si="25"/>
        <v>4306</v>
      </c>
      <c r="O26" s="92">
        <f t="shared" si="17"/>
        <v>59508</v>
      </c>
      <c r="P26" s="93" t="s">
        <v>179</v>
      </c>
      <c r="Q26" s="65" t="str">
        <f>IF(O26&lt;&gt;SUM(S26,U26,W26,Y26,AA26,AC26),"x","")</f>
        <v/>
      </c>
      <c r="R26" s="94" t="s">
        <v>111</v>
      </c>
      <c r="S26" s="95">
        <f>O26</f>
        <v>59508</v>
      </c>
      <c r="T26" s="94"/>
      <c r="U26" s="96"/>
      <c r="V26" s="94"/>
      <c r="W26" s="96"/>
      <c r="X26" s="94"/>
      <c r="Y26" s="96"/>
      <c r="Z26" s="94"/>
      <c r="AA26" s="96"/>
      <c r="AB26" s="94"/>
      <c r="AC26" s="96"/>
    </row>
    <row r="27" ht="15">
      <c r="A27" s="86" t="s">
        <v>185</v>
      </c>
    </row>
    <row r="28">
      <c r="A28" s="87" t="s">
        <v>177</v>
      </c>
      <c r="B28" s="87" t="s">
        <v>178</v>
      </c>
    </row>
    <row r="29" ht="15">
      <c r="A29" s="88">
        <v>1</v>
      </c>
      <c r="B29" s="88">
        <v>1</v>
      </c>
      <c r="C29" s="89"/>
      <c r="D29" s="89"/>
      <c r="E29" s="89"/>
      <c r="F29" s="89"/>
      <c r="G29" s="89"/>
      <c r="H29" s="89"/>
      <c r="I29" s="89"/>
      <c r="J29" s="89"/>
      <c r="K29" s="89"/>
      <c r="L29" s="89"/>
      <c r="M29" s="89"/>
      <c r="N29" s="89">
        <v>33000</v>
      </c>
      <c r="O29" s="97">
        <f t="shared" si="17"/>
        <v>33000</v>
      </c>
    </row>
    <row r="30" ht="15.6">
      <c r="A30" s="91"/>
      <c r="B30" s="91"/>
      <c r="C30" s="92">
        <f>+C29*$A$29</f>
        <v>0</v>
      </c>
      <c r="D30" s="92">
        <f t="shared" ref="D30:H30" si="26">+D29*$A$29</f>
        <v>0</v>
      </c>
      <c r="E30" s="92">
        <f t="shared" si="26"/>
        <v>0</v>
      </c>
      <c r="F30" s="92">
        <f t="shared" si="26"/>
        <v>0</v>
      </c>
      <c r="G30" s="92">
        <f t="shared" si="26"/>
        <v>0</v>
      </c>
      <c r="H30" s="92">
        <f t="shared" si="26"/>
        <v>0</v>
      </c>
      <c r="I30" s="92">
        <f t="shared" ref="I30:N30" si="27">+I29*$A$29</f>
        <v>0</v>
      </c>
      <c r="J30" s="92">
        <f t="shared" si="27"/>
        <v>0</v>
      </c>
      <c r="K30" s="92">
        <f t="shared" si="27"/>
        <v>0</v>
      </c>
      <c r="L30" s="92">
        <f t="shared" si="27"/>
        <v>0</v>
      </c>
      <c r="M30" s="92">
        <f t="shared" si="27"/>
        <v>0</v>
      </c>
      <c r="N30" s="92">
        <f t="shared" si="27"/>
        <v>33000</v>
      </c>
      <c r="O30" s="92">
        <f t="shared" si="17"/>
        <v>33000</v>
      </c>
      <c r="P30" s="93" t="s">
        <v>179</v>
      </c>
      <c r="Q30" s="65" t="str">
        <f>IF(O30&lt;&gt;SUM(S30,U30,W30,Y30,AA30,AC30),"x","")</f>
        <v/>
      </c>
      <c r="R30" s="94" t="s">
        <v>111</v>
      </c>
      <c r="S30" s="95">
        <f>O30</f>
        <v>33000</v>
      </c>
      <c r="T30" s="94"/>
      <c r="U30" s="96"/>
      <c r="V30" s="94"/>
      <c r="W30" s="96"/>
      <c r="X30" s="94"/>
      <c r="Y30" s="96"/>
      <c r="Z30" s="94"/>
      <c r="AA30" s="96"/>
      <c r="AB30" s="94"/>
      <c r="AC30" s="96"/>
    </row>
    <row r="31" ht="15">
      <c r="A31" s="86" t="s">
        <v>186</v>
      </c>
    </row>
    <row r="32">
      <c r="A32" s="87" t="s">
        <v>177</v>
      </c>
      <c r="B32" s="87" t="s">
        <v>178</v>
      </c>
    </row>
    <row r="33" ht="15">
      <c r="A33" s="88"/>
      <c r="B33" s="88"/>
      <c r="C33" s="89"/>
      <c r="D33" s="89"/>
      <c r="E33" s="89"/>
      <c r="F33" s="89"/>
      <c r="G33" s="89"/>
      <c r="H33" s="89"/>
      <c r="I33" s="89"/>
      <c r="J33" s="89"/>
      <c r="K33" s="89"/>
      <c r="L33" s="89"/>
      <c r="M33" s="89"/>
      <c r="N33" s="89"/>
      <c r="O33" s="97">
        <f t="shared" si="17"/>
        <v>0</v>
      </c>
    </row>
    <row r="34" ht="15.6">
      <c r="A34" s="91"/>
      <c r="B34" s="91"/>
      <c r="C34" s="92">
        <f>$A$33*C33</f>
        <v>0</v>
      </c>
      <c r="D34" s="92">
        <f t="shared" ref="D34:O34" si="28">$A$33*D33</f>
        <v>0</v>
      </c>
      <c r="E34" s="92">
        <f t="shared" si="28"/>
        <v>0</v>
      </c>
      <c r="F34" s="92">
        <f t="shared" si="28"/>
        <v>0</v>
      </c>
      <c r="G34" s="92">
        <f t="shared" si="28"/>
        <v>0</v>
      </c>
      <c r="H34" s="92">
        <f t="shared" si="28"/>
        <v>0</v>
      </c>
      <c r="I34" s="92">
        <f t="shared" si="28"/>
        <v>0</v>
      </c>
      <c r="J34" s="92">
        <f t="shared" si="28"/>
        <v>0</v>
      </c>
      <c r="K34" s="92">
        <f t="shared" si="28"/>
        <v>0</v>
      </c>
      <c r="L34" s="92">
        <f t="shared" si="28"/>
        <v>0</v>
      </c>
      <c r="M34" s="92">
        <f t="shared" si="28"/>
        <v>0</v>
      </c>
      <c r="N34" s="92">
        <f t="shared" si="28"/>
        <v>0</v>
      </c>
      <c r="O34" s="92">
        <f t="shared" si="28"/>
        <v>0</v>
      </c>
      <c r="P34" s="93" t="s">
        <v>179</v>
      </c>
      <c r="Q34" s="65" t="str">
        <f>IF(O34&lt;&gt;SUM(S34,U34,W34,Y34,AA34,AC34),"x","")</f>
        <v/>
      </c>
      <c r="R34" s="94" t="s">
        <v>183</v>
      </c>
      <c r="S34" s="95">
        <f>O34</f>
        <v>0</v>
      </c>
      <c r="T34" s="94"/>
      <c r="U34" s="96"/>
      <c r="V34" s="94"/>
      <c r="W34" s="96"/>
      <c r="X34" s="94"/>
      <c r="Y34" s="96"/>
      <c r="Z34" s="94"/>
      <c r="AA34" s="96"/>
      <c r="AB34" s="94"/>
      <c r="AC34" s="96"/>
    </row>
    <row r="35" ht="15">
      <c r="A35" s="86" t="s">
        <v>187</v>
      </c>
    </row>
    <row r="36">
      <c r="A36" s="87" t="s">
        <v>177</v>
      </c>
      <c r="B36" s="87" t="s">
        <v>178</v>
      </c>
    </row>
    <row r="37" ht="15">
      <c r="A37" s="88">
        <v>1</v>
      </c>
      <c r="B37" s="88">
        <v>1</v>
      </c>
      <c r="C37" s="89"/>
      <c r="D37" s="89"/>
      <c r="E37" s="89"/>
      <c r="F37" s="89"/>
      <c r="G37" s="89"/>
      <c r="H37" s="89"/>
      <c r="I37" s="89"/>
      <c r="J37" s="89"/>
      <c r="K37" s="89"/>
      <c r="L37" s="89"/>
      <c r="M37" s="89"/>
      <c r="N37" s="89">
        <v>8400</v>
      </c>
      <c r="O37" s="97">
        <f>SUM(C37:N37)</f>
        <v>8400</v>
      </c>
    </row>
    <row r="38" ht="15.6">
      <c r="A38" s="91"/>
      <c r="B38" s="91"/>
      <c r="C38" s="92">
        <f>+$A$37*C37</f>
        <v>0</v>
      </c>
      <c r="D38" s="92">
        <f t="shared" ref="D38:N38" si="29">+$A$37*D37</f>
        <v>0</v>
      </c>
      <c r="E38" s="92">
        <f t="shared" si="29"/>
        <v>0</v>
      </c>
      <c r="F38" s="92">
        <f t="shared" si="29"/>
        <v>0</v>
      </c>
      <c r="G38" s="92">
        <f t="shared" si="29"/>
        <v>0</v>
      </c>
      <c r="H38" s="92">
        <f t="shared" si="29"/>
        <v>0</v>
      </c>
      <c r="I38" s="92">
        <f t="shared" si="29"/>
        <v>0</v>
      </c>
      <c r="J38" s="92">
        <f t="shared" si="29"/>
        <v>0</v>
      </c>
      <c r="K38" s="92">
        <f t="shared" si="29"/>
        <v>0</v>
      </c>
      <c r="L38" s="92">
        <f t="shared" si="29"/>
        <v>0</v>
      </c>
      <c r="M38" s="92">
        <f t="shared" si="29"/>
        <v>0</v>
      </c>
      <c r="N38" s="92">
        <f t="shared" si="29"/>
        <v>8400</v>
      </c>
      <c r="O38" s="92">
        <f>+$A$37*O37</f>
        <v>8400</v>
      </c>
      <c r="P38" s="93" t="s">
        <v>179</v>
      </c>
      <c r="Q38" s="65" t="str">
        <f>IF(O38&lt;&gt;SUM(S38,U38,W38,Y38,AA38,AC38),"x","")</f>
        <v/>
      </c>
      <c r="R38" s="94" t="s">
        <v>111</v>
      </c>
      <c r="S38" s="95">
        <f>O38</f>
        <v>8400</v>
      </c>
      <c r="T38" s="94"/>
      <c r="U38" s="96"/>
      <c r="V38" s="94"/>
      <c r="W38" s="96"/>
      <c r="X38" s="94"/>
      <c r="Y38" s="96"/>
      <c r="Z38" s="94"/>
      <c r="AA38" s="96"/>
      <c r="AB38" s="94"/>
      <c r="AC38" s="96"/>
    </row>
    <row r="39" ht="15">
      <c r="A39" s="86" t="s">
        <v>188</v>
      </c>
    </row>
    <row r="40">
      <c r="A40" s="87" t="s">
        <v>177</v>
      </c>
      <c r="B40" s="87" t="s">
        <v>178</v>
      </c>
    </row>
    <row r="41" ht="15">
      <c r="A41" s="88"/>
      <c r="B41" s="88"/>
      <c r="C41" s="89"/>
      <c r="D41" s="89"/>
      <c r="E41" s="89"/>
      <c r="F41" s="89"/>
      <c r="G41" s="89"/>
      <c r="H41" s="89"/>
      <c r="I41" s="89"/>
      <c r="J41" s="89"/>
      <c r="K41" s="89"/>
      <c r="L41" s="89"/>
      <c r="M41" s="89"/>
      <c r="N41" s="89"/>
      <c r="O41" s="97">
        <f>SUM(C41:N41)</f>
        <v>0</v>
      </c>
    </row>
    <row r="42" ht="15.6">
      <c r="A42" s="91"/>
      <c r="B42" s="91"/>
      <c r="C42" s="92">
        <f>+$A$41*C41</f>
        <v>0</v>
      </c>
      <c r="D42" s="92">
        <f t="shared" ref="D42:O42" si="30">+$A$41*D41</f>
        <v>0</v>
      </c>
      <c r="E42" s="92">
        <f t="shared" si="30"/>
        <v>0</v>
      </c>
      <c r="F42" s="92">
        <f t="shared" si="30"/>
        <v>0</v>
      </c>
      <c r="G42" s="92">
        <f t="shared" si="30"/>
        <v>0</v>
      </c>
      <c r="H42" s="92">
        <f t="shared" si="30"/>
        <v>0</v>
      </c>
      <c r="I42" s="92">
        <f t="shared" si="30"/>
        <v>0</v>
      </c>
      <c r="J42" s="92">
        <f t="shared" si="30"/>
        <v>0</v>
      </c>
      <c r="K42" s="92">
        <f t="shared" si="30"/>
        <v>0</v>
      </c>
      <c r="L42" s="92">
        <f t="shared" si="30"/>
        <v>0</v>
      </c>
      <c r="M42" s="92">
        <f t="shared" si="30"/>
        <v>0</v>
      </c>
      <c r="N42" s="92">
        <f t="shared" si="30"/>
        <v>0</v>
      </c>
      <c r="O42" s="92">
        <f t="shared" si="30"/>
        <v>0</v>
      </c>
      <c r="P42" s="93" t="s">
        <v>179</v>
      </c>
      <c r="Q42" s="65" t="str">
        <f>IF(O42&lt;&gt;SUM(S42,U42,W42,Y42,AA42,AC42),"x","")</f>
        <v/>
      </c>
      <c r="R42" s="94" t="s">
        <v>183</v>
      </c>
      <c r="S42" s="95">
        <f>O42</f>
        <v>0</v>
      </c>
      <c r="T42" s="94"/>
      <c r="U42" s="96"/>
      <c r="V42" s="94"/>
      <c r="W42" s="96"/>
      <c r="X42" s="94"/>
      <c r="Y42" s="96"/>
      <c r="Z42" s="94"/>
      <c r="AA42" s="96"/>
      <c r="AB42" s="94"/>
      <c r="AC42" s="96"/>
    </row>
    <row r="43" ht="15">
      <c r="A43" s="86" t="s">
        <v>189</v>
      </c>
    </row>
    <row r="44">
      <c r="A44" s="87" t="s">
        <v>177</v>
      </c>
      <c r="B44" s="87" t="s">
        <v>178</v>
      </c>
    </row>
    <row r="45" ht="15">
      <c r="A45" s="88"/>
      <c r="B45" s="88"/>
      <c r="C45" s="89"/>
      <c r="D45" s="89"/>
      <c r="E45" s="89"/>
      <c r="F45" s="89"/>
      <c r="G45" s="89"/>
      <c r="H45" s="89"/>
      <c r="I45" s="89"/>
      <c r="J45" s="89"/>
      <c r="K45" s="89"/>
      <c r="L45" s="89"/>
      <c r="M45" s="89"/>
      <c r="N45" s="89"/>
      <c r="O45" s="97">
        <f>SUM(C45:N45)</f>
        <v>0</v>
      </c>
    </row>
    <row r="46" ht="15.6">
      <c r="A46" s="91"/>
      <c r="B46" s="91"/>
      <c r="C46" s="92">
        <f>$A$45*C45</f>
        <v>0</v>
      </c>
      <c r="D46" s="92">
        <f t="shared" ref="D46:O46" si="31">$A$45*D45</f>
        <v>0</v>
      </c>
      <c r="E46" s="92">
        <f t="shared" si="31"/>
        <v>0</v>
      </c>
      <c r="F46" s="92">
        <f t="shared" si="31"/>
        <v>0</v>
      </c>
      <c r="G46" s="92">
        <f t="shared" si="31"/>
        <v>0</v>
      </c>
      <c r="H46" s="92">
        <f t="shared" si="31"/>
        <v>0</v>
      </c>
      <c r="I46" s="92">
        <f t="shared" si="31"/>
        <v>0</v>
      </c>
      <c r="J46" s="92">
        <f t="shared" si="31"/>
        <v>0</v>
      </c>
      <c r="K46" s="92">
        <f t="shared" si="31"/>
        <v>0</v>
      </c>
      <c r="L46" s="92">
        <f t="shared" si="31"/>
        <v>0</v>
      </c>
      <c r="M46" s="92">
        <f t="shared" si="31"/>
        <v>0</v>
      </c>
      <c r="N46" s="92">
        <f t="shared" si="31"/>
        <v>0</v>
      </c>
      <c r="O46" s="92">
        <f t="shared" si="31"/>
        <v>0</v>
      </c>
      <c r="P46" s="93" t="s">
        <v>179</v>
      </c>
      <c r="Q46" s="65" t="str">
        <f>IF(O46&lt;&gt;SUM(S46,U46,W46,Y46,AA46,AC46),"x","")</f>
        <v/>
      </c>
      <c r="R46" s="94" t="s">
        <v>183</v>
      </c>
      <c r="S46" s="95">
        <f>O46</f>
        <v>0</v>
      </c>
      <c r="T46" s="94"/>
      <c r="U46" s="96"/>
      <c r="V46" s="94"/>
      <c r="W46" s="96"/>
      <c r="X46" s="94"/>
      <c r="Y46" s="96"/>
      <c r="Z46" s="94"/>
      <c r="AA46" s="96"/>
      <c r="AB46" s="94"/>
      <c r="AC46" s="96"/>
    </row>
    <row r="47" ht="15">
      <c r="A47" s="86" t="s">
        <v>190</v>
      </c>
    </row>
    <row r="48">
      <c r="A48" s="87" t="s">
        <v>177</v>
      </c>
      <c r="B48" s="87" t="s">
        <v>178</v>
      </c>
    </row>
    <row r="49" ht="15">
      <c r="A49" s="88">
        <v>1</v>
      </c>
      <c r="B49" s="88">
        <v>1</v>
      </c>
      <c r="C49" s="89"/>
      <c r="D49" s="89"/>
      <c r="E49" s="89"/>
      <c r="F49" s="89"/>
      <c r="G49" s="89"/>
      <c r="H49" s="89">
        <v>11000</v>
      </c>
      <c r="I49" s="89"/>
      <c r="J49" s="89"/>
      <c r="K49" s="89"/>
      <c r="L49" s="89"/>
      <c r="M49" s="89">
        <v>11000</v>
      </c>
      <c r="N49" s="89"/>
      <c r="O49" s="97">
        <f>SUM(C49:N49)</f>
        <v>22000</v>
      </c>
    </row>
    <row r="50" ht="15.6">
      <c r="A50" s="91"/>
      <c r="B50" s="91"/>
      <c r="C50" s="92">
        <f>C49*$A$49</f>
        <v>0</v>
      </c>
      <c r="D50" s="92">
        <f t="shared" ref="D50:O50" si="32">D49*$A$49</f>
        <v>0</v>
      </c>
      <c r="E50" s="92">
        <f t="shared" si="32"/>
        <v>0</v>
      </c>
      <c r="F50" s="92">
        <f t="shared" si="32"/>
        <v>0</v>
      </c>
      <c r="G50" s="92">
        <f t="shared" si="32"/>
        <v>0</v>
      </c>
      <c r="H50" s="92">
        <f t="shared" si="32"/>
        <v>11000</v>
      </c>
      <c r="I50" s="92">
        <f t="shared" si="32"/>
        <v>0</v>
      </c>
      <c r="J50" s="92">
        <f t="shared" si="32"/>
        <v>0</v>
      </c>
      <c r="K50" s="92">
        <f t="shared" si="32"/>
        <v>0</v>
      </c>
      <c r="L50" s="92">
        <f t="shared" si="32"/>
        <v>0</v>
      </c>
      <c r="M50" s="92">
        <f t="shared" si="32"/>
        <v>11000</v>
      </c>
      <c r="N50" s="92">
        <f t="shared" si="32"/>
        <v>0</v>
      </c>
      <c r="O50" s="92">
        <f t="shared" si="32"/>
        <v>22000</v>
      </c>
      <c r="P50" s="93" t="s">
        <v>191</v>
      </c>
      <c r="Q50" s="65" t="str">
        <f>IF(O50&lt;&gt;SUM(S50,U50,W50,Y50,AA50,AC50),"x","")</f>
        <v/>
      </c>
      <c r="R50" s="94" t="s">
        <v>126</v>
      </c>
      <c r="S50" s="95">
        <f>O50</f>
        <v>22000</v>
      </c>
      <c r="T50" s="94"/>
      <c r="U50" s="96"/>
      <c r="V50" s="94"/>
      <c r="W50" s="96"/>
      <c r="X50" s="94"/>
      <c r="Y50" s="96"/>
      <c r="Z50" s="94"/>
      <c r="AA50" s="96"/>
      <c r="AB50" s="94"/>
      <c r="AC50" s="96"/>
    </row>
    <row r="51" ht="15">
      <c r="A51" s="86" t="s">
        <v>192</v>
      </c>
    </row>
    <row r="52">
      <c r="A52" s="87" t="s">
        <v>177</v>
      </c>
      <c r="B52" s="87" t="s">
        <v>178</v>
      </c>
    </row>
    <row r="53" ht="15">
      <c r="A53" s="88"/>
      <c r="B53" s="88"/>
      <c r="C53" s="89"/>
      <c r="D53" s="89"/>
      <c r="E53" s="89"/>
      <c r="F53" s="89"/>
      <c r="G53" s="89"/>
      <c r="H53" s="89"/>
      <c r="I53" s="89"/>
      <c r="J53" s="89"/>
      <c r="K53" s="89"/>
      <c r="L53" s="89"/>
      <c r="M53" s="89"/>
      <c r="N53" s="89"/>
      <c r="O53" s="97">
        <f>SUM(C53:N53)</f>
        <v>0</v>
      </c>
    </row>
    <row r="54" ht="15.6">
      <c r="A54" s="91"/>
      <c r="B54" s="91"/>
      <c r="C54" s="92">
        <f>C53*$A$53</f>
        <v>0</v>
      </c>
      <c r="D54" s="92">
        <f t="shared" ref="D54:O54" si="33">D53*$A$53</f>
        <v>0</v>
      </c>
      <c r="E54" s="92">
        <f t="shared" si="33"/>
        <v>0</v>
      </c>
      <c r="F54" s="92">
        <f t="shared" si="33"/>
        <v>0</v>
      </c>
      <c r="G54" s="92">
        <f t="shared" si="33"/>
        <v>0</v>
      </c>
      <c r="H54" s="92">
        <f t="shared" si="33"/>
        <v>0</v>
      </c>
      <c r="I54" s="92">
        <f t="shared" si="33"/>
        <v>0</v>
      </c>
      <c r="J54" s="92">
        <f t="shared" si="33"/>
        <v>0</v>
      </c>
      <c r="K54" s="92">
        <f t="shared" si="33"/>
        <v>0</v>
      </c>
      <c r="L54" s="92">
        <f t="shared" si="33"/>
        <v>0</v>
      </c>
      <c r="M54" s="92">
        <f t="shared" si="33"/>
        <v>0</v>
      </c>
      <c r="N54" s="92">
        <f t="shared" si="33"/>
        <v>0</v>
      </c>
      <c r="O54" s="92">
        <f t="shared" si="33"/>
        <v>0</v>
      </c>
      <c r="P54" s="93" t="s">
        <v>179</v>
      </c>
      <c r="Q54" s="65" t="str">
        <f>IF(O54&lt;&gt;SUM(S54,U54,W54,Y54,AA54,AC54),"x","")</f>
        <v/>
      </c>
      <c r="R54" s="94"/>
      <c r="S54" s="95"/>
      <c r="T54" s="94"/>
      <c r="U54" s="96"/>
      <c r="V54" s="94"/>
      <c r="W54" s="96"/>
      <c r="X54" s="94"/>
      <c r="Y54" s="96"/>
      <c r="Z54" s="94"/>
      <c r="AA54" s="96"/>
      <c r="AB54" s="94"/>
      <c r="AC54" s="96"/>
    </row>
    <row r="55" ht="15">
      <c r="A55" s="86" t="s">
        <v>193</v>
      </c>
    </row>
    <row r="56">
      <c r="A56" s="87" t="s">
        <v>177</v>
      </c>
      <c r="B56" s="87" t="s">
        <v>178</v>
      </c>
    </row>
    <row r="57" ht="15">
      <c r="A57" s="88"/>
      <c r="B57" s="88"/>
      <c r="C57" s="89"/>
      <c r="D57" s="89"/>
      <c r="E57" s="89"/>
      <c r="F57" s="89"/>
      <c r="G57" s="89"/>
      <c r="H57" s="89"/>
      <c r="I57" s="89"/>
      <c r="J57" s="89"/>
      <c r="K57" s="89"/>
      <c r="L57" s="89"/>
      <c r="M57" s="89"/>
      <c r="N57" s="89"/>
      <c r="O57" s="97">
        <f t="shared" ref="O57:O61" si="34">SUM(C57:N57)</f>
        <v>0</v>
      </c>
    </row>
    <row r="58" ht="15.6">
      <c r="A58" s="91"/>
      <c r="B58" s="91"/>
      <c r="C58" s="92">
        <f>$A$57*C57</f>
        <v>0</v>
      </c>
      <c r="D58" s="92">
        <f t="shared" ref="D58:N58" si="35">$A$57*D57</f>
        <v>0</v>
      </c>
      <c r="E58" s="92">
        <f t="shared" si="35"/>
        <v>0</v>
      </c>
      <c r="F58" s="92">
        <f t="shared" si="35"/>
        <v>0</v>
      </c>
      <c r="G58" s="92">
        <f t="shared" si="35"/>
        <v>0</v>
      </c>
      <c r="H58" s="92">
        <f t="shared" si="35"/>
        <v>0</v>
      </c>
      <c r="I58" s="92">
        <f t="shared" si="35"/>
        <v>0</v>
      </c>
      <c r="J58" s="92">
        <f t="shared" si="35"/>
        <v>0</v>
      </c>
      <c r="K58" s="92">
        <f t="shared" si="35"/>
        <v>0</v>
      </c>
      <c r="L58" s="92">
        <f t="shared" si="35"/>
        <v>0</v>
      </c>
      <c r="M58" s="92">
        <f t="shared" si="35"/>
        <v>0</v>
      </c>
      <c r="N58" s="92">
        <f t="shared" si="35"/>
        <v>0</v>
      </c>
      <c r="O58" s="92">
        <f t="shared" si="34"/>
        <v>0</v>
      </c>
      <c r="P58" s="93" t="s">
        <v>179</v>
      </c>
      <c r="Q58" s="65" t="str">
        <f>IF(O58&lt;&gt;SUM(S58,U58,W58,Y58,AA58,AC58),"x","")</f>
        <v/>
      </c>
      <c r="R58" s="94"/>
      <c r="S58" s="95"/>
      <c r="T58" s="94"/>
      <c r="U58" s="96"/>
      <c r="V58" s="94"/>
      <c r="W58" s="96"/>
      <c r="X58" s="94"/>
      <c r="Y58" s="96"/>
      <c r="Z58" s="94"/>
      <c r="AA58" s="96"/>
      <c r="AB58" s="94"/>
      <c r="AC58" s="96"/>
    </row>
    <row r="59" ht="15">
      <c r="A59" s="86" t="s">
        <v>194</v>
      </c>
    </row>
    <row r="60">
      <c r="A60" s="87" t="s">
        <v>177</v>
      </c>
      <c r="B60" s="87" t="s">
        <v>178</v>
      </c>
    </row>
    <row r="61" ht="15">
      <c r="A61" s="88"/>
      <c r="B61" s="88"/>
      <c r="C61" s="89"/>
      <c r="D61" s="89"/>
      <c r="E61" s="89"/>
      <c r="F61" s="89"/>
      <c r="G61" s="89"/>
      <c r="H61" s="89"/>
      <c r="I61" s="89"/>
      <c r="J61" s="89"/>
      <c r="K61" s="89"/>
      <c r="L61" s="89"/>
      <c r="M61" s="89"/>
      <c r="N61" s="89"/>
      <c r="O61" s="97">
        <f t="shared" si="34"/>
        <v>0</v>
      </c>
    </row>
    <row r="62" ht="15.6">
      <c r="A62" s="91"/>
      <c r="B62" s="91"/>
      <c r="C62" s="92">
        <f>+$A$61*C61</f>
        <v>0</v>
      </c>
      <c r="D62" s="92">
        <f t="shared" ref="D62:O62" si="36">+$A$61*D61</f>
        <v>0</v>
      </c>
      <c r="E62" s="92">
        <f t="shared" si="36"/>
        <v>0</v>
      </c>
      <c r="F62" s="92">
        <f t="shared" si="36"/>
        <v>0</v>
      </c>
      <c r="G62" s="92">
        <f t="shared" si="36"/>
        <v>0</v>
      </c>
      <c r="H62" s="92">
        <f t="shared" si="36"/>
        <v>0</v>
      </c>
      <c r="I62" s="92">
        <f t="shared" si="36"/>
        <v>0</v>
      </c>
      <c r="J62" s="92">
        <f t="shared" si="36"/>
        <v>0</v>
      </c>
      <c r="K62" s="92">
        <f t="shared" si="36"/>
        <v>0</v>
      </c>
      <c r="L62" s="92">
        <f t="shared" si="36"/>
        <v>0</v>
      </c>
      <c r="M62" s="92">
        <f t="shared" si="36"/>
        <v>0</v>
      </c>
      <c r="N62" s="92">
        <f t="shared" si="36"/>
        <v>0</v>
      </c>
      <c r="O62" s="92">
        <f t="shared" si="36"/>
        <v>0</v>
      </c>
      <c r="P62" s="93" t="s">
        <v>179</v>
      </c>
      <c r="Q62" s="65" t="str">
        <f>IF(O62&lt;&gt;SUM(S62,U62,W62,Y62,AA62,AC62),"x","")</f>
        <v/>
      </c>
      <c r="R62" s="94"/>
      <c r="S62" s="95"/>
      <c r="T62" s="94"/>
      <c r="U62" s="96"/>
      <c r="V62" s="94"/>
      <c r="W62" s="96"/>
      <c r="X62" s="94"/>
      <c r="Y62" s="96"/>
      <c r="Z62" s="94"/>
      <c r="AA62" s="96"/>
      <c r="AB62" s="94"/>
      <c r="AC62" s="96"/>
    </row>
    <row r="63" ht="15">
      <c r="A63" s="86" t="s">
        <v>195</v>
      </c>
    </row>
    <row r="64">
      <c r="A64" s="87" t="s">
        <v>177</v>
      </c>
      <c r="B64" s="87" t="s">
        <v>178</v>
      </c>
    </row>
    <row r="65" ht="15">
      <c r="A65" s="88"/>
      <c r="B65" s="88"/>
      <c r="C65" s="89"/>
      <c r="D65" s="89"/>
      <c r="E65" s="89"/>
      <c r="F65" s="89"/>
      <c r="G65" s="89"/>
      <c r="H65" s="89"/>
      <c r="I65" s="89"/>
      <c r="J65" s="89"/>
      <c r="K65" s="89"/>
      <c r="L65" s="89"/>
      <c r="M65" s="89"/>
      <c r="N65" s="89"/>
      <c r="O65" s="97">
        <f>SUM(C65:N65)</f>
        <v>0</v>
      </c>
    </row>
    <row r="66" ht="15.6">
      <c r="A66" s="91"/>
      <c r="B66" s="91"/>
      <c r="C66" s="92">
        <f>+$A$65*C65</f>
        <v>0</v>
      </c>
      <c r="D66" s="92">
        <f t="shared" ref="D66:O66" si="37">+$A$65*D65</f>
        <v>0</v>
      </c>
      <c r="E66" s="92">
        <f t="shared" si="37"/>
        <v>0</v>
      </c>
      <c r="F66" s="92">
        <f t="shared" si="37"/>
        <v>0</v>
      </c>
      <c r="G66" s="92">
        <f t="shared" si="37"/>
        <v>0</v>
      </c>
      <c r="H66" s="92">
        <f t="shared" si="37"/>
        <v>0</v>
      </c>
      <c r="I66" s="92">
        <f t="shared" si="37"/>
        <v>0</v>
      </c>
      <c r="J66" s="92">
        <f t="shared" si="37"/>
        <v>0</v>
      </c>
      <c r="K66" s="92">
        <f t="shared" si="37"/>
        <v>0</v>
      </c>
      <c r="L66" s="92">
        <f t="shared" si="37"/>
        <v>0</v>
      </c>
      <c r="M66" s="92">
        <f t="shared" si="37"/>
        <v>0</v>
      </c>
      <c r="N66" s="92">
        <f t="shared" si="37"/>
        <v>0</v>
      </c>
      <c r="O66" s="92">
        <f t="shared" si="37"/>
        <v>0</v>
      </c>
      <c r="P66" s="93" t="s">
        <v>179</v>
      </c>
      <c r="Q66" s="65" t="str">
        <f>IF(O66&lt;&gt;SUM(S66,U66,W66,Y66,AA66,AC66),"x","")</f>
        <v/>
      </c>
      <c r="R66" s="94"/>
      <c r="S66" s="95"/>
      <c r="T66" s="94"/>
      <c r="U66" s="96"/>
      <c r="V66" s="94"/>
      <c r="W66" s="96"/>
      <c r="X66" s="94"/>
      <c r="Y66" s="96"/>
      <c r="Z66" s="94"/>
      <c r="AA66" s="96"/>
      <c r="AB66" s="94"/>
      <c r="AC66" s="96"/>
    </row>
    <row r="67" ht="15"/>
    <row r="68" ht="18">
      <c r="C68" s="80" t="s">
        <v>196</v>
      </c>
      <c r="D68" s="80"/>
      <c r="E68" s="80"/>
      <c r="F68" s="80"/>
      <c r="G68" s="80"/>
      <c r="H68" s="80"/>
      <c r="I68" s="80"/>
      <c r="J68" s="80"/>
      <c r="K68" s="80"/>
      <c r="L68" s="80"/>
      <c r="M68" s="80"/>
      <c r="N68" s="80"/>
    </row>
    <row r="69" ht="18.600000000000001">
      <c r="A69" s="81" t="s">
        <v>197</v>
      </c>
      <c r="B69" s="82" t="s">
        <v>198</v>
      </c>
      <c r="C69" s="83">
        <f>C3</f>
        <v>44927</v>
      </c>
      <c r="D69" s="83">
        <f t="shared" ref="D69:N69" si="38">D3</f>
        <v>44958</v>
      </c>
      <c r="E69" s="83">
        <f t="shared" si="38"/>
        <v>44986</v>
      </c>
      <c r="F69" s="83">
        <f t="shared" si="38"/>
        <v>45017</v>
      </c>
      <c r="G69" s="83">
        <f t="shared" si="38"/>
        <v>45047</v>
      </c>
      <c r="H69" s="83">
        <f t="shared" si="38"/>
        <v>45078</v>
      </c>
      <c r="I69" s="83">
        <f t="shared" si="38"/>
        <v>45108</v>
      </c>
      <c r="J69" s="83">
        <f t="shared" si="38"/>
        <v>45139</v>
      </c>
      <c r="K69" s="83">
        <f t="shared" si="38"/>
        <v>45170</v>
      </c>
      <c r="L69" s="83">
        <f t="shared" si="38"/>
        <v>45200</v>
      </c>
      <c r="M69" s="83">
        <f t="shared" si="38"/>
        <v>45231</v>
      </c>
      <c r="N69" s="83">
        <f t="shared" si="38"/>
        <v>45261</v>
      </c>
      <c r="O69" s="79" t="s">
        <v>171</v>
      </c>
    </row>
    <row r="70" ht="15">
      <c r="A70" s="86" t="s">
        <v>199</v>
      </c>
      <c r="B70" s="98">
        <v>1620000</v>
      </c>
      <c r="C70" s="99"/>
      <c r="D70" s="99">
        <f>0.9*B70</f>
        <v>1458000</v>
      </c>
      <c r="E70" s="86"/>
      <c r="F70" s="86"/>
      <c r="G70" s="86"/>
      <c r="H70" s="98"/>
      <c r="I70" s="98">
        <f>B70*0.05</f>
        <v>81000</v>
      </c>
      <c r="J70" s="98"/>
      <c r="K70" s="98"/>
      <c r="L70" s="98"/>
      <c r="M70" s="98"/>
      <c r="N70" s="98"/>
      <c r="O70" s="100">
        <f t="shared" ref="O70:O97" si="39">SUM(C70:N70)</f>
        <v>1539000</v>
      </c>
      <c r="P70" s="101"/>
      <c r="Q70" s="65" t="str">
        <f t="shared" ref="Q70:Q89" si="40">IF(B70&lt;&gt;SUM(S70,U70,W70,Y70,AA70,AC70),"x","")</f>
        <v/>
      </c>
      <c r="R70" s="94" t="s">
        <v>108</v>
      </c>
      <c r="S70" s="95">
        <f>(126/401)*B70</f>
        <v>509027.43142144644</v>
      </c>
      <c r="T70" s="94" t="s">
        <v>110</v>
      </c>
      <c r="U70" s="95">
        <f>(200/401)*B70</f>
        <v>807980.04987531179</v>
      </c>
      <c r="V70" s="94" t="s">
        <v>126</v>
      </c>
      <c r="W70" s="95">
        <f>(75/401)*B70</f>
        <v>302992.51870324189</v>
      </c>
      <c r="X70" s="94"/>
      <c r="Y70" s="96"/>
      <c r="Z70" s="94"/>
      <c r="AA70" s="96"/>
      <c r="AB70" s="94"/>
      <c r="AC70" s="96"/>
    </row>
    <row r="71">
      <c r="A71" s="86" t="s">
        <v>200</v>
      </c>
      <c r="B71" s="98">
        <v>9200</v>
      </c>
      <c r="C71" s="86"/>
      <c r="D71" s="86"/>
      <c r="E71" s="86"/>
      <c r="F71" s="86"/>
      <c r="G71" s="86"/>
      <c r="H71" s="98"/>
      <c r="I71" s="98"/>
      <c r="J71" s="98"/>
      <c r="K71" s="98"/>
      <c r="L71" s="98"/>
      <c r="M71" s="98"/>
      <c r="N71" s="98"/>
      <c r="O71" s="97">
        <f t="shared" si="39"/>
        <v>0</v>
      </c>
      <c r="P71" s="101"/>
      <c r="Q71" s="65" t="str">
        <f t="shared" si="40"/>
        <v/>
      </c>
      <c r="R71" s="94" t="s">
        <v>108</v>
      </c>
      <c r="S71" s="95">
        <f>B71/4</f>
        <v>2300</v>
      </c>
      <c r="T71" s="94" t="s">
        <v>110</v>
      </c>
      <c r="U71" s="95">
        <f>B71/4</f>
        <v>2300</v>
      </c>
      <c r="V71" s="94" t="s">
        <v>126</v>
      </c>
      <c r="W71" s="95">
        <f>B71/4</f>
        <v>2300</v>
      </c>
      <c r="X71" s="94" t="s">
        <v>111</v>
      </c>
      <c r="Y71" s="95">
        <f>B71/4</f>
        <v>2300</v>
      </c>
      <c r="Z71" s="94"/>
      <c r="AA71" s="96"/>
      <c r="AB71" s="94"/>
      <c r="AC71" s="96"/>
    </row>
    <row r="72">
      <c r="A72" s="86" t="s">
        <v>201</v>
      </c>
      <c r="B72" s="98">
        <v>10000</v>
      </c>
      <c r="C72" s="86"/>
      <c r="D72" s="86"/>
      <c r="E72" s="86"/>
      <c r="F72" s="86"/>
      <c r="G72" s="86"/>
      <c r="H72" s="98"/>
      <c r="I72" s="98"/>
      <c r="J72" s="98"/>
      <c r="K72" s="98">
        <v>10000</v>
      </c>
      <c r="L72" s="98"/>
      <c r="M72" s="98"/>
      <c r="N72" s="98"/>
      <c r="O72" s="97">
        <f t="shared" si="39"/>
        <v>10000</v>
      </c>
      <c r="P72" s="101"/>
      <c r="Q72" s="65" t="str">
        <f t="shared" si="40"/>
        <v/>
      </c>
      <c r="R72" s="94" t="s">
        <v>126</v>
      </c>
      <c r="S72" s="95">
        <f t="shared" ref="S72:S73" si="41">B72</f>
        <v>10000</v>
      </c>
      <c r="T72" s="94"/>
      <c r="U72" s="96"/>
      <c r="V72" s="94"/>
      <c r="W72" s="96"/>
      <c r="X72" s="94"/>
      <c r="Y72" s="96"/>
      <c r="Z72" s="94"/>
      <c r="AA72" s="96"/>
      <c r="AB72" s="94"/>
      <c r="AC72" s="96"/>
    </row>
    <row r="73">
      <c r="A73" s="86" t="s">
        <v>202</v>
      </c>
      <c r="B73" s="98">
        <v>5000</v>
      </c>
      <c r="C73" s="99"/>
      <c r="D73" s="86"/>
      <c r="E73" s="86"/>
      <c r="F73" s="99"/>
      <c r="G73" s="86"/>
      <c r="H73" s="98"/>
      <c r="I73" s="98"/>
      <c r="J73" s="98"/>
      <c r="K73" s="98"/>
      <c r="L73" s="98"/>
      <c r="M73" s="98">
        <v>5000</v>
      </c>
      <c r="N73" s="98"/>
      <c r="O73" s="97">
        <f t="shared" si="39"/>
        <v>5000</v>
      </c>
      <c r="P73" s="101"/>
      <c r="Q73" s="65" t="str">
        <f t="shared" si="40"/>
        <v/>
      </c>
      <c r="R73" s="94" t="s">
        <v>126</v>
      </c>
      <c r="S73" s="95">
        <f t="shared" si="41"/>
        <v>5000</v>
      </c>
      <c r="T73" s="94"/>
      <c r="U73" s="96"/>
      <c r="V73" s="94"/>
      <c r="W73" s="96"/>
      <c r="X73" s="94"/>
      <c r="Y73" s="96"/>
      <c r="Z73" s="94"/>
      <c r="AA73" s="96"/>
      <c r="AB73" s="94"/>
      <c r="AC73" s="96"/>
    </row>
    <row r="74">
      <c r="A74" s="86" t="s">
        <v>203</v>
      </c>
      <c r="B74" s="98">
        <v>1993.5799999999999</v>
      </c>
      <c r="C74" s="102">
        <f>1329.05*0.5</f>
        <v>664.52499999999998</v>
      </c>
      <c r="D74" s="102">
        <f t="shared" ref="D74:E74" si="42">1329.05*0.5</f>
        <v>664.52499999999998</v>
      </c>
      <c r="E74" s="102">
        <f t="shared" si="42"/>
        <v>664.52499999999998</v>
      </c>
      <c r="F74" s="86"/>
      <c r="G74" s="86"/>
      <c r="H74" s="98"/>
      <c r="I74" s="98"/>
      <c r="J74" s="98"/>
      <c r="K74" s="98"/>
      <c r="L74" s="98"/>
      <c r="M74" s="98"/>
      <c r="N74" s="98"/>
      <c r="O74" s="97">
        <f t="shared" si="39"/>
        <v>1993.5749999999998</v>
      </c>
      <c r="P74" s="101"/>
      <c r="Q74" s="65" t="str">
        <f t="shared" si="40"/>
        <v/>
      </c>
      <c r="R74" s="94" t="s">
        <v>108</v>
      </c>
      <c r="S74" s="95">
        <f>B74/3</f>
        <v>664.52666666666664</v>
      </c>
      <c r="T74" s="94" t="s">
        <v>110</v>
      </c>
      <c r="U74" s="95">
        <f>B74/3</f>
        <v>664.52666666666664</v>
      </c>
      <c r="V74" s="94" t="s">
        <v>126</v>
      </c>
      <c r="W74" s="95">
        <f>B74/3</f>
        <v>664.52666666666664</v>
      </c>
      <c r="X74" s="94"/>
      <c r="Y74" s="96"/>
      <c r="Z74" s="94"/>
      <c r="AA74" s="96"/>
      <c r="AB74" s="94"/>
      <c r="AC74" s="96"/>
    </row>
    <row r="75">
      <c r="A75" s="86" t="s">
        <v>204</v>
      </c>
      <c r="B75" s="98">
        <v>8000</v>
      </c>
      <c r="C75" s="102">
        <f>8000/12</f>
        <v>666.66666666666663</v>
      </c>
      <c r="D75" s="102">
        <f t="shared" ref="D75:N75" si="43">8000/12</f>
        <v>666.66666666666663</v>
      </c>
      <c r="E75" s="102">
        <f t="shared" si="43"/>
        <v>666.66666666666663</v>
      </c>
      <c r="F75" s="102">
        <f t="shared" si="43"/>
        <v>666.66666666666663</v>
      </c>
      <c r="G75" s="102">
        <f t="shared" si="43"/>
        <v>666.66666666666663</v>
      </c>
      <c r="H75" s="102">
        <f t="shared" si="43"/>
        <v>666.66666666666663</v>
      </c>
      <c r="I75" s="102">
        <f t="shared" si="43"/>
        <v>666.66666666666663</v>
      </c>
      <c r="J75" s="102">
        <f t="shared" si="43"/>
        <v>666.66666666666663</v>
      </c>
      <c r="K75" s="102">
        <f t="shared" si="43"/>
        <v>666.66666666666663</v>
      </c>
      <c r="L75" s="102">
        <f t="shared" si="43"/>
        <v>666.66666666666663</v>
      </c>
      <c r="M75" s="102">
        <f t="shared" si="43"/>
        <v>666.66666666666663</v>
      </c>
      <c r="N75" s="102">
        <f t="shared" si="43"/>
        <v>666.66666666666663</v>
      </c>
      <c r="O75" s="97">
        <f t="shared" si="39"/>
        <v>8000.0000000000009</v>
      </c>
      <c r="P75" s="101"/>
      <c r="Q75" s="65" t="str">
        <f t="shared" si="40"/>
        <v/>
      </c>
      <c r="R75" s="94" t="s">
        <v>108</v>
      </c>
      <c r="S75" s="95">
        <f>B75/4</f>
        <v>2000</v>
      </c>
      <c r="T75" s="94" t="s">
        <v>110</v>
      </c>
      <c r="U75" s="95">
        <f>B75/4</f>
        <v>2000</v>
      </c>
      <c r="V75" s="94" t="s">
        <v>126</v>
      </c>
      <c r="W75" s="95">
        <f>B75/4</f>
        <v>2000</v>
      </c>
      <c r="X75" s="94" t="s">
        <v>111</v>
      </c>
      <c r="Y75" s="95">
        <f>B75/4</f>
        <v>2000</v>
      </c>
      <c r="Z75" s="94"/>
      <c r="AA75" s="96"/>
      <c r="AB75" s="94"/>
      <c r="AC75" s="96"/>
    </row>
    <row r="76">
      <c r="A76" s="86" t="s">
        <v>205</v>
      </c>
      <c r="B76" s="98"/>
      <c r="C76" s="86"/>
      <c r="D76" s="86"/>
      <c r="E76" s="86"/>
      <c r="F76" s="86"/>
      <c r="G76" s="86"/>
      <c r="H76" s="98"/>
      <c r="I76" s="98"/>
      <c r="J76" s="98"/>
      <c r="K76" s="98"/>
      <c r="L76" s="98"/>
      <c r="M76" s="98"/>
      <c r="N76" s="98"/>
      <c r="O76" s="97">
        <f t="shared" si="39"/>
        <v>0</v>
      </c>
      <c r="P76" s="101"/>
      <c r="Q76" s="65" t="str">
        <f t="shared" si="40"/>
        <v/>
      </c>
      <c r="R76" s="94"/>
      <c r="S76" s="103"/>
      <c r="T76" s="94"/>
      <c r="U76" s="96"/>
      <c r="V76" s="94"/>
      <c r="W76" s="96"/>
      <c r="X76" s="94"/>
      <c r="Y76" s="96"/>
      <c r="Z76" s="94"/>
      <c r="AA76" s="96"/>
      <c r="AB76" s="94"/>
      <c r="AC76" s="96"/>
    </row>
    <row r="77">
      <c r="A77" s="86" t="s">
        <v>206</v>
      </c>
      <c r="B77" s="98"/>
      <c r="C77" s="86"/>
      <c r="D77" s="86"/>
      <c r="E77" s="86"/>
      <c r="F77" s="86"/>
      <c r="G77" s="86"/>
      <c r="H77" s="98"/>
      <c r="I77" s="98"/>
      <c r="J77" s="98"/>
      <c r="K77" s="98"/>
      <c r="L77" s="98"/>
      <c r="M77" s="98"/>
      <c r="N77" s="98"/>
      <c r="O77" s="97">
        <f t="shared" si="39"/>
        <v>0</v>
      </c>
      <c r="P77" s="101"/>
      <c r="Q77" s="65" t="str">
        <f t="shared" si="40"/>
        <v/>
      </c>
      <c r="R77" s="94"/>
      <c r="S77" s="103"/>
      <c r="T77" s="94"/>
      <c r="U77" s="96"/>
      <c r="V77" s="94"/>
      <c r="W77" s="96"/>
      <c r="X77" s="94"/>
      <c r="Y77" s="96"/>
      <c r="Z77" s="94"/>
      <c r="AA77" s="96"/>
      <c r="AB77" s="94"/>
      <c r="AC77" s="96"/>
    </row>
    <row r="78">
      <c r="A78" s="86" t="s">
        <v>207</v>
      </c>
      <c r="B78" s="98"/>
      <c r="C78" s="86"/>
      <c r="D78" s="86"/>
      <c r="E78" s="86"/>
      <c r="F78" s="86"/>
      <c r="G78" s="86"/>
      <c r="H78" s="98"/>
      <c r="I78" s="98"/>
      <c r="J78" s="98"/>
      <c r="K78" s="98"/>
      <c r="L78" s="98"/>
      <c r="M78" s="98"/>
      <c r="N78" s="98"/>
      <c r="O78" s="97">
        <f t="shared" si="39"/>
        <v>0</v>
      </c>
      <c r="P78" s="101"/>
      <c r="Q78" s="65" t="str">
        <f t="shared" si="40"/>
        <v/>
      </c>
      <c r="R78" s="94"/>
      <c r="S78" s="103"/>
      <c r="T78" s="94"/>
      <c r="U78" s="96"/>
      <c r="V78" s="94"/>
      <c r="W78" s="96"/>
      <c r="X78" s="94"/>
      <c r="Y78" s="96"/>
      <c r="Z78" s="94"/>
      <c r="AA78" s="96"/>
      <c r="AB78" s="94"/>
      <c r="AC78" s="96"/>
    </row>
    <row r="79">
      <c r="A79" s="86" t="s">
        <v>208</v>
      </c>
      <c r="B79" s="98"/>
      <c r="C79" s="86"/>
      <c r="D79" s="86"/>
      <c r="E79" s="86"/>
      <c r="F79" s="86"/>
      <c r="G79" s="86"/>
      <c r="H79" s="98"/>
      <c r="I79" s="98"/>
      <c r="J79" s="98"/>
      <c r="K79" s="98"/>
      <c r="L79" s="98"/>
      <c r="M79" s="98"/>
      <c r="N79" s="98"/>
      <c r="O79" s="97">
        <f t="shared" si="39"/>
        <v>0</v>
      </c>
      <c r="P79" s="101"/>
      <c r="Q79" s="65" t="str">
        <f t="shared" si="40"/>
        <v/>
      </c>
      <c r="R79" s="94"/>
      <c r="S79" s="103"/>
      <c r="T79" s="94"/>
      <c r="U79" s="96"/>
      <c r="V79" s="94"/>
      <c r="W79" s="96"/>
      <c r="X79" s="94"/>
      <c r="Y79" s="96"/>
      <c r="Z79" s="94"/>
      <c r="AA79" s="96"/>
      <c r="AB79" s="94"/>
      <c r="AC79" s="96"/>
    </row>
    <row r="80">
      <c r="A80" s="86" t="s">
        <v>209</v>
      </c>
      <c r="B80" s="98"/>
      <c r="C80" s="86"/>
      <c r="D80" s="86"/>
      <c r="E80" s="86"/>
      <c r="F80" s="86"/>
      <c r="G80" s="86"/>
      <c r="H80" s="98"/>
      <c r="I80" s="98"/>
      <c r="J80" s="98"/>
      <c r="K80" s="98"/>
      <c r="L80" s="98"/>
      <c r="M80" s="98"/>
      <c r="N80" s="98"/>
      <c r="O80" s="97">
        <f t="shared" si="39"/>
        <v>0</v>
      </c>
      <c r="P80" s="101"/>
      <c r="Q80" s="65" t="str">
        <f t="shared" si="40"/>
        <v/>
      </c>
      <c r="R80" s="94"/>
      <c r="S80" s="103"/>
      <c r="T80" s="94"/>
      <c r="U80" s="96"/>
      <c r="V80" s="94"/>
      <c r="W80" s="96"/>
      <c r="X80" s="94"/>
      <c r="Y80" s="96"/>
      <c r="Z80" s="94"/>
      <c r="AA80" s="96"/>
      <c r="AB80" s="94"/>
      <c r="AC80" s="96"/>
    </row>
    <row r="81">
      <c r="A81" s="86" t="s">
        <v>210</v>
      </c>
      <c r="B81" s="98"/>
      <c r="C81" s="86"/>
      <c r="D81" s="86"/>
      <c r="E81" s="86"/>
      <c r="F81" s="86"/>
      <c r="G81" s="86"/>
      <c r="H81" s="98"/>
      <c r="I81" s="98"/>
      <c r="J81" s="98"/>
      <c r="K81" s="98"/>
      <c r="L81" s="98"/>
      <c r="M81" s="98"/>
      <c r="N81" s="98"/>
      <c r="O81" s="97">
        <f t="shared" si="39"/>
        <v>0</v>
      </c>
      <c r="P81" s="101"/>
      <c r="Q81" s="65" t="str">
        <f t="shared" si="40"/>
        <v/>
      </c>
      <c r="R81" s="94"/>
      <c r="S81" s="103"/>
      <c r="T81" s="94"/>
      <c r="U81" s="96"/>
      <c r="V81" s="94"/>
      <c r="W81" s="96"/>
      <c r="X81" s="94"/>
      <c r="Y81" s="96"/>
      <c r="Z81" s="94"/>
      <c r="AA81" s="96"/>
      <c r="AB81" s="94"/>
      <c r="AC81" s="96"/>
    </row>
    <row r="82">
      <c r="A82" s="86" t="s">
        <v>211</v>
      </c>
      <c r="B82" s="98"/>
      <c r="C82" s="86"/>
      <c r="D82" s="86"/>
      <c r="E82" s="86"/>
      <c r="F82" s="86"/>
      <c r="G82" s="86"/>
      <c r="H82" s="98"/>
      <c r="I82" s="98"/>
      <c r="J82" s="98"/>
      <c r="K82" s="98"/>
      <c r="L82" s="98"/>
      <c r="M82" s="98"/>
      <c r="N82" s="98"/>
      <c r="O82" s="97">
        <f t="shared" si="39"/>
        <v>0</v>
      </c>
      <c r="P82" s="101"/>
      <c r="Q82" s="65" t="str">
        <f t="shared" si="40"/>
        <v/>
      </c>
      <c r="R82" s="94"/>
      <c r="S82" s="103"/>
      <c r="T82" s="94"/>
      <c r="U82" s="96"/>
      <c r="V82" s="94"/>
      <c r="W82" s="96"/>
      <c r="X82" s="94"/>
      <c r="Y82" s="96"/>
      <c r="Z82" s="94"/>
      <c r="AA82" s="96"/>
      <c r="AB82" s="94"/>
      <c r="AC82" s="96"/>
    </row>
    <row r="83" s="104" customFormat="1">
      <c r="A83" s="86" t="s">
        <v>212</v>
      </c>
      <c r="B83" s="98"/>
      <c r="C83" s="98"/>
      <c r="D83" s="98"/>
      <c r="E83" s="98"/>
      <c r="F83" s="98"/>
      <c r="G83" s="98"/>
      <c r="H83" s="98"/>
      <c r="I83" s="98"/>
      <c r="J83" s="98"/>
      <c r="K83" s="98"/>
      <c r="L83" s="98"/>
      <c r="M83" s="98"/>
      <c r="N83" s="98"/>
      <c r="O83" s="97">
        <f t="shared" si="39"/>
        <v>0</v>
      </c>
      <c r="P83" s="105"/>
      <c r="Q83" s="65" t="str">
        <f t="shared" si="40"/>
        <v/>
      </c>
      <c r="R83" s="94"/>
      <c r="S83" s="103"/>
      <c r="T83" s="106"/>
      <c r="U83" s="107"/>
      <c r="V83" s="106"/>
      <c r="W83" s="107"/>
      <c r="X83" s="106"/>
      <c r="Y83" s="107"/>
      <c r="Z83" s="106"/>
      <c r="AA83" s="107"/>
      <c r="AB83" s="106"/>
      <c r="AC83" s="107"/>
    </row>
    <row r="84">
      <c r="A84" s="86" t="s">
        <v>213</v>
      </c>
      <c r="B84" s="98"/>
      <c r="C84" s="86"/>
      <c r="D84" s="86"/>
      <c r="E84" s="86"/>
      <c r="F84" s="86"/>
      <c r="G84" s="86"/>
      <c r="H84" s="98"/>
      <c r="I84" s="98"/>
      <c r="J84" s="98"/>
      <c r="K84" s="98"/>
      <c r="L84" s="98"/>
      <c r="M84" s="98"/>
      <c r="N84" s="98"/>
      <c r="O84" s="97">
        <f t="shared" si="39"/>
        <v>0</v>
      </c>
      <c r="P84" s="101"/>
      <c r="Q84" s="65" t="str">
        <f t="shared" si="40"/>
        <v/>
      </c>
      <c r="R84" s="94"/>
      <c r="S84" s="103"/>
      <c r="T84" s="94"/>
      <c r="U84" s="96"/>
      <c r="V84" s="94"/>
      <c r="W84" s="96"/>
      <c r="X84" s="94"/>
      <c r="Y84" s="96"/>
      <c r="Z84" s="94"/>
      <c r="AA84" s="96"/>
      <c r="AB84" s="94"/>
      <c r="AC84" s="96"/>
    </row>
    <row r="85">
      <c r="A85" s="86" t="s">
        <v>214</v>
      </c>
      <c r="B85" s="98"/>
      <c r="C85" s="86"/>
      <c r="D85" s="86"/>
      <c r="E85" s="86"/>
      <c r="F85" s="86"/>
      <c r="G85" s="86"/>
      <c r="H85" s="98"/>
      <c r="I85" s="98"/>
      <c r="J85" s="98"/>
      <c r="K85" s="98"/>
      <c r="L85" s="98"/>
      <c r="M85" s="98"/>
      <c r="N85" s="98"/>
      <c r="O85" s="108">
        <f t="shared" si="39"/>
        <v>0</v>
      </c>
      <c r="P85" s="101"/>
      <c r="Q85" s="65" t="str">
        <f t="shared" si="40"/>
        <v/>
      </c>
      <c r="R85" s="94"/>
      <c r="S85" s="103"/>
      <c r="T85" s="94"/>
      <c r="U85" s="96"/>
      <c r="V85" s="94"/>
      <c r="W85" s="96"/>
      <c r="X85" s="94"/>
      <c r="Y85" s="96"/>
      <c r="Z85" s="94"/>
      <c r="AA85" s="96"/>
      <c r="AB85" s="94"/>
      <c r="AC85" s="96"/>
    </row>
    <row r="86">
      <c r="A86" s="86" t="s">
        <v>215</v>
      </c>
      <c r="B86" s="98"/>
      <c r="C86" s="86"/>
      <c r="D86" s="86"/>
      <c r="E86" s="86"/>
      <c r="F86" s="86"/>
      <c r="G86" s="86"/>
      <c r="H86" s="98"/>
      <c r="I86" s="98"/>
      <c r="J86" s="98"/>
      <c r="K86" s="98"/>
      <c r="L86" s="98"/>
      <c r="M86" s="98"/>
      <c r="N86" s="98"/>
      <c r="O86" s="97">
        <f t="shared" si="39"/>
        <v>0</v>
      </c>
      <c r="P86" s="101"/>
      <c r="Q86" s="65" t="str">
        <f t="shared" si="40"/>
        <v/>
      </c>
      <c r="R86" s="94"/>
      <c r="S86" s="103"/>
      <c r="T86" s="94"/>
      <c r="U86" s="96"/>
      <c r="V86" s="94"/>
      <c r="W86" s="96"/>
      <c r="X86" s="94"/>
      <c r="Y86" s="96"/>
      <c r="Z86" s="94"/>
      <c r="AA86" s="96"/>
      <c r="AB86" s="94"/>
      <c r="AC86" s="96"/>
    </row>
    <row r="87">
      <c r="A87" s="86" t="s">
        <v>216</v>
      </c>
      <c r="B87" s="98"/>
      <c r="C87" s="86"/>
      <c r="D87" s="86"/>
      <c r="E87" s="86"/>
      <c r="F87" s="86"/>
      <c r="G87" s="86"/>
      <c r="H87" s="98"/>
      <c r="I87" s="98"/>
      <c r="J87" s="98"/>
      <c r="K87" s="98"/>
      <c r="L87" s="98"/>
      <c r="M87" s="98"/>
      <c r="N87" s="98"/>
      <c r="O87" s="97">
        <f t="shared" si="39"/>
        <v>0</v>
      </c>
      <c r="P87" s="101"/>
      <c r="Q87" s="65" t="str">
        <f t="shared" si="40"/>
        <v/>
      </c>
      <c r="R87" s="94"/>
      <c r="S87" s="103"/>
      <c r="T87" s="94"/>
      <c r="U87" s="96"/>
      <c r="V87" s="94"/>
      <c r="W87" s="96"/>
      <c r="X87" s="94"/>
      <c r="Y87" s="96"/>
      <c r="Z87" s="94"/>
      <c r="AA87" s="96"/>
      <c r="AB87" s="94"/>
      <c r="AC87" s="96"/>
    </row>
    <row r="88" s="104" customFormat="1">
      <c r="A88" s="86" t="s">
        <v>217</v>
      </c>
      <c r="B88" s="98"/>
      <c r="C88" s="98"/>
      <c r="D88" s="98"/>
      <c r="E88" s="98"/>
      <c r="F88" s="98"/>
      <c r="G88" s="98"/>
      <c r="H88" s="98"/>
      <c r="I88" s="98"/>
      <c r="J88" s="98"/>
      <c r="K88" s="98"/>
      <c r="L88" s="98"/>
      <c r="M88" s="98"/>
      <c r="N88" s="98"/>
      <c r="O88" s="108">
        <f t="shared" si="39"/>
        <v>0</v>
      </c>
      <c r="P88" s="105"/>
      <c r="Q88" s="65" t="str">
        <f t="shared" si="40"/>
        <v/>
      </c>
      <c r="R88" s="94"/>
      <c r="S88" s="103"/>
      <c r="T88" s="106"/>
      <c r="U88" s="107"/>
      <c r="V88" s="106"/>
      <c r="W88" s="107"/>
      <c r="X88" s="106"/>
      <c r="Y88" s="107"/>
      <c r="Z88" s="106"/>
      <c r="AA88" s="107"/>
      <c r="AB88" s="106"/>
      <c r="AC88" s="107"/>
    </row>
    <row r="89" ht="15">
      <c r="A89" s="109" t="s">
        <v>218</v>
      </c>
      <c r="B89" s="110"/>
      <c r="C89" s="109"/>
      <c r="D89" s="109"/>
      <c r="E89" s="109"/>
      <c r="F89" s="109"/>
      <c r="G89" s="109"/>
      <c r="H89" s="110"/>
      <c r="I89" s="110"/>
      <c r="J89" s="110"/>
      <c r="K89" s="110"/>
      <c r="L89" s="110"/>
      <c r="M89" s="110"/>
      <c r="N89" s="110"/>
      <c r="O89" s="111">
        <f t="shared" si="39"/>
        <v>0</v>
      </c>
      <c r="P89" s="101"/>
      <c r="Q89" s="65" t="str">
        <f t="shared" si="40"/>
        <v/>
      </c>
      <c r="R89" s="94"/>
      <c r="S89" s="103"/>
      <c r="T89" s="94"/>
      <c r="U89" s="96"/>
      <c r="V89" s="94"/>
      <c r="W89" s="96"/>
      <c r="X89" s="94"/>
      <c r="Y89" s="96"/>
      <c r="Z89" s="94"/>
      <c r="AA89" s="96"/>
      <c r="AB89" s="94"/>
      <c r="AC89" s="96"/>
    </row>
    <row r="90" ht="15">
      <c r="B90" s="104"/>
      <c r="H90" s="104"/>
      <c r="I90" s="104"/>
      <c r="J90" s="104"/>
      <c r="K90" s="104"/>
      <c r="L90" s="104"/>
      <c r="M90" s="104"/>
      <c r="N90" s="104"/>
      <c r="O90" s="112"/>
      <c r="P90" s="101"/>
      <c r="S90" s="113"/>
    </row>
    <row r="91" ht="18">
      <c r="C91" s="80" t="s">
        <v>174</v>
      </c>
      <c r="D91" s="80"/>
      <c r="E91" s="80"/>
      <c r="F91" s="80"/>
      <c r="G91" s="80"/>
      <c r="H91" s="80"/>
      <c r="I91" s="80"/>
      <c r="J91" s="80"/>
      <c r="K91" s="80"/>
      <c r="L91" s="80"/>
      <c r="M91" s="80"/>
      <c r="N91" s="80"/>
    </row>
    <row r="92" ht="18.600000000000001">
      <c r="A92" s="81"/>
      <c r="B92" s="82"/>
      <c r="C92" s="83">
        <f>C3</f>
        <v>44927</v>
      </c>
      <c r="D92" s="83">
        <f t="shared" ref="D92:N92" si="44">D3</f>
        <v>44958</v>
      </c>
      <c r="E92" s="83">
        <f t="shared" si="44"/>
        <v>44986</v>
      </c>
      <c r="F92" s="83">
        <f t="shared" si="44"/>
        <v>45017</v>
      </c>
      <c r="G92" s="83">
        <f t="shared" si="44"/>
        <v>45047</v>
      </c>
      <c r="H92" s="83">
        <f t="shared" si="44"/>
        <v>45078</v>
      </c>
      <c r="I92" s="83">
        <f t="shared" si="44"/>
        <v>45108</v>
      </c>
      <c r="J92" s="83">
        <f t="shared" si="44"/>
        <v>45139</v>
      </c>
      <c r="K92" s="83">
        <f t="shared" si="44"/>
        <v>45170</v>
      </c>
      <c r="L92" s="83">
        <f t="shared" si="44"/>
        <v>45200</v>
      </c>
      <c r="M92" s="83">
        <f t="shared" si="44"/>
        <v>45231</v>
      </c>
      <c r="N92" s="83">
        <f t="shared" si="44"/>
        <v>45261</v>
      </c>
      <c r="O92" s="84" t="s">
        <v>171</v>
      </c>
      <c r="P92" s="85"/>
    </row>
    <row r="93" ht="15">
      <c r="A93" s="114" t="s">
        <v>219</v>
      </c>
      <c r="B93" s="115"/>
      <c r="C93" s="116"/>
      <c r="D93" s="116"/>
      <c r="E93" s="116"/>
      <c r="F93" s="116"/>
      <c r="G93" s="116"/>
      <c r="H93" s="116"/>
      <c r="I93" s="116"/>
      <c r="J93" s="116"/>
      <c r="K93" s="116"/>
      <c r="L93" s="116"/>
      <c r="M93" s="116"/>
      <c r="N93" s="116"/>
      <c r="O93" s="108">
        <f t="shared" si="39"/>
        <v>0</v>
      </c>
      <c r="P93" s="117" t="s">
        <v>179</v>
      </c>
      <c r="Q93" s="65" t="str">
        <f t="shared" ref="Q93:Q97" si="45">IF(O93&lt;&gt;SUM(S93,U93,W93,Y93,AA93,AC93),"x","")</f>
        <v/>
      </c>
      <c r="R93" s="94"/>
      <c r="S93" s="96"/>
      <c r="T93" s="94"/>
      <c r="U93" s="96"/>
      <c r="V93" s="94"/>
      <c r="W93" s="96"/>
      <c r="X93" s="94"/>
      <c r="Y93" s="96"/>
      <c r="Z93" s="94"/>
      <c r="AA93" s="96"/>
      <c r="AB93" s="94"/>
      <c r="AC93" s="96"/>
    </row>
    <row r="94">
      <c r="A94" s="114" t="s">
        <v>220</v>
      </c>
      <c r="B94" s="115"/>
      <c r="C94" s="116"/>
      <c r="D94" s="116"/>
      <c r="E94" s="116"/>
      <c r="F94" s="116"/>
      <c r="G94" s="116"/>
      <c r="H94" s="116"/>
      <c r="I94" s="116"/>
      <c r="J94" s="116"/>
      <c r="K94" s="116"/>
      <c r="L94" s="116"/>
      <c r="M94" s="116"/>
      <c r="N94" s="116"/>
      <c r="O94" s="108">
        <f t="shared" si="39"/>
        <v>0</v>
      </c>
      <c r="P94" s="118"/>
      <c r="Q94" s="65" t="str">
        <f t="shared" si="45"/>
        <v/>
      </c>
    </row>
    <row r="95">
      <c r="A95" s="114" t="s">
        <v>221</v>
      </c>
      <c r="B95" s="115"/>
      <c r="C95" s="116"/>
      <c r="D95" s="116"/>
      <c r="E95" s="116"/>
      <c r="F95" s="116"/>
      <c r="G95" s="116"/>
      <c r="H95" s="116"/>
      <c r="I95" s="116"/>
      <c r="J95" s="116"/>
      <c r="K95" s="116"/>
      <c r="L95" s="116"/>
      <c r="M95" s="116"/>
      <c r="N95" s="116"/>
      <c r="O95" s="108">
        <f t="shared" si="39"/>
        <v>0</v>
      </c>
      <c r="P95" s="119" t="s">
        <v>179</v>
      </c>
      <c r="Q95" s="65" t="str">
        <f t="shared" si="45"/>
        <v/>
      </c>
      <c r="R95" s="94"/>
      <c r="S95" s="96"/>
      <c r="T95" s="94"/>
      <c r="U95" s="96"/>
      <c r="V95" s="94"/>
      <c r="W95" s="96"/>
      <c r="X95" s="94"/>
      <c r="Y95" s="96"/>
      <c r="Z95" s="94"/>
      <c r="AA95" s="96"/>
      <c r="AB95" s="94"/>
      <c r="AC95" s="96"/>
    </row>
    <row r="96">
      <c r="A96" s="114" t="s">
        <v>222</v>
      </c>
      <c r="B96" s="115"/>
      <c r="C96" s="116"/>
      <c r="D96" s="116"/>
      <c r="E96" s="116"/>
      <c r="F96" s="116"/>
      <c r="G96" s="116"/>
      <c r="H96" s="116"/>
      <c r="I96" s="116"/>
      <c r="J96" s="116"/>
      <c r="K96" s="116"/>
      <c r="L96" s="116"/>
      <c r="M96" s="116"/>
      <c r="N96" s="116"/>
      <c r="O96" s="108">
        <f t="shared" si="39"/>
        <v>0</v>
      </c>
      <c r="P96" s="119" t="s">
        <v>179</v>
      </c>
      <c r="Q96" s="65" t="str">
        <f t="shared" si="45"/>
        <v/>
      </c>
      <c r="R96" s="94"/>
      <c r="S96" s="96"/>
      <c r="T96" s="94"/>
      <c r="U96" s="96"/>
      <c r="V96" s="94"/>
      <c r="W96" s="96"/>
      <c r="X96" s="94"/>
      <c r="Y96" s="96"/>
      <c r="Z96" s="94"/>
      <c r="AA96" s="96"/>
      <c r="AB96" s="94"/>
      <c r="AC96" s="96"/>
    </row>
    <row r="97" ht="15">
      <c r="A97" s="81" t="s">
        <v>223</v>
      </c>
      <c r="B97" s="82"/>
      <c r="C97" s="120"/>
      <c r="D97" s="120"/>
      <c r="E97" s="120"/>
      <c r="F97" s="120"/>
      <c r="G97" s="120"/>
      <c r="H97" s="120"/>
      <c r="I97" s="120"/>
      <c r="J97" s="120"/>
      <c r="K97" s="120"/>
      <c r="L97" s="120"/>
      <c r="M97" s="120"/>
      <c r="N97" s="120">
        <v>6000</v>
      </c>
      <c r="O97" s="121">
        <f t="shared" si="39"/>
        <v>6000</v>
      </c>
      <c r="P97" s="122" t="s">
        <v>179</v>
      </c>
      <c r="Q97" s="65" t="str">
        <f t="shared" si="45"/>
        <v/>
      </c>
      <c r="R97" s="94" t="s">
        <v>108</v>
      </c>
      <c r="S97" s="95">
        <f>O97/4</f>
        <v>1500</v>
      </c>
      <c r="T97" s="94" t="s">
        <v>110</v>
      </c>
      <c r="U97" s="95">
        <f>O97/4</f>
        <v>1500</v>
      </c>
      <c r="V97" s="94" t="s">
        <v>126</v>
      </c>
      <c r="W97" s="95">
        <f>O97/4</f>
        <v>1500</v>
      </c>
      <c r="X97" s="94" t="s">
        <v>111</v>
      </c>
      <c r="Y97" s="95">
        <f>O97/4</f>
        <v>1500</v>
      </c>
      <c r="Z97" s="94"/>
      <c r="AA97" s="96"/>
      <c r="AB97" s="94"/>
      <c r="AC97" s="96"/>
    </row>
    <row r="98" ht="15"/>
    <row r="99" ht="18">
      <c r="C99" s="80" t="s">
        <v>174</v>
      </c>
      <c r="D99" s="80"/>
      <c r="E99" s="80"/>
      <c r="F99" s="80"/>
      <c r="G99" s="80"/>
      <c r="H99" s="80"/>
      <c r="I99" s="80"/>
      <c r="J99" s="80"/>
      <c r="K99" s="80"/>
      <c r="L99" s="80"/>
      <c r="M99" s="80"/>
      <c r="N99" s="80"/>
    </row>
    <row r="100" ht="18.600000000000001">
      <c r="A100" s="81" t="s">
        <v>224</v>
      </c>
      <c r="B100" s="82"/>
      <c r="C100" s="83">
        <f>C69</f>
        <v>44927</v>
      </c>
      <c r="D100" s="83">
        <f t="shared" ref="D100:N100" si="46">D69</f>
        <v>44958</v>
      </c>
      <c r="E100" s="83">
        <f t="shared" si="46"/>
        <v>44986</v>
      </c>
      <c r="F100" s="83">
        <f t="shared" si="46"/>
        <v>45017</v>
      </c>
      <c r="G100" s="83">
        <f t="shared" si="46"/>
        <v>45047</v>
      </c>
      <c r="H100" s="83">
        <f t="shared" si="46"/>
        <v>45078</v>
      </c>
      <c r="I100" s="83">
        <f t="shared" si="46"/>
        <v>45108</v>
      </c>
      <c r="J100" s="83">
        <f t="shared" si="46"/>
        <v>45139</v>
      </c>
      <c r="K100" s="83">
        <f t="shared" si="46"/>
        <v>45170</v>
      </c>
      <c r="L100" s="83">
        <f t="shared" si="46"/>
        <v>45200</v>
      </c>
      <c r="M100" s="83">
        <f t="shared" si="46"/>
        <v>45231</v>
      </c>
      <c r="N100" s="83">
        <f t="shared" si="46"/>
        <v>45261</v>
      </c>
      <c r="O100" s="79" t="s">
        <v>171</v>
      </c>
      <c r="P100" s="123"/>
      <c r="Q100" s="124"/>
    </row>
    <row r="101" ht="15">
      <c r="A101" s="125" t="s">
        <v>225</v>
      </c>
      <c r="B101" s="86" t="s">
        <v>226</v>
      </c>
      <c r="C101" s="116"/>
      <c r="D101" s="116"/>
      <c r="E101" s="116"/>
      <c r="F101" s="116"/>
      <c r="G101" s="116"/>
      <c r="H101" s="116"/>
      <c r="I101" s="116"/>
      <c r="J101" s="116"/>
      <c r="K101" s="116"/>
      <c r="L101" s="116"/>
      <c r="M101" s="116"/>
      <c r="N101" s="116"/>
      <c r="O101" s="100">
        <f t="shared" ref="O101:O162" si="47">SUM(C101:N101)</f>
        <v>0</v>
      </c>
      <c r="P101" s="126" t="s">
        <v>179</v>
      </c>
      <c r="Q101" s="65" t="str">
        <f t="shared" ref="Q101:Q162" si="48">IF(O101&lt;&gt;SUM(S101,U101,W101,Y101,AA101,AC101),"x","")</f>
        <v/>
      </c>
      <c r="R101" s="94" t="s">
        <v>183</v>
      </c>
      <c r="S101" s="95">
        <f t="shared" ref="S101:S161" si="49">O101</f>
        <v>0</v>
      </c>
      <c r="T101" s="94"/>
      <c r="U101" s="96"/>
      <c r="V101" s="94"/>
      <c r="W101" s="96"/>
      <c r="X101" s="94"/>
      <c r="Y101" s="96"/>
      <c r="Z101" s="94"/>
      <c r="AA101" s="96"/>
      <c r="AB101" s="94"/>
      <c r="AC101" s="96"/>
    </row>
    <row r="102">
      <c r="A102" s="127"/>
      <c r="B102" s="86" t="s">
        <v>227</v>
      </c>
      <c r="C102" s="116"/>
      <c r="D102" s="116"/>
      <c r="E102" s="116"/>
      <c r="F102" s="116"/>
      <c r="G102" s="116"/>
      <c r="H102" s="116"/>
      <c r="I102" s="116"/>
      <c r="J102" s="116"/>
      <c r="K102" s="116"/>
      <c r="L102" s="116"/>
      <c r="M102" s="116"/>
      <c r="N102" s="116"/>
      <c r="O102" s="97">
        <f t="shared" si="47"/>
        <v>0</v>
      </c>
      <c r="P102" s="128" t="s">
        <v>179</v>
      </c>
      <c r="Q102" s="65" t="str">
        <f t="shared" si="48"/>
        <v/>
      </c>
      <c r="R102" s="94" t="s">
        <v>183</v>
      </c>
      <c r="S102" s="95">
        <f t="shared" si="49"/>
        <v>0</v>
      </c>
      <c r="T102" s="94"/>
      <c r="U102" s="96"/>
      <c r="V102" s="94"/>
      <c r="W102" s="96"/>
      <c r="X102" s="94"/>
      <c r="Y102" s="96"/>
      <c r="Z102" s="94"/>
      <c r="AA102" s="96"/>
      <c r="AB102" s="94"/>
      <c r="AC102" s="96"/>
    </row>
    <row r="103">
      <c r="A103" s="127"/>
      <c r="B103" s="86" t="s">
        <v>228</v>
      </c>
      <c r="C103" s="116"/>
      <c r="D103" s="116"/>
      <c r="E103" s="116"/>
      <c r="F103" s="116"/>
      <c r="G103" s="116"/>
      <c r="H103" s="116"/>
      <c r="I103" s="116"/>
      <c r="J103" s="116"/>
      <c r="K103" s="116"/>
      <c r="L103" s="116"/>
      <c r="M103" s="116"/>
      <c r="N103" s="116"/>
      <c r="O103" s="97">
        <f t="shared" si="47"/>
        <v>0</v>
      </c>
      <c r="P103" s="128" t="s">
        <v>179</v>
      </c>
      <c r="Q103" s="65" t="str">
        <f t="shared" si="48"/>
        <v/>
      </c>
      <c r="R103" s="94" t="s">
        <v>183</v>
      </c>
      <c r="S103" s="95">
        <f t="shared" si="49"/>
        <v>0</v>
      </c>
      <c r="T103" s="94"/>
      <c r="U103" s="103"/>
      <c r="V103" s="94"/>
      <c r="W103" s="103"/>
      <c r="X103" s="94"/>
      <c r="Y103" s="103"/>
      <c r="Z103" s="94"/>
      <c r="AA103" s="103"/>
      <c r="AB103" s="94"/>
      <c r="AC103" s="103"/>
    </row>
    <row r="104">
      <c r="A104" s="127"/>
      <c r="B104" s="86" t="s">
        <v>229</v>
      </c>
      <c r="C104" s="116">
        <f>1200/12</f>
        <v>100</v>
      </c>
      <c r="D104" s="116">
        <f>1200/12</f>
        <v>100</v>
      </c>
      <c r="E104" s="116">
        <f t="shared" ref="E104:N104" si="50">1200/12</f>
        <v>100</v>
      </c>
      <c r="F104" s="116">
        <f t="shared" si="50"/>
        <v>100</v>
      </c>
      <c r="G104" s="116">
        <f t="shared" si="50"/>
        <v>100</v>
      </c>
      <c r="H104" s="116">
        <f t="shared" si="50"/>
        <v>100</v>
      </c>
      <c r="I104" s="116">
        <f t="shared" si="50"/>
        <v>100</v>
      </c>
      <c r="J104" s="116">
        <f t="shared" si="50"/>
        <v>100</v>
      </c>
      <c r="K104" s="116">
        <f t="shared" si="50"/>
        <v>100</v>
      </c>
      <c r="L104" s="116">
        <f t="shared" si="50"/>
        <v>100</v>
      </c>
      <c r="M104" s="116">
        <f t="shared" si="50"/>
        <v>100</v>
      </c>
      <c r="N104" s="116">
        <f t="shared" si="50"/>
        <v>100</v>
      </c>
      <c r="O104" s="97">
        <f t="shared" si="47"/>
        <v>1200</v>
      </c>
      <c r="P104" s="128" t="s">
        <v>179</v>
      </c>
      <c r="Q104" s="65" t="str">
        <f t="shared" si="48"/>
        <v/>
      </c>
      <c r="R104" s="94" t="s">
        <v>126</v>
      </c>
      <c r="S104" s="95">
        <f t="shared" si="49"/>
        <v>1200</v>
      </c>
      <c r="T104" s="94"/>
      <c r="U104" s="103"/>
      <c r="V104" s="94"/>
      <c r="W104" s="103"/>
      <c r="X104" s="94"/>
      <c r="Y104" s="103"/>
      <c r="Z104" s="94"/>
      <c r="AA104" s="103"/>
      <c r="AB104" s="94"/>
      <c r="AC104" s="103"/>
    </row>
    <row r="105">
      <c r="A105" s="127"/>
      <c r="B105" s="86" t="s">
        <v>230</v>
      </c>
      <c r="C105" s="116">
        <f>1500/12</f>
        <v>125</v>
      </c>
      <c r="D105" s="116">
        <f t="shared" ref="D105:N105" si="51">1500/12</f>
        <v>125</v>
      </c>
      <c r="E105" s="116">
        <f t="shared" si="51"/>
        <v>125</v>
      </c>
      <c r="F105" s="116">
        <f t="shared" si="51"/>
        <v>125</v>
      </c>
      <c r="G105" s="116">
        <f t="shared" si="51"/>
        <v>125</v>
      </c>
      <c r="H105" s="116">
        <f t="shared" si="51"/>
        <v>125</v>
      </c>
      <c r="I105" s="116">
        <f t="shared" si="51"/>
        <v>125</v>
      </c>
      <c r="J105" s="116">
        <f t="shared" si="51"/>
        <v>125</v>
      </c>
      <c r="K105" s="116">
        <f t="shared" si="51"/>
        <v>125</v>
      </c>
      <c r="L105" s="116">
        <f t="shared" si="51"/>
        <v>125</v>
      </c>
      <c r="M105" s="116">
        <f t="shared" si="51"/>
        <v>125</v>
      </c>
      <c r="N105" s="116">
        <f t="shared" si="51"/>
        <v>125</v>
      </c>
      <c r="O105" s="97">
        <f t="shared" si="47"/>
        <v>1500</v>
      </c>
      <c r="P105" s="128" t="s">
        <v>179</v>
      </c>
      <c r="Q105" s="65" t="str">
        <f t="shared" si="48"/>
        <v/>
      </c>
      <c r="R105" s="94" t="s">
        <v>108</v>
      </c>
      <c r="S105" s="95">
        <f>O105*0.35</f>
        <v>525</v>
      </c>
      <c r="T105" s="94" t="s">
        <v>110</v>
      </c>
      <c r="U105" s="103">
        <f>O105*0.35</f>
        <v>525</v>
      </c>
      <c r="V105" s="94" t="s">
        <v>111</v>
      </c>
      <c r="W105" s="103">
        <f t="shared" ref="W105:W108" si="52">O105*0.1</f>
        <v>150</v>
      </c>
      <c r="X105" s="94" t="s">
        <v>126</v>
      </c>
      <c r="Y105" s="103">
        <f>O105*0.2</f>
        <v>300</v>
      </c>
      <c r="Z105" s="94"/>
      <c r="AA105" s="103"/>
      <c r="AB105" s="94"/>
      <c r="AC105" s="103"/>
    </row>
    <row r="106">
      <c r="A106" s="127"/>
      <c r="B106" s="86" t="s">
        <v>231</v>
      </c>
      <c r="C106" s="116">
        <f>2500/12</f>
        <v>208.33333333333334</v>
      </c>
      <c r="D106" s="116">
        <f t="shared" ref="D106:N106" si="53">2500/12</f>
        <v>208.33333333333334</v>
      </c>
      <c r="E106" s="116">
        <f t="shared" si="53"/>
        <v>208.33333333333334</v>
      </c>
      <c r="F106" s="116">
        <f t="shared" si="53"/>
        <v>208.33333333333334</v>
      </c>
      <c r="G106" s="116">
        <f t="shared" si="53"/>
        <v>208.33333333333334</v>
      </c>
      <c r="H106" s="116">
        <f t="shared" si="53"/>
        <v>208.33333333333334</v>
      </c>
      <c r="I106" s="116">
        <f t="shared" si="53"/>
        <v>208.33333333333334</v>
      </c>
      <c r="J106" s="116">
        <f t="shared" si="53"/>
        <v>208.33333333333334</v>
      </c>
      <c r="K106" s="116">
        <f t="shared" si="53"/>
        <v>208.33333333333334</v>
      </c>
      <c r="L106" s="116">
        <f t="shared" si="53"/>
        <v>208.33333333333334</v>
      </c>
      <c r="M106" s="116">
        <f t="shared" si="53"/>
        <v>208.33333333333334</v>
      </c>
      <c r="N106" s="116">
        <f t="shared" si="53"/>
        <v>208.33333333333334</v>
      </c>
      <c r="O106" s="97">
        <f t="shared" si="47"/>
        <v>2500</v>
      </c>
      <c r="P106" s="128" t="s">
        <v>179</v>
      </c>
      <c r="Q106" s="65" t="str">
        <f t="shared" si="48"/>
        <v/>
      </c>
      <c r="R106" s="94" t="s">
        <v>108</v>
      </c>
      <c r="S106" s="95">
        <f t="shared" ref="S106:S108" si="54">O106*0.4</f>
        <v>1000</v>
      </c>
      <c r="T106" s="94" t="s">
        <v>110</v>
      </c>
      <c r="U106" s="103">
        <f t="shared" ref="U106:U108" si="55">O106*0.4</f>
        <v>1000</v>
      </c>
      <c r="V106" s="94" t="s">
        <v>111</v>
      </c>
      <c r="W106" s="103">
        <f t="shared" si="52"/>
        <v>250</v>
      </c>
      <c r="X106" s="94" t="s">
        <v>126</v>
      </c>
      <c r="Y106" s="103">
        <f t="shared" ref="Y106:Y108" si="56">O106*0.1</f>
        <v>250</v>
      </c>
      <c r="Z106" s="94"/>
      <c r="AA106" s="103"/>
      <c r="AB106" s="94"/>
      <c r="AC106" s="103"/>
    </row>
    <row r="107">
      <c r="A107" s="127"/>
      <c r="B107" s="86" t="s">
        <v>232</v>
      </c>
      <c r="C107" s="116">
        <f>20000/12</f>
        <v>1666.6666666666667</v>
      </c>
      <c r="D107" s="116">
        <f t="shared" ref="D107:N107" si="57">20000/12</f>
        <v>1666.6666666666667</v>
      </c>
      <c r="E107" s="116">
        <f t="shared" si="57"/>
        <v>1666.6666666666667</v>
      </c>
      <c r="F107" s="116">
        <f t="shared" si="57"/>
        <v>1666.6666666666667</v>
      </c>
      <c r="G107" s="116">
        <f t="shared" si="57"/>
        <v>1666.6666666666667</v>
      </c>
      <c r="H107" s="116">
        <f t="shared" si="57"/>
        <v>1666.6666666666667</v>
      </c>
      <c r="I107" s="116">
        <f t="shared" si="57"/>
        <v>1666.6666666666667</v>
      </c>
      <c r="J107" s="116">
        <f t="shared" si="57"/>
        <v>1666.6666666666667</v>
      </c>
      <c r="K107" s="116">
        <f t="shared" si="57"/>
        <v>1666.6666666666667</v>
      </c>
      <c r="L107" s="116">
        <f t="shared" si="57"/>
        <v>1666.6666666666667</v>
      </c>
      <c r="M107" s="116">
        <f t="shared" si="57"/>
        <v>1666.6666666666667</v>
      </c>
      <c r="N107" s="116">
        <f t="shared" si="57"/>
        <v>1666.6666666666667</v>
      </c>
      <c r="O107" s="97">
        <f t="shared" si="47"/>
        <v>20000</v>
      </c>
      <c r="P107" s="128" t="s">
        <v>179</v>
      </c>
      <c r="Q107" s="65" t="str">
        <f t="shared" si="48"/>
        <v/>
      </c>
      <c r="R107" s="94" t="s">
        <v>108</v>
      </c>
      <c r="S107" s="95">
        <f t="shared" si="54"/>
        <v>8000</v>
      </c>
      <c r="T107" s="94" t="s">
        <v>110</v>
      </c>
      <c r="U107" s="103">
        <f t="shared" si="55"/>
        <v>8000</v>
      </c>
      <c r="V107" s="94" t="s">
        <v>111</v>
      </c>
      <c r="W107" s="103">
        <f t="shared" si="52"/>
        <v>2000</v>
      </c>
      <c r="X107" s="94" t="s">
        <v>126</v>
      </c>
      <c r="Y107" s="103">
        <f t="shared" si="56"/>
        <v>2000</v>
      </c>
      <c r="Z107" s="94"/>
      <c r="AA107" s="103"/>
      <c r="AB107" s="94"/>
      <c r="AC107" s="103"/>
    </row>
    <row r="108">
      <c r="A108" s="127"/>
      <c r="B108" s="86" t="s">
        <v>233</v>
      </c>
      <c r="C108" s="116">
        <f>9000/12</f>
        <v>750</v>
      </c>
      <c r="D108" s="116">
        <f t="shared" ref="D108:N108" si="58">9000/12</f>
        <v>750</v>
      </c>
      <c r="E108" s="116">
        <f t="shared" si="58"/>
        <v>750</v>
      </c>
      <c r="F108" s="116">
        <f t="shared" si="58"/>
        <v>750</v>
      </c>
      <c r="G108" s="116">
        <f t="shared" si="58"/>
        <v>750</v>
      </c>
      <c r="H108" s="116">
        <f t="shared" si="58"/>
        <v>750</v>
      </c>
      <c r="I108" s="116">
        <f t="shared" si="58"/>
        <v>750</v>
      </c>
      <c r="J108" s="116">
        <f t="shared" si="58"/>
        <v>750</v>
      </c>
      <c r="K108" s="116">
        <f t="shared" si="58"/>
        <v>750</v>
      </c>
      <c r="L108" s="116">
        <f t="shared" si="58"/>
        <v>750</v>
      </c>
      <c r="M108" s="116">
        <f t="shared" si="58"/>
        <v>750</v>
      </c>
      <c r="N108" s="116">
        <f t="shared" si="58"/>
        <v>750</v>
      </c>
      <c r="O108" s="97">
        <f t="shared" si="47"/>
        <v>9000</v>
      </c>
      <c r="P108" s="128" t="s">
        <v>179</v>
      </c>
      <c r="Q108" s="65" t="str">
        <f t="shared" si="48"/>
        <v/>
      </c>
      <c r="R108" s="94" t="s">
        <v>108</v>
      </c>
      <c r="S108" s="95">
        <f t="shared" si="54"/>
        <v>3600</v>
      </c>
      <c r="T108" s="94" t="s">
        <v>110</v>
      </c>
      <c r="U108" s="103">
        <f t="shared" si="55"/>
        <v>3600</v>
      </c>
      <c r="V108" s="94" t="s">
        <v>111</v>
      </c>
      <c r="W108" s="103">
        <f t="shared" si="52"/>
        <v>900</v>
      </c>
      <c r="X108" s="94" t="s">
        <v>126</v>
      </c>
      <c r="Y108" s="103">
        <f t="shared" si="56"/>
        <v>900</v>
      </c>
      <c r="Z108" s="94"/>
      <c r="AA108" s="103"/>
      <c r="AB108" s="94"/>
      <c r="AC108" s="103"/>
    </row>
    <row r="109">
      <c r="A109" s="127"/>
      <c r="B109" s="86" t="s">
        <v>234</v>
      </c>
      <c r="C109" s="116"/>
      <c r="D109" s="116"/>
      <c r="E109" s="116">
        <v>500</v>
      </c>
      <c r="F109" s="116"/>
      <c r="G109" s="116">
        <v>3000</v>
      </c>
      <c r="H109" s="116"/>
      <c r="I109" s="116"/>
      <c r="J109" s="116"/>
      <c r="K109" s="116">
        <v>500</v>
      </c>
      <c r="L109" s="116"/>
      <c r="M109" s="116"/>
      <c r="N109" s="116"/>
      <c r="O109" s="97">
        <f t="shared" si="47"/>
        <v>4000</v>
      </c>
      <c r="P109" s="128" t="s">
        <v>179</v>
      </c>
      <c r="Q109" s="65" t="str">
        <f t="shared" si="48"/>
        <v/>
      </c>
      <c r="R109" s="94" t="s">
        <v>183</v>
      </c>
      <c r="S109" s="95">
        <f t="shared" si="49"/>
        <v>4000</v>
      </c>
      <c r="T109" s="94"/>
      <c r="U109" s="103"/>
      <c r="V109" s="94"/>
      <c r="W109" s="103"/>
      <c r="X109" s="94"/>
      <c r="Y109" s="103"/>
      <c r="Z109" s="94"/>
      <c r="AA109" s="103"/>
      <c r="AB109" s="94"/>
      <c r="AC109" s="103"/>
    </row>
    <row r="110">
      <c r="A110" s="127"/>
      <c r="B110" s="86" t="s">
        <v>235</v>
      </c>
      <c r="C110" s="116"/>
      <c r="D110" s="116"/>
      <c r="E110" s="116"/>
      <c r="F110" s="116"/>
      <c r="G110" s="116"/>
      <c r="H110" s="116"/>
      <c r="I110" s="116"/>
      <c r="J110" s="116"/>
      <c r="K110" s="116"/>
      <c r="L110" s="116"/>
      <c r="M110" s="116"/>
      <c r="N110" s="116"/>
      <c r="O110" s="97">
        <f t="shared" si="47"/>
        <v>0</v>
      </c>
      <c r="P110" s="128" t="s">
        <v>179</v>
      </c>
      <c r="Q110" s="65" t="str">
        <f t="shared" si="48"/>
        <v/>
      </c>
      <c r="R110" s="94" t="s">
        <v>183</v>
      </c>
      <c r="S110" s="95">
        <f t="shared" si="49"/>
        <v>0</v>
      </c>
      <c r="T110" s="94"/>
      <c r="U110" s="103"/>
      <c r="V110" s="94"/>
      <c r="W110" s="103"/>
      <c r="X110" s="94"/>
      <c r="Y110" s="103"/>
      <c r="Z110" s="94"/>
      <c r="AA110" s="103"/>
      <c r="AB110" s="94"/>
      <c r="AC110" s="103"/>
    </row>
    <row r="111">
      <c r="A111" s="127"/>
      <c r="B111" s="86" t="s">
        <v>236</v>
      </c>
      <c r="C111" s="116">
        <v>6745.2000000000007</v>
      </c>
      <c r="D111" s="116">
        <v>5243.7000000000007</v>
      </c>
      <c r="E111" s="116">
        <v>6768.3000000000011</v>
      </c>
      <c r="F111" s="116">
        <v>7276.5000000000009</v>
      </c>
      <c r="G111" s="116">
        <v>11284.35</v>
      </c>
      <c r="H111" s="116">
        <v>4862.5500000000002</v>
      </c>
      <c r="I111" s="116">
        <v>369.59999999999997</v>
      </c>
      <c r="J111" s="116">
        <v>0</v>
      </c>
      <c r="K111" s="116">
        <v>11088</v>
      </c>
      <c r="L111" s="116">
        <v>7599.9000000000005</v>
      </c>
      <c r="M111" s="116">
        <v>8085</v>
      </c>
      <c r="N111" s="116">
        <v>4620.0000000000009</v>
      </c>
      <c r="O111" s="97">
        <f t="shared" si="47"/>
        <v>73943.100000000006</v>
      </c>
      <c r="P111" s="128" t="s">
        <v>191</v>
      </c>
      <c r="Q111" s="65" t="str">
        <f t="shared" si="48"/>
        <v/>
      </c>
      <c r="R111" s="94" t="s">
        <v>108</v>
      </c>
      <c r="S111" s="95">
        <f>(2.09/4.02)*O111</f>
        <v>38443.054477611942</v>
      </c>
      <c r="T111" s="94" t="s">
        <v>110</v>
      </c>
      <c r="U111" s="103">
        <f>(0.86/4.02)*O111</f>
        <v>15818.673134328361</v>
      </c>
      <c r="V111" s="94" t="s">
        <v>111</v>
      </c>
      <c r="W111" s="103">
        <f>(0.5/4.02)*O111</f>
        <v>9196.9029850746283</v>
      </c>
      <c r="X111" s="94" t="s">
        <v>126</v>
      </c>
      <c r="Y111" s="103">
        <f>(0.57/4.02)*O111</f>
        <v>10484.469402985074</v>
      </c>
      <c r="Z111" s="94"/>
      <c r="AA111" s="96"/>
      <c r="AB111" s="94"/>
      <c r="AC111" s="96"/>
    </row>
    <row r="112">
      <c r="A112" s="127"/>
      <c r="B112" s="86" t="s">
        <v>237</v>
      </c>
      <c r="C112" s="116">
        <f>55090+4020</f>
        <v>59110</v>
      </c>
      <c r="D112" s="116"/>
      <c r="E112" s="116"/>
      <c r="F112" s="116">
        <f>55090+4020</f>
        <v>59110</v>
      </c>
      <c r="G112" s="116"/>
      <c r="H112" s="116"/>
      <c r="I112" s="116">
        <f>55090+4020</f>
        <v>59110</v>
      </c>
      <c r="J112" s="116"/>
      <c r="K112" s="116"/>
      <c r="L112" s="116">
        <f>4020</f>
        <v>4020</v>
      </c>
      <c r="M112" s="116">
        <v>55090</v>
      </c>
      <c r="N112" s="116"/>
      <c r="O112" s="97">
        <f t="shared" si="47"/>
        <v>236440</v>
      </c>
      <c r="P112" s="128" t="s">
        <v>191</v>
      </c>
      <c r="Q112" s="65" t="str">
        <f t="shared" si="48"/>
        <v/>
      </c>
      <c r="R112" s="94" t="s">
        <v>183</v>
      </c>
      <c r="S112" s="95">
        <f>O112-U112</f>
        <v>220360</v>
      </c>
      <c r="T112" s="94" t="s">
        <v>126</v>
      </c>
      <c r="U112" s="103">
        <f>4020*4</f>
        <v>16080</v>
      </c>
      <c r="V112" s="94"/>
      <c r="W112" s="103"/>
      <c r="X112" s="94"/>
      <c r="Y112" s="103"/>
      <c r="Z112" s="94"/>
      <c r="AA112" s="103"/>
      <c r="AB112" s="94"/>
      <c r="AC112" s="103"/>
    </row>
    <row r="113">
      <c r="A113" s="127"/>
      <c r="B113" s="86" t="s">
        <v>238</v>
      </c>
      <c r="C113" s="116">
        <f>1234/12+5050</f>
        <v>5152.833333333333</v>
      </c>
      <c r="D113" s="116">
        <f t="shared" ref="D113:N113" si="59">1234/12</f>
        <v>102.83333333333333</v>
      </c>
      <c r="E113" s="116">
        <f t="shared" si="59"/>
        <v>102.83333333333333</v>
      </c>
      <c r="F113" s="116">
        <f>1234/12+5050</f>
        <v>5152.833333333333</v>
      </c>
      <c r="G113" s="116">
        <f t="shared" si="59"/>
        <v>102.83333333333333</v>
      </c>
      <c r="H113" s="116">
        <f t="shared" si="59"/>
        <v>102.83333333333333</v>
      </c>
      <c r="I113" s="116">
        <f>1234/12+5050</f>
        <v>5152.833333333333</v>
      </c>
      <c r="J113" s="116">
        <f t="shared" si="59"/>
        <v>102.83333333333333</v>
      </c>
      <c r="K113" s="116">
        <f t="shared" si="59"/>
        <v>102.83333333333333</v>
      </c>
      <c r="L113" s="116">
        <f>1234/12+5050</f>
        <v>5152.833333333333</v>
      </c>
      <c r="M113" s="116">
        <f t="shared" si="59"/>
        <v>102.83333333333333</v>
      </c>
      <c r="N113" s="116">
        <f t="shared" si="59"/>
        <v>102.83333333333333</v>
      </c>
      <c r="O113" s="97">
        <f t="shared" si="47"/>
        <v>21433.999999999996</v>
      </c>
      <c r="P113" s="128" t="s">
        <v>179</v>
      </c>
      <c r="Q113" s="65" t="str">
        <f t="shared" si="48"/>
        <v/>
      </c>
      <c r="R113" s="94" t="s">
        <v>183</v>
      </c>
      <c r="S113" s="95">
        <f t="shared" si="49"/>
        <v>21433.999999999996</v>
      </c>
      <c r="T113" s="94"/>
      <c r="U113" s="96"/>
      <c r="V113" s="94"/>
      <c r="W113" s="96"/>
      <c r="X113" s="94"/>
      <c r="Y113" s="96"/>
      <c r="Z113" s="94"/>
      <c r="AA113" s="96"/>
      <c r="AB113" s="94"/>
      <c r="AC113" s="96"/>
    </row>
    <row r="114">
      <c r="A114" s="127"/>
      <c r="B114" s="86" t="s">
        <v>239</v>
      </c>
      <c r="C114" s="116">
        <f>11000/4</f>
        <v>2750</v>
      </c>
      <c r="D114" s="116"/>
      <c r="E114" s="116"/>
      <c r="F114" s="116">
        <f>11000/4</f>
        <v>2750</v>
      </c>
      <c r="G114" s="116"/>
      <c r="H114" s="116"/>
      <c r="I114" s="116">
        <f>11000/4</f>
        <v>2750</v>
      </c>
      <c r="J114" s="116"/>
      <c r="K114" s="116"/>
      <c r="L114" s="116">
        <f>11000/4</f>
        <v>2750</v>
      </c>
      <c r="M114" s="116"/>
      <c r="N114" s="116"/>
      <c r="O114" s="97">
        <f t="shared" si="47"/>
        <v>11000</v>
      </c>
      <c r="P114" s="128" t="s">
        <v>179</v>
      </c>
      <c r="Q114" s="65" t="str">
        <f t="shared" si="48"/>
        <v/>
      </c>
      <c r="R114" s="94" t="s">
        <v>183</v>
      </c>
      <c r="S114" s="95">
        <f t="shared" si="49"/>
        <v>11000</v>
      </c>
      <c r="T114" s="94"/>
      <c r="U114" s="103"/>
      <c r="V114" s="94"/>
      <c r="W114" s="103"/>
      <c r="X114" s="94"/>
      <c r="Y114" s="103"/>
      <c r="Z114" s="94"/>
      <c r="AA114" s="103"/>
      <c r="AB114" s="94"/>
      <c r="AC114" s="103"/>
    </row>
    <row r="115">
      <c r="A115" s="127"/>
      <c r="B115" s="86" t="s">
        <v>240</v>
      </c>
      <c r="C115" s="116">
        <f>830+11</f>
        <v>841</v>
      </c>
      <c r="D115" s="116">
        <f t="shared" ref="D115:N115" si="60">830+11</f>
        <v>841</v>
      </c>
      <c r="E115" s="116">
        <f t="shared" si="60"/>
        <v>841</v>
      </c>
      <c r="F115" s="116">
        <f t="shared" si="60"/>
        <v>841</v>
      </c>
      <c r="G115" s="116">
        <f t="shared" si="60"/>
        <v>841</v>
      </c>
      <c r="H115" s="116">
        <f t="shared" si="60"/>
        <v>841</v>
      </c>
      <c r="I115" s="116">
        <f t="shared" si="60"/>
        <v>841</v>
      </c>
      <c r="J115" s="116">
        <f t="shared" si="60"/>
        <v>841</v>
      </c>
      <c r="K115" s="116">
        <f t="shared" si="60"/>
        <v>841</v>
      </c>
      <c r="L115" s="116">
        <f t="shared" si="60"/>
        <v>841</v>
      </c>
      <c r="M115" s="116">
        <f t="shared" si="60"/>
        <v>841</v>
      </c>
      <c r="N115" s="116">
        <f t="shared" si="60"/>
        <v>841</v>
      </c>
      <c r="O115" s="97">
        <f t="shared" si="47"/>
        <v>10092</v>
      </c>
      <c r="P115" s="128" t="s">
        <v>179</v>
      </c>
      <c r="Q115" s="65" t="str">
        <f t="shared" si="48"/>
        <v/>
      </c>
      <c r="R115" s="94" t="s">
        <v>183</v>
      </c>
      <c r="S115" s="95">
        <f t="shared" si="49"/>
        <v>10092</v>
      </c>
      <c r="T115" s="94"/>
      <c r="U115" s="103"/>
      <c r="V115" s="94"/>
      <c r="W115" s="103"/>
      <c r="X115" s="94"/>
      <c r="Y115" s="103"/>
      <c r="Z115" s="94"/>
      <c r="AA115" s="103"/>
      <c r="AB115" s="94"/>
      <c r="AC115" s="103"/>
    </row>
    <row r="116">
      <c r="A116" s="127"/>
      <c r="B116" s="86" t="s">
        <v>241</v>
      </c>
      <c r="C116" s="116">
        <f>10600/12</f>
        <v>883.33333333333337</v>
      </c>
      <c r="D116" s="116">
        <f t="shared" ref="D116:M116" si="61">10600/12</f>
        <v>883.33333333333337</v>
      </c>
      <c r="E116" s="116">
        <f t="shared" si="61"/>
        <v>883.33333333333337</v>
      </c>
      <c r="F116" s="116">
        <f t="shared" si="61"/>
        <v>883.33333333333337</v>
      </c>
      <c r="G116" s="116">
        <f t="shared" si="61"/>
        <v>883.33333333333337</v>
      </c>
      <c r="H116" s="116">
        <f t="shared" si="61"/>
        <v>883.33333333333337</v>
      </c>
      <c r="I116" s="116">
        <f t="shared" si="61"/>
        <v>883.33333333333337</v>
      </c>
      <c r="J116" s="116">
        <f t="shared" si="61"/>
        <v>883.33333333333337</v>
      </c>
      <c r="K116" s="116">
        <f t="shared" si="61"/>
        <v>883.33333333333337</v>
      </c>
      <c r="L116" s="116">
        <f t="shared" si="61"/>
        <v>883.33333333333337</v>
      </c>
      <c r="M116" s="116">
        <f t="shared" si="61"/>
        <v>883.33333333333337</v>
      </c>
      <c r="N116" s="116">
        <f>10600/12</f>
        <v>883.33333333333337</v>
      </c>
      <c r="O116" s="97">
        <f t="shared" si="47"/>
        <v>10600</v>
      </c>
      <c r="P116" s="128" t="s">
        <v>179</v>
      </c>
      <c r="Q116" s="65" t="str">
        <f t="shared" si="48"/>
        <v/>
      </c>
      <c r="R116" s="94" t="s">
        <v>183</v>
      </c>
      <c r="S116" s="95">
        <f t="shared" si="49"/>
        <v>10600</v>
      </c>
      <c r="T116" s="94"/>
      <c r="U116" s="103"/>
      <c r="V116" s="94"/>
      <c r="W116" s="103"/>
      <c r="X116" s="94"/>
      <c r="Y116" s="103"/>
      <c r="Z116" s="94"/>
      <c r="AA116" s="103"/>
      <c r="AB116" s="94"/>
      <c r="AC116" s="103"/>
    </row>
    <row r="117">
      <c r="A117" s="127"/>
      <c r="B117" s="86" t="s">
        <v>115</v>
      </c>
      <c r="C117" s="116">
        <f>15000/12</f>
        <v>1250</v>
      </c>
      <c r="D117" s="116">
        <f t="shared" ref="D117:N117" si="62">15000/12</f>
        <v>1250</v>
      </c>
      <c r="E117" s="116">
        <f t="shared" si="62"/>
        <v>1250</v>
      </c>
      <c r="F117" s="116">
        <f t="shared" si="62"/>
        <v>1250</v>
      </c>
      <c r="G117" s="116">
        <f t="shared" si="62"/>
        <v>1250</v>
      </c>
      <c r="H117" s="116">
        <f t="shared" si="62"/>
        <v>1250</v>
      </c>
      <c r="I117" s="116">
        <f t="shared" si="62"/>
        <v>1250</v>
      </c>
      <c r="J117" s="116">
        <f t="shared" si="62"/>
        <v>1250</v>
      </c>
      <c r="K117" s="116">
        <f t="shared" si="62"/>
        <v>1250</v>
      </c>
      <c r="L117" s="116">
        <f t="shared" si="62"/>
        <v>1250</v>
      </c>
      <c r="M117" s="116">
        <f t="shared" si="62"/>
        <v>1250</v>
      </c>
      <c r="N117" s="116">
        <f t="shared" si="62"/>
        <v>1250</v>
      </c>
      <c r="O117" s="97">
        <f t="shared" si="47"/>
        <v>15000</v>
      </c>
      <c r="P117" s="128" t="s">
        <v>179</v>
      </c>
      <c r="Q117" s="65" t="str">
        <f t="shared" si="48"/>
        <v/>
      </c>
      <c r="R117" s="94" t="s">
        <v>183</v>
      </c>
      <c r="S117" s="95">
        <f t="shared" si="49"/>
        <v>15000</v>
      </c>
      <c r="T117" s="94"/>
      <c r="U117" s="96"/>
      <c r="V117" s="94"/>
      <c r="W117" s="96"/>
      <c r="X117" s="94"/>
      <c r="Y117" s="96"/>
      <c r="Z117" s="94"/>
      <c r="AA117" s="96"/>
      <c r="AB117" s="94"/>
      <c r="AC117" s="96"/>
    </row>
    <row r="118">
      <c r="A118" s="127"/>
      <c r="B118" s="86" t="s">
        <v>242</v>
      </c>
      <c r="C118" s="116">
        <f>17500/12</f>
        <v>1458.3333333333333</v>
      </c>
      <c r="D118" s="116">
        <f t="shared" ref="D118:N118" si="63">17500/12</f>
        <v>1458.3333333333333</v>
      </c>
      <c r="E118" s="116">
        <f>17500/12+6240</f>
        <v>7698.333333333333</v>
      </c>
      <c r="F118" s="116">
        <f t="shared" si="63"/>
        <v>1458.3333333333333</v>
      </c>
      <c r="G118" s="116">
        <f t="shared" si="63"/>
        <v>1458.3333333333333</v>
      </c>
      <c r="H118" s="116">
        <f t="shared" si="63"/>
        <v>1458.3333333333333</v>
      </c>
      <c r="I118" s="116">
        <f t="shared" si="63"/>
        <v>1458.3333333333333</v>
      </c>
      <c r="J118" s="116">
        <f t="shared" si="63"/>
        <v>1458.3333333333333</v>
      </c>
      <c r="K118" s="116">
        <f>17500/12+8500</f>
        <v>9958.3333333333339</v>
      </c>
      <c r="L118" s="116">
        <f t="shared" si="63"/>
        <v>1458.3333333333333</v>
      </c>
      <c r="M118" s="116">
        <f t="shared" si="63"/>
        <v>1458.3333333333333</v>
      </c>
      <c r="N118" s="116">
        <f t="shared" si="63"/>
        <v>1458.3333333333333</v>
      </c>
      <c r="O118" s="97">
        <f t="shared" si="47"/>
        <v>32239.999999999996</v>
      </c>
      <c r="P118" s="128" t="s">
        <v>191</v>
      </c>
      <c r="Q118" s="65" t="str">
        <f t="shared" si="48"/>
        <v/>
      </c>
      <c r="R118" s="94" t="s">
        <v>183</v>
      </c>
      <c r="S118" s="95">
        <f t="shared" si="49"/>
        <v>32239.999999999996</v>
      </c>
      <c r="T118" s="94"/>
      <c r="U118" s="103"/>
      <c r="V118" s="94"/>
      <c r="W118" s="103"/>
      <c r="X118" s="94"/>
      <c r="Y118" s="103"/>
      <c r="Z118" s="94"/>
      <c r="AA118" s="103"/>
      <c r="AB118" s="94"/>
      <c r="AC118" s="103"/>
    </row>
    <row r="119">
      <c r="A119" s="127"/>
      <c r="B119" s="86" t="s">
        <v>243</v>
      </c>
      <c r="C119" s="116">
        <f>15000/12</f>
        <v>1250</v>
      </c>
      <c r="D119" s="116">
        <f t="shared" ref="D119:N119" si="64">15000/12</f>
        <v>1250</v>
      </c>
      <c r="E119" s="116">
        <f t="shared" si="64"/>
        <v>1250</v>
      </c>
      <c r="F119" s="116">
        <f t="shared" si="64"/>
        <v>1250</v>
      </c>
      <c r="G119" s="116">
        <f t="shared" si="64"/>
        <v>1250</v>
      </c>
      <c r="H119" s="116">
        <f t="shared" si="64"/>
        <v>1250</v>
      </c>
      <c r="I119" s="116">
        <f t="shared" si="64"/>
        <v>1250</v>
      </c>
      <c r="J119" s="116">
        <f t="shared" si="64"/>
        <v>1250</v>
      </c>
      <c r="K119" s="116">
        <f t="shared" si="64"/>
        <v>1250</v>
      </c>
      <c r="L119" s="116">
        <f t="shared" si="64"/>
        <v>1250</v>
      </c>
      <c r="M119" s="116">
        <f t="shared" si="64"/>
        <v>1250</v>
      </c>
      <c r="N119" s="116">
        <f t="shared" si="64"/>
        <v>1250</v>
      </c>
      <c r="O119" s="97">
        <f t="shared" si="47"/>
        <v>15000</v>
      </c>
      <c r="P119" s="128" t="s">
        <v>179</v>
      </c>
      <c r="Q119" s="65" t="str">
        <f t="shared" si="48"/>
        <v/>
      </c>
      <c r="R119" s="94" t="s">
        <v>183</v>
      </c>
      <c r="S119" s="95">
        <f t="shared" si="49"/>
        <v>15000</v>
      </c>
      <c r="T119" s="94"/>
      <c r="U119" s="103"/>
      <c r="V119" s="94"/>
      <c r="W119" s="103"/>
      <c r="X119" s="94"/>
      <c r="Y119" s="103"/>
      <c r="Z119" s="94"/>
      <c r="AA119" s="103"/>
      <c r="AB119" s="94"/>
      <c r="AC119" s="103"/>
    </row>
    <row r="120">
      <c r="A120" s="127"/>
      <c r="B120" s="86" t="s">
        <v>244</v>
      </c>
      <c r="C120" s="116"/>
      <c r="D120" s="116"/>
      <c r="E120" s="116"/>
      <c r="F120" s="116"/>
      <c r="G120" s="116"/>
      <c r="H120" s="116"/>
      <c r="I120" s="116"/>
      <c r="J120" s="116"/>
      <c r="K120" s="116">
        <v>1500</v>
      </c>
      <c r="L120" s="116"/>
      <c r="M120" s="116"/>
      <c r="N120" s="116"/>
      <c r="O120" s="97">
        <f t="shared" si="47"/>
        <v>1500</v>
      </c>
      <c r="P120" s="128" t="s">
        <v>179</v>
      </c>
      <c r="Q120" s="65" t="str">
        <f t="shared" si="48"/>
        <v/>
      </c>
      <c r="R120" s="94" t="s">
        <v>183</v>
      </c>
      <c r="S120" s="95">
        <f t="shared" si="49"/>
        <v>1500</v>
      </c>
      <c r="T120" s="94"/>
      <c r="U120" s="96"/>
      <c r="V120" s="94"/>
      <c r="W120" s="96"/>
      <c r="X120" s="94"/>
      <c r="Y120" s="96"/>
      <c r="Z120" s="94"/>
      <c r="AA120" s="96"/>
      <c r="AB120" s="94"/>
      <c r="AC120" s="96"/>
    </row>
    <row r="121">
      <c r="A121" s="127"/>
      <c r="B121" s="86" t="s">
        <v>245</v>
      </c>
      <c r="C121" s="116"/>
      <c r="D121" s="116">
        <f>2500/4</f>
        <v>625</v>
      </c>
      <c r="E121" s="116"/>
      <c r="F121" s="116"/>
      <c r="G121" s="116">
        <f>2500/4</f>
        <v>625</v>
      </c>
      <c r="H121" s="116"/>
      <c r="I121" s="116"/>
      <c r="J121" s="116">
        <f>2500/4</f>
        <v>625</v>
      </c>
      <c r="K121" s="116"/>
      <c r="L121" s="116"/>
      <c r="M121" s="116">
        <f>2500/4</f>
        <v>625</v>
      </c>
      <c r="N121" s="116"/>
      <c r="O121" s="97">
        <f t="shared" si="47"/>
        <v>2500</v>
      </c>
      <c r="P121" s="128" t="s">
        <v>179</v>
      </c>
      <c r="Q121" s="65" t="str">
        <f t="shared" si="48"/>
        <v/>
      </c>
      <c r="R121" s="94" t="s">
        <v>183</v>
      </c>
      <c r="S121" s="95">
        <f t="shared" si="49"/>
        <v>2500</v>
      </c>
      <c r="T121" s="94"/>
      <c r="U121" s="103"/>
      <c r="V121" s="94"/>
      <c r="W121" s="103"/>
      <c r="X121" s="94"/>
      <c r="Y121" s="103"/>
      <c r="Z121" s="94"/>
      <c r="AA121" s="103"/>
      <c r="AB121" s="94"/>
      <c r="AC121" s="103"/>
    </row>
    <row r="122">
      <c r="A122" s="127"/>
      <c r="B122" s="86" t="s">
        <v>246</v>
      </c>
      <c r="C122" s="116">
        <f>1200/12</f>
        <v>100</v>
      </c>
      <c r="D122" s="116">
        <f t="shared" ref="D122:N122" si="65">1200/12</f>
        <v>100</v>
      </c>
      <c r="E122" s="116">
        <f t="shared" si="65"/>
        <v>100</v>
      </c>
      <c r="F122" s="116">
        <f t="shared" si="65"/>
        <v>100</v>
      </c>
      <c r="G122" s="116">
        <f t="shared" si="65"/>
        <v>100</v>
      </c>
      <c r="H122" s="116">
        <f t="shared" si="65"/>
        <v>100</v>
      </c>
      <c r="I122" s="116">
        <f t="shared" si="65"/>
        <v>100</v>
      </c>
      <c r="J122" s="116">
        <f t="shared" si="65"/>
        <v>100</v>
      </c>
      <c r="K122" s="116">
        <f t="shared" si="65"/>
        <v>100</v>
      </c>
      <c r="L122" s="116">
        <f t="shared" si="65"/>
        <v>100</v>
      </c>
      <c r="M122" s="116">
        <f t="shared" si="65"/>
        <v>100</v>
      </c>
      <c r="N122" s="116">
        <f t="shared" si="65"/>
        <v>100</v>
      </c>
      <c r="O122" s="97">
        <f t="shared" si="47"/>
        <v>1200</v>
      </c>
      <c r="P122" s="128" t="s">
        <v>179</v>
      </c>
      <c r="Q122" s="65" t="str">
        <f t="shared" si="48"/>
        <v/>
      </c>
      <c r="R122" s="94" t="s">
        <v>183</v>
      </c>
      <c r="S122" s="95">
        <f t="shared" si="49"/>
        <v>1200</v>
      </c>
      <c r="T122" s="94"/>
      <c r="U122" s="96"/>
      <c r="V122" s="94"/>
      <c r="W122" s="96"/>
      <c r="X122" s="94"/>
      <c r="Y122" s="96"/>
      <c r="Z122" s="94"/>
      <c r="AA122" s="96"/>
      <c r="AB122" s="94"/>
      <c r="AC122" s="96"/>
    </row>
    <row r="123">
      <c r="A123" s="127"/>
      <c r="B123" s="86" t="s">
        <v>247</v>
      </c>
      <c r="C123" s="116">
        <f>2300/12</f>
        <v>191.66666666666666</v>
      </c>
      <c r="D123" s="116">
        <f t="shared" ref="D123:N123" si="66">2300/12</f>
        <v>191.66666666666666</v>
      </c>
      <c r="E123" s="116">
        <f t="shared" si="66"/>
        <v>191.66666666666666</v>
      </c>
      <c r="F123" s="116">
        <f t="shared" si="66"/>
        <v>191.66666666666666</v>
      </c>
      <c r="G123" s="116">
        <f t="shared" si="66"/>
        <v>191.66666666666666</v>
      </c>
      <c r="H123" s="116">
        <f t="shared" si="66"/>
        <v>191.66666666666666</v>
      </c>
      <c r="I123" s="116">
        <f t="shared" si="66"/>
        <v>191.66666666666666</v>
      </c>
      <c r="J123" s="116">
        <f t="shared" si="66"/>
        <v>191.66666666666666</v>
      </c>
      <c r="K123" s="116">
        <f t="shared" si="66"/>
        <v>191.66666666666666</v>
      </c>
      <c r="L123" s="116">
        <f t="shared" si="66"/>
        <v>191.66666666666666</v>
      </c>
      <c r="M123" s="116">
        <f t="shared" si="66"/>
        <v>191.66666666666666</v>
      </c>
      <c r="N123" s="116">
        <f t="shared" si="66"/>
        <v>191.66666666666666</v>
      </c>
      <c r="O123" s="97">
        <f t="shared" si="47"/>
        <v>2300</v>
      </c>
      <c r="P123" s="128" t="s">
        <v>179</v>
      </c>
      <c r="Q123" s="65" t="str">
        <f t="shared" si="48"/>
        <v/>
      </c>
      <c r="R123" s="94" t="s">
        <v>108</v>
      </c>
      <c r="S123" s="95">
        <f>(2.09/4.02)*O123</f>
        <v>1195.7711442786069</v>
      </c>
      <c r="T123" s="94" t="s">
        <v>110</v>
      </c>
      <c r="U123" s="103">
        <f>(0.86/4.02)*O123</f>
        <v>492.03980099502496</v>
      </c>
      <c r="V123" s="94" t="s">
        <v>111</v>
      </c>
      <c r="W123" s="103">
        <f>(0.5/4.02)*O123</f>
        <v>286.06965174129357</v>
      </c>
      <c r="X123" s="94" t="s">
        <v>126</v>
      </c>
      <c r="Y123" s="103">
        <f>(0.57/4.02)*O123</f>
        <v>326.1194029850746</v>
      </c>
      <c r="Z123" s="94"/>
      <c r="AA123" s="103"/>
      <c r="AB123" s="94"/>
      <c r="AC123" s="103"/>
    </row>
    <row r="124">
      <c r="A124" s="127"/>
      <c r="B124" s="86" t="s">
        <v>248</v>
      </c>
      <c r="C124" s="116">
        <f>5700/12</f>
        <v>475</v>
      </c>
      <c r="D124" s="116">
        <f t="shared" ref="D124:N124" si="67">5700/12</f>
        <v>475</v>
      </c>
      <c r="E124" s="116">
        <f t="shared" si="67"/>
        <v>475</v>
      </c>
      <c r="F124" s="116">
        <f t="shared" si="67"/>
        <v>475</v>
      </c>
      <c r="G124" s="116">
        <f t="shared" si="67"/>
        <v>475</v>
      </c>
      <c r="H124" s="116">
        <f t="shared" si="67"/>
        <v>475</v>
      </c>
      <c r="I124" s="116">
        <f t="shared" si="67"/>
        <v>475</v>
      </c>
      <c r="J124" s="116">
        <f t="shared" si="67"/>
        <v>475</v>
      </c>
      <c r="K124" s="116">
        <f t="shared" si="67"/>
        <v>475</v>
      </c>
      <c r="L124" s="116">
        <f t="shared" si="67"/>
        <v>475</v>
      </c>
      <c r="M124" s="116">
        <f t="shared" si="67"/>
        <v>475</v>
      </c>
      <c r="N124" s="116">
        <f t="shared" si="67"/>
        <v>475</v>
      </c>
      <c r="O124" s="97">
        <f t="shared" si="47"/>
        <v>5700</v>
      </c>
      <c r="P124" s="128" t="s">
        <v>179</v>
      </c>
      <c r="Q124" s="65" t="str">
        <f t="shared" si="48"/>
        <v/>
      </c>
      <c r="R124" s="94" t="s">
        <v>183</v>
      </c>
      <c r="S124" s="95">
        <f t="shared" si="49"/>
        <v>5700</v>
      </c>
      <c r="T124" s="94"/>
      <c r="U124" s="96"/>
      <c r="V124" s="94"/>
      <c r="W124" s="96"/>
      <c r="X124" s="94"/>
      <c r="Y124" s="96"/>
      <c r="Z124" s="94"/>
      <c r="AA124" s="96"/>
      <c r="AB124" s="94"/>
      <c r="AC124" s="96"/>
    </row>
    <row r="125">
      <c r="A125" s="127"/>
      <c r="B125" s="86" t="s">
        <v>249</v>
      </c>
      <c r="C125" s="116">
        <f>1500/12</f>
        <v>125</v>
      </c>
      <c r="D125" s="116">
        <f t="shared" ref="D125:N125" si="68">1500/12</f>
        <v>125</v>
      </c>
      <c r="E125" s="116">
        <f t="shared" si="68"/>
        <v>125</v>
      </c>
      <c r="F125" s="116">
        <f t="shared" si="68"/>
        <v>125</v>
      </c>
      <c r="G125" s="116">
        <f t="shared" si="68"/>
        <v>125</v>
      </c>
      <c r="H125" s="116">
        <f t="shared" si="68"/>
        <v>125</v>
      </c>
      <c r="I125" s="116">
        <f t="shared" si="68"/>
        <v>125</v>
      </c>
      <c r="J125" s="116">
        <f t="shared" si="68"/>
        <v>125</v>
      </c>
      <c r="K125" s="116">
        <f t="shared" si="68"/>
        <v>125</v>
      </c>
      <c r="L125" s="116">
        <f t="shared" si="68"/>
        <v>125</v>
      </c>
      <c r="M125" s="116">
        <f t="shared" si="68"/>
        <v>125</v>
      </c>
      <c r="N125" s="116">
        <f t="shared" si="68"/>
        <v>125</v>
      </c>
      <c r="O125" s="97">
        <f t="shared" si="47"/>
        <v>1500</v>
      </c>
      <c r="P125" s="128" t="s">
        <v>179</v>
      </c>
      <c r="Q125" s="65" t="str">
        <f t="shared" si="48"/>
        <v/>
      </c>
      <c r="R125" s="94" t="s">
        <v>183</v>
      </c>
      <c r="S125" s="95">
        <f t="shared" si="49"/>
        <v>1500</v>
      </c>
      <c r="T125" s="94"/>
      <c r="U125" s="96"/>
      <c r="V125" s="94"/>
      <c r="W125" s="96"/>
      <c r="X125" s="94"/>
      <c r="Y125" s="96"/>
      <c r="Z125" s="94"/>
      <c r="AA125" s="96"/>
      <c r="AB125" s="94"/>
      <c r="AC125" s="96"/>
    </row>
    <row r="126">
      <c r="A126" s="127"/>
      <c r="B126" s="86" t="s">
        <v>250</v>
      </c>
      <c r="C126" s="116">
        <f>12000/12</f>
        <v>1000</v>
      </c>
      <c r="D126" s="116">
        <f t="shared" ref="D126:N126" si="69">12000/12</f>
        <v>1000</v>
      </c>
      <c r="E126" s="116">
        <f t="shared" si="69"/>
        <v>1000</v>
      </c>
      <c r="F126" s="116">
        <f t="shared" si="69"/>
        <v>1000</v>
      </c>
      <c r="G126" s="116">
        <f t="shared" si="69"/>
        <v>1000</v>
      </c>
      <c r="H126" s="116">
        <f t="shared" si="69"/>
        <v>1000</v>
      </c>
      <c r="I126" s="116">
        <f t="shared" si="69"/>
        <v>1000</v>
      </c>
      <c r="J126" s="116">
        <f t="shared" si="69"/>
        <v>1000</v>
      </c>
      <c r="K126" s="116">
        <f t="shared" si="69"/>
        <v>1000</v>
      </c>
      <c r="L126" s="116">
        <f t="shared" si="69"/>
        <v>1000</v>
      </c>
      <c r="M126" s="116">
        <f t="shared" si="69"/>
        <v>1000</v>
      </c>
      <c r="N126" s="116">
        <f t="shared" si="69"/>
        <v>1000</v>
      </c>
      <c r="O126" s="97">
        <f t="shared" si="47"/>
        <v>12000</v>
      </c>
      <c r="P126" s="128" t="s">
        <v>179</v>
      </c>
      <c r="Q126" s="65" t="str">
        <f t="shared" si="48"/>
        <v/>
      </c>
      <c r="R126" s="94" t="s">
        <v>183</v>
      </c>
      <c r="S126" s="95">
        <f t="shared" si="49"/>
        <v>12000</v>
      </c>
      <c r="T126" s="94"/>
      <c r="U126" s="96"/>
      <c r="V126" s="94"/>
      <c r="W126" s="96"/>
      <c r="X126" s="94"/>
      <c r="Y126" s="96"/>
      <c r="Z126" s="94"/>
      <c r="AA126" s="96"/>
      <c r="AB126" s="94"/>
      <c r="AC126" s="96"/>
    </row>
    <row r="127">
      <c r="A127" s="127"/>
      <c r="B127" s="86" t="s">
        <v>251</v>
      </c>
      <c r="C127" s="116">
        <f>850+112+7+204</f>
        <v>1173</v>
      </c>
      <c r="D127" s="116">
        <f t="shared" ref="D127:N127" si="70">850+112+7+204</f>
        <v>1173</v>
      </c>
      <c r="E127" s="116">
        <f t="shared" si="70"/>
        <v>1173</v>
      </c>
      <c r="F127" s="116">
        <f t="shared" si="70"/>
        <v>1173</v>
      </c>
      <c r="G127" s="116">
        <f t="shared" si="70"/>
        <v>1173</v>
      </c>
      <c r="H127" s="116">
        <f t="shared" si="70"/>
        <v>1173</v>
      </c>
      <c r="I127" s="116">
        <f t="shared" si="70"/>
        <v>1173</v>
      </c>
      <c r="J127" s="116">
        <f t="shared" si="70"/>
        <v>1173</v>
      </c>
      <c r="K127" s="116">
        <f t="shared" si="70"/>
        <v>1173</v>
      </c>
      <c r="L127" s="116">
        <f t="shared" si="70"/>
        <v>1173</v>
      </c>
      <c r="M127" s="116">
        <f t="shared" si="70"/>
        <v>1173</v>
      </c>
      <c r="N127" s="116">
        <f t="shared" si="70"/>
        <v>1173</v>
      </c>
      <c r="O127" s="97">
        <f t="shared" si="47"/>
        <v>14076</v>
      </c>
      <c r="P127" s="128" t="s">
        <v>179</v>
      </c>
      <c r="Q127" s="65" t="str">
        <f t="shared" si="48"/>
        <v/>
      </c>
      <c r="R127" s="94" t="s">
        <v>183</v>
      </c>
      <c r="S127" s="95">
        <f t="shared" si="49"/>
        <v>14076</v>
      </c>
      <c r="T127" s="94" t="s">
        <v>126</v>
      </c>
      <c r="U127" s="96"/>
      <c r="V127" s="94"/>
      <c r="W127" s="96"/>
      <c r="X127" s="94"/>
      <c r="Y127" s="96"/>
      <c r="Z127" s="94"/>
      <c r="AA127" s="96"/>
      <c r="AB127" s="94"/>
      <c r="AC127" s="96"/>
    </row>
    <row r="128">
      <c r="A128" s="127"/>
      <c r="B128" s="86" t="s">
        <v>252</v>
      </c>
      <c r="C128" s="116">
        <f>6000+7000/12</f>
        <v>6583.333333333333</v>
      </c>
      <c r="D128" s="116">
        <f>7000/12</f>
        <v>583.33333333333337</v>
      </c>
      <c r="E128" s="116">
        <f t="shared" ref="E128:N128" si="71">7000/12</f>
        <v>583.33333333333337</v>
      </c>
      <c r="F128" s="116">
        <f t="shared" si="71"/>
        <v>583.33333333333337</v>
      </c>
      <c r="G128" s="116">
        <f t="shared" si="71"/>
        <v>583.33333333333337</v>
      </c>
      <c r="H128" s="116">
        <f t="shared" si="71"/>
        <v>583.33333333333337</v>
      </c>
      <c r="I128" s="116">
        <f t="shared" si="71"/>
        <v>583.33333333333337</v>
      </c>
      <c r="J128" s="116">
        <f t="shared" si="71"/>
        <v>583.33333333333337</v>
      </c>
      <c r="K128" s="116">
        <f t="shared" si="71"/>
        <v>583.33333333333337</v>
      </c>
      <c r="L128" s="116">
        <f t="shared" si="71"/>
        <v>583.33333333333337</v>
      </c>
      <c r="M128" s="116">
        <f t="shared" si="71"/>
        <v>583.33333333333337</v>
      </c>
      <c r="N128" s="116">
        <f t="shared" si="71"/>
        <v>583.33333333333337</v>
      </c>
      <c r="O128" s="97">
        <f t="shared" si="47"/>
        <v>13000.000000000004</v>
      </c>
      <c r="P128" s="128" t="s">
        <v>179</v>
      </c>
      <c r="Q128" s="65" t="str">
        <f t="shared" si="48"/>
        <v/>
      </c>
      <c r="R128" s="94" t="s">
        <v>183</v>
      </c>
      <c r="S128" s="95">
        <f t="shared" si="49"/>
        <v>13000.000000000004</v>
      </c>
      <c r="T128" s="94" t="s">
        <v>126</v>
      </c>
      <c r="U128" s="103"/>
      <c r="V128" s="94"/>
      <c r="W128" s="103"/>
      <c r="X128" s="94"/>
      <c r="Y128" s="103"/>
      <c r="Z128" s="94"/>
      <c r="AA128" s="103"/>
      <c r="AB128" s="94"/>
      <c r="AC128" s="103"/>
    </row>
    <row r="129">
      <c r="A129" s="127"/>
      <c r="B129" s="86" t="s">
        <v>253</v>
      </c>
      <c r="C129" s="116">
        <f>72</f>
        <v>72</v>
      </c>
      <c r="D129" s="116">
        <f>72+230</f>
        <v>302</v>
      </c>
      <c r="E129" s="116">
        <f>72</f>
        <v>72</v>
      </c>
      <c r="F129" s="116">
        <f>72+230</f>
        <v>302</v>
      </c>
      <c r="G129" s="116">
        <f>72</f>
        <v>72</v>
      </c>
      <c r="H129" s="116">
        <f>72+230</f>
        <v>302</v>
      </c>
      <c r="I129" s="116">
        <f>72</f>
        <v>72</v>
      </c>
      <c r="J129" s="116">
        <f>72+230</f>
        <v>302</v>
      </c>
      <c r="K129" s="116">
        <f>72</f>
        <v>72</v>
      </c>
      <c r="L129" s="116">
        <f>72+230</f>
        <v>302</v>
      </c>
      <c r="M129" s="116">
        <f>72</f>
        <v>72</v>
      </c>
      <c r="N129" s="116">
        <f>72+230</f>
        <v>302</v>
      </c>
      <c r="O129" s="97">
        <f t="shared" si="47"/>
        <v>2244</v>
      </c>
      <c r="P129" s="128" t="s">
        <v>179</v>
      </c>
      <c r="Q129" s="65" t="str">
        <f t="shared" si="48"/>
        <v/>
      </c>
      <c r="R129" s="94" t="s">
        <v>183</v>
      </c>
      <c r="S129" s="95">
        <f t="shared" si="49"/>
        <v>2244</v>
      </c>
      <c r="T129" s="94" t="s">
        <v>126</v>
      </c>
      <c r="U129" s="103"/>
      <c r="V129" s="94"/>
      <c r="W129" s="103"/>
      <c r="X129" s="94"/>
      <c r="Y129" s="103"/>
      <c r="Z129" s="94"/>
      <c r="AA129" s="103"/>
      <c r="AB129" s="94"/>
      <c r="AC129" s="103"/>
    </row>
    <row r="130">
      <c r="A130" s="127"/>
      <c r="B130" s="86" t="s">
        <v>254</v>
      </c>
      <c r="C130" s="116">
        <v>8</v>
      </c>
      <c r="D130" s="116">
        <v>8</v>
      </c>
      <c r="E130" s="116">
        <v>8</v>
      </c>
      <c r="F130" s="116">
        <v>8</v>
      </c>
      <c r="G130" s="116">
        <v>8</v>
      </c>
      <c r="H130" s="116">
        <f>8+150</f>
        <v>158</v>
      </c>
      <c r="I130" s="116">
        <v>8</v>
      </c>
      <c r="J130" s="116">
        <v>8</v>
      </c>
      <c r="K130" s="116">
        <v>8</v>
      </c>
      <c r="L130" s="116">
        <f>8+150</f>
        <v>158</v>
      </c>
      <c r="M130" s="116">
        <v>8</v>
      </c>
      <c r="N130" s="116">
        <v>8</v>
      </c>
      <c r="O130" s="97">
        <f t="shared" si="47"/>
        <v>396</v>
      </c>
      <c r="P130" s="128" t="s">
        <v>179</v>
      </c>
      <c r="Q130" s="65" t="str">
        <f t="shared" si="48"/>
        <v/>
      </c>
      <c r="R130" s="94" t="s">
        <v>183</v>
      </c>
      <c r="S130" s="95">
        <f t="shared" si="49"/>
        <v>396</v>
      </c>
      <c r="T130" s="94"/>
      <c r="U130" s="103"/>
      <c r="V130" s="94"/>
      <c r="W130" s="103"/>
      <c r="X130" s="94"/>
      <c r="Y130" s="103"/>
      <c r="Z130" s="94"/>
      <c r="AA130" s="103"/>
      <c r="AB130" s="94"/>
      <c r="AC130" s="103"/>
    </row>
    <row r="131">
      <c r="A131" s="127"/>
      <c r="B131" s="86" t="s">
        <v>255</v>
      </c>
      <c r="C131" s="116"/>
      <c r="D131" s="116"/>
      <c r="E131" s="116"/>
      <c r="F131" s="116"/>
      <c r="G131" s="116"/>
      <c r="H131" s="116"/>
      <c r="I131" s="116"/>
      <c r="J131" s="116"/>
      <c r="K131" s="116"/>
      <c r="L131" s="116"/>
      <c r="M131" s="116"/>
      <c r="N131" s="116"/>
      <c r="O131" s="97">
        <f t="shared" si="47"/>
        <v>0</v>
      </c>
      <c r="P131" s="128" t="s">
        <v>179</v>
      </c>
      <c r="Q131" s="65" t="str">
        <f t="shared" si="48"/>
        <v/>
      </c>
      <c r="R131" s="94" t="s">
        <v>183</v>
      </c>
      <c r="S131" s="95">
        <f t="shared" si="49"/>
        <v>0</v>
      </c>
      <c r="T131" s="94"/>
      <c r="U131" s="96"/>
      <c r="V131" s="94"/>
      <c r="W131" s="96"/>
      <c r="X131" s="94"/>
      <c r="Y131" s="96"/>
      <c r="Z131" s="94"/>
      <c r="AA131" s="96"/>
      <c r="AB131" s="94"/>
      <c r="AC131" s="96"/>
    </row>
    <row r="132">
      <c r="A132" s="127"/>
      <c r="B132" s="86" t="s">
        <v>256</v>
      </c>
      <c r="C132" s="116"/>
      <c r="D132" s="116"/>
      <c r="E132" s="116"/>
      <c r="F132" s="116"/>
      <c r="G132" s="116"/>
      <c r="H132" s="116"/>
      <c r="I132" s="116"/>
      <c r="J132" s="116"/>
      <c r="K132" s="116"/>
      <c r="L132" s="116"/>
      <c r="M132" s="116"/>
      <c r="N132" s="116"/>
      <c r="O132" s="97">
        <f t="shared" si="47"/>
        <v>0</v>
      </c>
      <c r="P132" s="128" t="s">
        <v>179</v>
      </c>
      <c r="Q132" s="65" t="str">
        <f t="shared" si="48"/>
        <v/>
      </c>
      <c r="R132" s="94" t="s">
        <v>183</v>
      </c>
      <c r="S132" s="95">
        <f t="shared" si="49"/>
        <v>0</v>
      </c>
      <c r="T132" s="94"/>
      <c r="U132" s="96"/>
      <c r="V132" s="94"/>
      <c r="W132" s="96"/>
      <c r="X132" s="94"/>
      <c r="Y132" s="96"/>
      <c r="Z132" s="94"/>
      <c r="AA132" s="96"/>
      <c r="AB132" s="94"/>
      <c r="AC132" s="96"/>
    </row>
    <row r="133">
      <c r="A133" s="127"/>
      <c r="B133" s="86" t="s">
        <v>257</v>
      </c>
      <c r="C133" s="116"/>
      <c r="D133" s="116"/>
      <c r="E133" s="116">
        <f>15000/4</f>
        <v>3750</v>
      </c>
      <c r="F133" s="116"/>
      <c r="G133" s="116"/>
      <c r="H133" s="116">
        <f>15000/4</f>
        <v>3750</v>
      </c>
      <c r="I133" s="116"/>
      <c r="J133" s="116"/>
      <c r="K133" s="116">
        <f>15000/4</f>
        <v>3750</v>
      </c>
      <c r="L133" s="116"/>
      <c r="M133" s="116"/>
      <c r="N133" s="116"/>
      <c r="O133" s="97">
        <f t="shared" si="47"/>
        <v>11250</v>
      </c>
      <c r="P133" s="128" t="s">
        <v>179</v>
      </c>
      <c r="Q133" s="65" t="str">
        <f t="shared" si="48"/>
        <v/>
      </c>
      <c r="R133" s="94" t="s">
        <v>183</v>
      </c>
      <c r="S133" s="95">
        <f t="shared" si="49"/>
        <v>11250</v>
      </c>
      <c r="T133" s="94"/>
      <c r="U133" s="103"/>
      <c r="V133" s="94"/>
      <c r="W133" s="103"/>
      <c r="X133" s="94"/>
      <c r="Y133" s="103"/>
      <c r="Z133" s="94"/>
      <c r="AA133" s="103"/>
      <c r="AB133" s="94"/>
      <c r="AC133" s="103"/>
    </row>
    <row r="134">
      <c r="A134" s="127"/>
      <c r="B134" s="86" t="s">
        <v>258</v>
      </c>
      <c r="C134" s="116">
        <f>7500/12</f>
        <v>625</v>
      </c>
      <c r="D134" s="116">
        <f t="shared" ref="D134:N134" si="72">7500/12</f>
        <v>625</v>
      </c>
      <c r="E134" s="116">
        <f t="shared" si="72"/>
        <v>625</v>
      </c>
      <c r="F134" s="116">
        <f t="shared" si="72"/>
        <v>625</v>
      </c>
      <c r="G134" s="116">
        <f t="shared" si="72"/>
        <v>625</v>
      </c>
      <c r="H134" s="116">
        <f t="shared" si="72"/>
        <v>625</v>
      </c>
      <c r="I134" s="116">
        <f t="shared" si="72"/>
        <v>625</v>
      </c>
      <c r="J134" s="116">
        <f t="shared" si="72"/>
        <v>625</v>
      </c>
      <c r="K134" s="116">
        <f t="shared" si="72"/>
        <v>625</v>
      </c>
      <c r="L134" s="116">
        <f t="shared" si="72"/>
        <v>625</v>
      </c>
      <c r="M134" s="116">
        <f t="shared" si="72"/>
        <v>625</v>
      </c>
      <c r="N134" s="116">
        <f t="shared" si="72"/>
        <v>625</v>
      </c>
      <c r="O134" s="97">
        <f t="shared" si="47"/>
        <v>7500</v>
      </c>
      <c r="P134" s="128" t="s">
        <v>179</v>
      </c>
      <c r="Q134" s="65" t="str">
        <f t="shared" si="48"/>
        <v/>
      </c>
      <c r="R134" s="94" t="s">
        <v>183</v>
      </c>
      <c r="S134" s="95">
        <f t="shared" si="49"/>
        <v>7500</v>
      </c>
      <c r="T134" s="94"/>
      <c r="U134" s="103"/>
      <c r="V134" s="94"/>
      <c r="W134" s="103"/>
      <c r="X134" s="94"/>
      <c r="Y134" s="103"/>
      <c r="Z134" s="94"/>
      <c r="AA134" s="103"/>
      <c r="AB134" s="94"/>
      <c r="AC134" s="103"/>
    </row>
    <row r="135">
      <c r="A135" s="127"/>
      <c r="B135" s="86" t="s">
        <v>259</v>
      </c>
      <c r="C135" s="116">
        <v>2500</v>
      </c>
      <c r="D135" s="116"/>
      <c r="E135" s="116"/>
      <c r="F135" s="116">
        <v>2500</v>
      </c>
      <c r="G135" s="116"/>
      <c r="H135" s="116"/>
      <c r="I135" s="116">
        <v>2500</v>
      </c>
      <c r="J135" s="116"/>
      <c r="K135" s="116"/>
      <c r="L135" s="116">
        <v>2500</v>
      </c>
      <c r="M135" s="116"/>
      <c r="N135" s="116"/>
      <c r="O135" s="97">
        <f t="shared" si="47"/>
        <v>10000</v>
      </c>
      <c r="P135" s="128" t="s">
        <v>179</v>
      </c>
      <c r="Q135" s="65" t="str">
        <f t="shared" si="48"/>
        <v/>
      </c>
      <c r="R135" s="94" t="s">
        <v>183</v>
      </c>
      <c r="S135" s="95">
        <f t="shared" si="49"/>
        <v>10000</v>
      </c>
      <c r="T135" s="94"/>
      <c r="U135" s="96"/>
      <c r="V135" s="94"/>
      <c r="W135" s="96"/>
      <c r="X135" s="94"/>
      <c r="Y135" s="96"/>
      <c r="Z135" s="94"/>
      <c r="AA135" s="96"/>
      <c r="AB135" s="94"/>
      <c r="AC135" s="96"/>
    </row>
    <row r="136" ht="15">
      <c r="A136" s="129"/>
      <c r="B136" s="109"/>
      <c r="C136" s="120"/>
      <c r="D136" s="120"/>
      <c r="E136" s="120"/>
      <c r="F136" s="120"/>
      <c r="G136" s="120"/>
      <c r="H136" s="120"/>
      <c r="I136" s="120"/>
      <c r="J136" s="120"/>
      <c r="K136" s="120"/>
      <c r="L136" s="120"/>
      <c r="M136" s="120"/>
      <c r="N136" s="120"/>
      <c r="O136" s="111">
        <f t="shared" si="47"/>
        <v>0</v>
      </c>
      <c r="P136" s="130" t="s">
        <v>179</v>
      </c>
      <c r="Q136" s="65" t="str">
        <f t="shared" si="48"/>
        <v/>
      </c>
      <c r="R136" s="94" t="s">
        <v>183</v>
      </c>
      <c r="S136" s="95">
        <f t="shared" si="49"/>
        <v>0</v>
      </c>
      <c r="T136" s="94"/>
      <c r="U136" s="103"/>
      <c r="V136" s="94"/>
      <c r="W136" s="103"/>
      <c r="X136" s="94"/>
      <c r="Y136" s="103"/>
      <c r="Z136" s="94"/>
      <c r="AA136" s="103"/>
      <c r="AB136" s="94"/>
      <c r="AC136" s="103"/>
    </row>
    <row r="137" ht="15">
      <c r="A137" s="131" t="s">
        <v>260</v>
      </c>
      <c r="B137" s="86" t="s">
        <v>261</v>
      </c>
      <c r="C137" s="116">
        <f>0.07*SUM(C143:C145)</f>
        <v>5086.6941626199996</v>
      </c>
      <c r="D137" s="116">
        <f>0.07*SUM(D143:D145)</f>
        <v>4900.7633126200008</v>
      </c>
      <c r="E137" s="116">
        <f t="shared" ref="E137:N137" si="73">0.07*SUM(E143:E145)</f>
        <v>5047.1858966200007</v>
      </c>
      <c r="F137" s="116">
        <f t="shared" si="73"/>
        <v>5095.99342462</v>
      </c>
      <c r="G137" s="116">
        <f t="shared" si="73"/>
        <v>5480.9073386199998</v>
      </c>
      <c r="H137" s="116">
        <f t="shared" si="73"/>
        <v>4864.1576666200008</v>
      </c>
      <c r="I137" s="116">
        <f t="shared" si="73"/>
        <v>4890.2013486199994</v>
      </c>
      <c r="J137" s="116">
        <f t="shared" si="73"/>
        <v>4854.7049646200003</v>
      </c>
      <c r="K137" s="116">
        <f t="shared" si="73"/>
        <v>5919.5964846200004</v>
      </c>
      <c r="L137" s="116">
        <f t="shared" si="73"/>
        <v>5584.59936062</v>
      </c>
      <c r="M137" s="116">
        <f t="shared" si="73"/>
        <v>5631.1883646199994</v>
      </c>
      <c r="N137" s="116">
        <f t="shared" si="73"/>
        <v>5298.4097646199998</v>
      </c>
      <c r="O137" s="108">
        <f t="shared" si="47"/>
        <v>62654.402089440009</v>
      </c>
      <c r="P137" s="132" t="s">
        <v>191</v>
      </c>
      <c r="Q137" s="65" t="str">
        <f t="shared" ref="Q137:Q138" si="74">IF(ROUND(O137,0)&lt;&gt;ROUND(SUM(S137,U137,W137,Y137,AA137,AC137),0),"x","")</f>
        <v>x</v>
      </c>
      <c r="R137" s="94" t="s">
        <v>108</v>
      </c>
      <c r="S137" s="95">
        <f>$O$137*SUM(S143:S145)/SUM($O$143:$O$145)</f>
        <v>18345.547048029861</v>
      </c>
      <c r="T137" s="94" t="s">
        <v>110</v>
      </c>
      <c r="U137" s="95">
        <f>$O$137*SUM(U143:U145)/SUM($O$143:$O$145)</f>
        <v>14880.190271820902</v>
      </c>
      <c r="V137" s="94" t="s">
        <v>126</v>
      </c>
      <c r="W137" s="95">
        <f>$O$137*SUM(W143:W145)/SUM($O$143:$O$145)</f>
        <v>6790.0799694626894</v>
      </c>
      <c r="X137" s="94" t="s">
        <v>111</v>
      </c>
      <c r="Y137" s="95">
        <f>$O$137*SUM(Y143:Y145)/SUM($O$143:$O$145)</f>
        <v>8931.4785626865705</v>
      </c>
      <c r="Z137" s="94" t="s">
        <v>183</v>
      </c>
      <c r="AA137" s="95">
        <f>$O$137*SUM(AA143:AA145)/SUM($O$143:$O$145)</f>
        <v>18358.756416000007</v>
      </c>
      <c r="AB137" s="94"/>
      <c r="AC137" s="96"/>
    </row>
    <row r="138">
      <c r="A138" s="133"/>
      <c r="B138" s="86" t="s">
        <v>262</v>
      </c>
      <c r="C138" s="116">
        <f>0.02*SUM(C143:C145)</f>
        <v>1453.3411893199998</v>
      </c>
      <c r="D138" s="116">
        <f>0.02*SUM(D143:D145)</f>
        <v>1400.2180893200002</v>
      </c>
      <c r="E138" s="116">
        <f t="shared" ref="E138:N138" si="75">0.02*SUM(E143:E145)</f>
        <v>1442.0531133200002</v>
      </c>
      <c r="F138" s="116">
        <f t="shared" si="75"/>
        <v>1455.9981213199999</v>
      </c>
      <c r="G138" s="116">
        <f t="shared" si="75"/>
        <v>1565.9735253199999</v>
      </c>
      <c r="H138" s="116">
        <f t="shared" si="75"/>
        <v>1389.7593333200002</v>
      </c>
      <c r="I138" s="116">
        <f t="shared" si="75"/>
        <v>1397.2003853199999</v>
      </c>
      <c r="J138" s="116">
        <f t="shared" si="75"/>
        <v>1387.0585613199999</v>
      </c>
      <c r="K138" s="116">
        <f t="shared" si="75"/>
        <v>1691.31328132</v>
      </c>
      <c r="L138" s="116">
        <f t="shared" si="75"/>
        <v>1595.5998173199998</v>
      </c>
      <c r="M138" s="116">
        <f t="shared" si="75"/>
        <v>1608.9109613199998</v>
      </c>
      <c r="N138" s="116">
        <f t="shared" si="75"/>
        <v>1513.8313613199998</v>
      </c>
      <c r="O138" s="97">
        <f t="shared" si="47"/>
        <v>17901.257739840003</v>
      </c>
      <c r="P138" s="132" t="s">
        <v>191</v>
      </c>
      <c r="Q138" s="65" t="str">
        <f t="shared" si="74"/>
        <v>x</v>
      </c>
      <c r="R138" s="94" t="s">
        <v>108</v>
      </c>
      <c r="S138" s="95">
        <f>$O$138*SUM(S143:S145)/SUM($O$143:$O$145)</f>
        <v>5241.5848708656731</v>
      </c>
      <c r="T138" s="94" t="s">
        <v>110</v>
      </c>
      <c r="U138" s="95">
        <f>$O$138*SUM(U143:U145)/SUM($O$143:$O$145)</f>
        <v>4251.482934805972</v>
      </c>
      <c r="V138" s="94" t="s">
        <v>126</v>
      </c>
      <c r="W138" s="95">
        <f>$O$138*SUM(W143:W145)/SUM($O$143:$O$145)</f>
        <v>1940.0228484179113</v>
      </c>
      <c r="X138" s="94" t="s">
        <v>111</v>
      </c>
      <c r="Y138" s="95">
        <f>$O$138*SUM(Y143:Y145)/SUM($O$143:$O$145)</f>
        <v>2551.8510179104487</v>
      </c>
      <c r="Z138" s="94" t="s">
        <v>183</v>
      </c>
      <c r="AA138" s="95">
        <f>$O$138*SUM(AA143:AA145)/SUM($O$143:$O$145)</f>
        <v>5245.3589760000023</v>
      </c>
      <c r="AB138" s="94"/>
      <c r="AC138" s="96"/>
    </row>
    <row r="139">
      <c r="A139" s="133"/>
      <c r="B139" s="86" t="s">
        <v>263</v>
      </c>
      <c r="C139" s="116"/>
      <c r="D139" s="116"/>
      <c r="E139" s="116"/>
      <c r="F139" s="116"/>
      <c r="G139" s="116"/>
      <c r="H139" s="116"/>
      <c r="I139" s="116"/>
      <c r="J139" s="116"/>
      <c r="K139" s="116"/>
      <c r="L139" s="116"/>
      <c r="M139" s="116"/>
      <c r="N139" s="116"/>
      <c r="O139" s="97">
        <f t="shared" si="47"/>
        <v>0</v>
      </c>
      <c r="P139" s="128" t="s">
        <v>179</v>
      </c>
      <c r="Q139" s="65" t="str">
        <f t="shared" si="48"/>
        <v/>
      </c>
      <c r="R139" s="94" t="s">
        <v>183</v>
      </c>
      <c r="S139" s="95">
        <f t="shared" si="49"/>
        <v>0</v>
      </c>
      <c r="T139" s="94"/>
      <c r="U139" s="103"/>
      <c r="V139" s="94"/>
      <c r="W139" s="103"/>
      <c r="X139" s="94"/>
      <c r="Y139" s="103"/>
      <c r="Z139" s="94"/>
      <c r="AA139" s="103"/>
      <c r="AB139" s="94"/>
      <c r="AC139" s="103"/>
    </row>
    <row r="140">
      <c r="A140" s="133"/>
      <c r="B140" s="86"/>
      <c r="C140" s="116"/>
      <c r="D140" s="116"/>
      <c r="E140" s="116"/>
      <c r="F140" s="116"/>
      <c r="G140" s="116"/>
      <c r="H140" s="116"/>
      <c r="I140" s="116"/>
      <c r="J140" s="116"/>
      <c r="K140" s="116"/>
      <c r="L140" s="116"/>
      <c r="M140" s="116"/>
      <c r="N140" s="116"/>
      <c r="O140" s="97">
        <f t="shared" si="47"/>
        <v>0</v>
      </c>
      <c r="P140" s="128" t="s">
        <v>179</v>
      </c>
      <c r="Q140" s="65" t="str">
        <f t="shared" si="48"/>
        <v/>
      </c>
      <c r="R140" s="94" t="s">
        <v>183</v>
      </c>
      <c r="S140" s="95">
        <f t="shared" si="49"/>
        <v>0</v>
      </c>
      <c r="T140" s="94"/>
      <c r="U140" s="95"/>
      <c r="V140" s="94"/>
      <c r="W140" s="95"/>
      <c r="X140" s="94"/>
      <c r="Y140" s="95"/>
      <c r="Z140" s="94"/>
      <c r="AA140" s="95"/>
      <c r="AB140" s="94"/>
      <c r="AC140" s="95"/>
    </row>
    <row r="141">
      <c r="A141" s="133"/>
      <c r="B141" s="86"/>
      <c r="C141" s="116"/>
      <c r="D141" s="116"/>
      <c r="E141" s="116"/>
      <c r="F141" s="116"/>
      <c r="G141" s="116"/>
      <c r="H141" s="116"/>
      <c r="I141" s="116"/>
      <c r="J141" s="116"/>
      <c r="K141" s="116"/>
      <c r="L141" s="116"/>
      <c r="M141" s="116"/>
      <c r="N141" s="116"/>
      <c r="O141" s="97">
        <f t="shared" si="47"/>
        <v>0</v>
      </c>
      <c r="P141" s="128" t="s">
        <v>179</v>
      </c>
      <c r="Q141" s="65" t="str">
        <f t="shared" si="48"/>
        <v/>
      </c>
      <c r="R141" s="94" t="s">
        <v>183</v>
      </c>
      <c r="S141" s="95">
        <f t="shared" si="49"/>
        <v>0</v>
      </c>
      <c r="T141" s="94"/>
      <c r="U141" s="103"/>
      <c r="V141" s="94"/>
      <c r="W141" s="103"/>
      <c r="X141" s="94"/>
      <c r="Y141" s="103"/>
      <c r="Z141" s="94"/>
      <c r="AA141" s="103"/>
      <c r="AB141" s="94"/>
      <c r="AC141" s="103"/>
    </row>
    <row r="142" ht="15">
      <c r="A142" s="134"/>
      <c r="B142" s="109"/>
      <c r="C142" s="120"/>
      <c r="D142" s="120"/>
      <c r="E142" s="120"/>
      <c r="F142" s="120"/>
      <c r="G142" s="120"/>
      <c r="H142" s="120"/>
      <c r="I142" s="120"/>
      <c r="J142" s="120"/>
      <c r="K142" s="120"/>
      <c r="L142" s="120"/>
      <c r="M142" s="120"/>
      <c r="N142" s="120"/>
      <c r="O142" s="111">
        <f t="shared" si="47"/>
        <v>0</v>
      </c>
      <c r="P142" s="130" t="s">
        <v>179</v>
      </c>
      <c r="Q142" s="65" t="str">
        <f t="shared" si="48"/>
        <v/>
      </c>
      <c r="R142" s="94" t="s">
        <v>183</v>
      </c>
      <c r="S142" s="95">
        <f t="shared" si="49"/>
        <v>0</v>
      </c>
      <c r="T142" s="94"/>
      <c r="U142" s="103"/>
      <c r="V142" s="94"/>
      <c r="W142" s="103"/>
      <c r="X142" s="94"/>
      <c r="Y142" s="103"/>
      <c r="Z142" s="94"/>
      <c r="AA142" s="103"/>
      <c r="AB142" s="94"/>
      <c r="AC142" s="103"/>
    </row>
    <row r="143" ht="15">
      <c r="A143" s="131" t="s">
        <v>264</v>
      </c>
      <c r="B143" s="86" t="s">
        <v>265</v>
      </c>
      <c r="C143" s="116">
        <f>+SUMIFS(MOD!$K$3:$K$33,MOD!$H$3:$H$33,"Formation",MOD!$E$3:$E$33,"&gt;="&amp;'Hypotheses expl'!C3,MOD!$D$3:$D$33,"&lt;="&amp;'Hypotheses expl'!C3)+SUMIFS(MOD!$K$3:$K$33,MOD!$H$3:$H$33,"Documentation",MOD!$E$3:$E$33,"&gt;="&amp;'Hypotheses expl'!C3,MOD!$D$3:$D$33,"&lt;="&amp;'Hypotheses expl'!C3)</f>
        <v>42322.878466000002</v>
      </c>
      <c r="D143" s="116">
        <f>+SUMIFS(MOD!$K$3:$K$33,MOD!$H$3:$H$33,"Formation",MOD!$E$3:$E$33,"&gt;="&amp;'Hypotheses expl'!D3,MOD!$D$3:$D$33,"&lt;="&amp;'Hypotheses expl'!D3)+SUMIFS(MOD!$K$3:$K$33,MOD!$H$3:$H$33,"Documentation",MOD!$E$3:$E$33,"&gt;="&amp;'Hypotheses expl'!D3,MOD!$D$3:$D$33,"&lt;="&amp;'Hypotheses expl'!D3)</f>
        <v>42322.878466000002</v>
      </c>
      <c r="E143" s="116">
        <f>+SUMIFS(MOD!$K$3:$K$33,MOD!$H$3:$H$33,"Formation",MOD!$E$3:$E$33,"&gt;="&amp;'Hypotheses expl'!E3,MOD!$D$3:$D$33,"&lt;="&amp;'Hypotheses expl'!E3)+SUMIFS(MOD!$K$3:$K$33,MOD!$H$3:$H$33,"Documentation",MOD!$E$3:$E$33,"&gt;="&amp;'Hypotheses expl'!E3,MOD!$D$3:$D$33,"&lt;="&amp;'Hypotheses expl'!E3)</f>
        <v>42322.878466000002</v>
      </c>
      <c r="F143" s="116">
        <f>+SUMIFS(MOD!$K$3:$K$33,MOD!$H$3:$H$33,"Formation",MOD!$E$3:$E$33,"&gt;="&amp;'Hypotheses expl'!F3,MOD!$D$3:$D$33,"&lt;="&amp;'Hypotheses expl'!F3)+SUMIFS(MOD!$K$3:$K$33,MOD!$H$3:$H$33,"Documentation",MOD!$E$3:$E$33,"&gt;="&amp;'Hypotheses expl'!F3,MOD!$D$3:$D$33,"&lt;="&amp;'Hypotheses expl'!F3)</f>
        <v>42322.878466000002</v>
      </c>
      <c r="G143" s="116">
        <f>+SUMIFS(MOD!$K$3:$K$33,MOD!$H$3:$H$33,"Formation",MOD!$E$3:$E$33,"&gt;="&amp;'Hypotheses expl'!G3,MOD!$D$3:$D$33,"&lt;="&amp;'Hypotheses expl'!G3)+SUMIFS(MOD!$K$3:$K$33,MOD!$H$3:$H$33,"Documentation",MOD!$E$3:$E$33,"&gt;="&amp;'Hypotheses expl'!G3,MOD!$D$3:$D$33,"&lt;="&amp;'Hypotheses expl'!G3)</f>
        <v>42322.878466000002</v>
      </c>
      <c r="H143" s="116">
        <f>+SUMIFS(MOD!$K$3:$K$33,MOD!$H$3:$H$33,"Formation",MOD!$E$3:$E$33,"&gt;="&amp;'Hypotheses expl'!H3,MOD!$D$3:$D$33,"&lt;="&amp;'Hypotheses expl'!H3)+SUMIFS(MOD!$K$3:$K$33,MOD!$H$3:$H$33,"Documentation",MOD!$E$3:$E$33,"&gt;="&amp;'Hypotheses expl'!H3,MOD!$D$3:$D$33,"&lt;="&amp;'Hypotheses expl'!H3)</f>
        <v>42322.878466000002</v>
      </c>
      <c r="I143" s="116">
        <f>+SUMIFS(MOD!$K$3:$K$33,MOD!$H$3:$H$33,"Formation",MOD!$E$3:$E$33,"&gt;="&amp;'Hypotheses expl'!I3,MOD!$D$3:$D$33,"&lt;="&amp;'Hypotheses expl'!I3)+SUMIFS(MOD!$K$3:$K$33,MOD!$H$3:$H$33,"Documentation",MOD!$E$3:$E$33,"&gt;="&amp;'Hypotheses expl'!I3,MOD!$D$3:$D$33,"&lt;="&amp;'Hypotheses expl'!I3)</f>
        <v>48859.258465999999</v>
      </c>
      <c r="J143" s="116">
        <f>+SUMIFS(MOD!$K$3:$K$33,MOD!$H$3:$H$33,"Formation",MOD!$E$3:$E$33,"&gt;="&amp;'Hypotheses expl'!J3,MOD!$D$3:$D$33,"&lt;="&amp;'Hypotheses expl'!J3)+SUMIFS(MOD!$K$3:$K$33,MOD!$H$3:$H$33,"Documentation",MOD!$E$3:$E$33,"&gt;="&amp;'Hypotheses expl'!J3,MOD!$D$3:$D$33,"&lt;="&amp;'Hypotheses expl'!J3)</f>
        <v>48859.258465999999</v>
      </c>
      <c r="K143" s="116">
        <f>+SUMIFS(MOD!$K$3:$K$33,MOD!$H$3:$H$33,"Formation",MOD!$E$3:$E$33,"&gt;="&amp;'Hypotheses expl'!K3,MOD!$D$3:$D$33,"&lt;="&amp;'Hypotheses expl'!K3)+SUMIFS(MOD!$K$3:$K$33,MOD!$H$3:$H$33,"Documentation",MOD!$E$3:$E$33,"&gt;="&amp;'Hypotheses expl'!K3,MOD!$D$3:$D$33,"&lt;="&amp;'Hypotheses expl'!K3)</f>
        <v>48859.258465999999</v>
      </c>
      <c r="L143" s="116">
        <f>+SUMIFS(MOD!$K$3:$K$33,MOD!$H$3:$H$33,"Formation",MOD!$E$3:$E$33,"&gt;="&amp;'Hypotheses expl'!L3,MOD!$D$3:$D$33,"&lt;="&amp;'Hypotheses expl'!L3)+SUMIFS(MOD!$K$3:$K$33,MOD!$H$3:$H$33,"Documentation",MOD!$E$3:$E$33,"&gt;="&amp;'Hypotheses expl'!L3,MOD!$D$3:$D$33,"&lt;="&amp;'Hypotheses expl'!L3)</f>
        <v>48859.258465999999</v>
      </c>
      <c r="M143" s="116">
        <f>+SUMIFS(MOD!$K$3:$K$33,MOD!$H$3:$H$33,"Formation",MOD!$E$3:$E$33,"&gt;="&amp;'Hypotheses expl'!M3,MOD!$D$3:$D$33,"&lt;="&amp;'Hypotheses expl'!M3)+SUMIFS(MOD!$K$3:$K$33,MOD!$H$3:$H$33,"Documentation",MOD!$E$3:$E$33,"&gt;="&amp;'Hypotheses expl'!M3,MOD!$D$3:$D$33,"&lt;="&amp;'Hypotheses expl'!M3)</f>
        <v>48859.258465999999</v>
      </c>
      <c r="N143" s="116">
        <f>+SUMIFS(MOD!$K$3:$K$33,MOD!$H$3:$H$33,"Formation",MOD!$E$3:$E$33,"&gt;="&amp;'Hypotheses expl'!N3,MOD!$D$3:$D$33,"&lt;="&amp;'Hypotheses expl'!N3)+SUMIFS(MOD!$K$3:$K$33,MOD!$H$3:$H$33,"Documentation",MOD!$E$3:$E$33,"&gt;="&amp;'Hypotheses expl'!N3,MOD!$D$3:$D$33,"&lt;="&amp;'Hypotheses expl'!N3)</f>
        <v>48859.258465999999</v>
      </c>
      <c r="O143" s="135">
        <f t="shared" si="47"/>
        <v>547092.82159199985</v>
      </c>
      <c r="P143" s="132" t="s">
        <v>179</v>
      </c>
      <c r="Q143" s="65" t="str">
        <f>IF(ROUND(O143,0)&lt;&gt;ROUND(SUM(S143,U143,W143,Y143,AA143,AC143),0),"x","")</f>
        <v>x</v>
      </c>
      <c r="R143" s="94" t="s">
        <v>108</v>
      </c>
      <c r="S143" s="95">
        <v>184002</v>
      </c>
      <c r="T143" s="94" t="s">
        <v>110</v>
      </c>
      <c r="U143" s="95">
        <f>160694.28*1.02</f>
        <v>163908.16560000001</v>
      </c>
      <c r="V143" s="94" t="s">
        <v>126</v>
      </c>
      <c r="W143" s="95">
        <f>80996.52*1.02</f>
        <v>82616.450400000002</v>
      </c>
      <c r="X143" s="94" t="s">
        <v>111</v>
      </c>
      <c r="Y143" s="95">
        <f>112720*1.02</f>
        <v>114974.40000000001</v>
      </c>
      <c r="Z143" s="94" t="s">
        <v>183</v>
      </c>
      <c r="AA143" s="95">
        <f>22377.6*1.02</f>
        <v>22825.151999999998</v>
      </c>
      <c r="AB143" s="136"/>
      <c r="AC143" s="137"/>
    </row>
    <row r="144">
      <c r="A144" s="133"/>
      <c r="B144" s="86" t="s">
        <v>266</v>
      </c>
      <c r="C144" s="116">
        <f>+SUMIFS(MOD!$K$3:$K$33,MOD!$H$3:$H$33,"Administratif",MOD!$E$3:$E$33,"&gt;"&amp;'Hypotheses expl'!C3,MOD!$D$3:$D$33,"&lt;="&amp;'Hypotheses expl'!C3)</f>
        <v>21089.766599999999</v>
      </c>
      <c r="D144" s="116">
        <f>+SUMIFS(MOD!$K$3:$K$33,MOD!$H$3:$H$33,"Administratif",MOD!$E$3:$E$33,"&gt;"&amp;'Hypotheses expl'!D3,MOD!$D$3:$D$33,"&lt;="&amp;'Hypotheses expl'!D3)</f>
        <v>20493.669600000001</v>
      </c>
      <c r="E144" s="116">
        <f>+SUMIFS(MOD!$K$3:$K$33,MOD!$H$3:$H$33,"Administratif",MOD!$E$3:$E$33,"&gt;"&amp;'Hypotheses expl'!E3,MOD!$D$3:$D$33,"&lt;="&amp;'Hypotheses expl'!E3)</f>
        <v>20493.669600000001</v>
      </c>
      <c r="F144" s="116">
        <f>+SUMIFS(MOD!$K$3:$K$33,MOD!$H$3:$H$33,"Administratif",MOD!$E$3:$E$33,"&gt;"&amp;'Hypotheses expl'!F3,MOD!$D$3:$D$33,"&lt;="&amp;'Hypotheses expl'!F3)</f>
        <v>20493.669600000001</v>
      </c>
      <c r="G144" s="116">
        <f>+SUMIFS(MOD!$K$3:$K$33,MOD!$H$3:$H$33,"Administratif",MOD!$E$3:$E$33,"&gt;"&amp;'Hypotheses expl'!G3,MOD!$D$3:$D$33,"&lt;="&amp;'Hypotheses expl'!G3)</f>
        <v>20493.669600000001</v>
      </c>
      <c r="H144" s="116">
        <f>+SUMIFS(MOD!$K$3:$K$33,MOD!$H$3:$H$33,"Administratif",MOD!$E$3:$E$33,"&gt;"&amp;'Hypotheses expl'!H3,MOD!$D$3:$D$33,"&lt;="&amp;'Hypotheses expl'!H3)</f>
        <v>20493.669600000001</v>
      </c>
      <c r="I144" s="116">
        <f>+SUMIFS(MOD!$K$3:$K$33,MOD!$H$3:$H$33,"Administratif",MOD!$E$3:$E$33,"&gt;"&amp;'Hypotheses expl'!I3,MOD!$D$3:$D$33,"&lt;="&amp;'Hypotheses expl'!I3)</f>
        <v>20493.669600000001</v>
      </c>
      <c r="J144" s="116">
        <f>+SUMIFS(MOD!$K$3:$K$33,MOD!$H$3:$H$33,"Administratif",MOD!$E$3:$E$33,"&gt;"&amp;'Hypotheses expl'!J3,MOD!$D$3:$D$33,"&lt;="&amp;'Hypotheses expl'!J3)</f>
        <v>20493.669600000001</v>
      </c>
      <c r="K144" s="116">
        <f>+SUMIFS(MOD!$K$3:$K$33,MOD!$H$3:$H$33,"Administratif",MOD!$E$3:$E$33,"&gt;"&amp;'Hypotheses expl'!K3,MOD!$D$3:$D$33,"&lt;="&amp;'Hypotheses expl'!K3)</f>
        <v>20493.669600000001</v>
      </c>
      <c r="L144" s="116">
        <f>+SUMIFS(MOD!$K$3:$K$33,MOD!$H$3:$H$33,"Administratif",MOD!$E$3:$E$33,"&gt;"&amp;'Hypotheses expl'!L3,MOD!$D$3:$D$33,"&lt;="&amp;'Hypotheses expl'!L3)</f>
        <v>20493.669600000001</v>
      </c>
      <c r="M144" s="116">
        <f>+SUMIFS(MOD!$K$3:$K$33,MOD!$H$3:$H$33,"Administratif",MOD!$E$3:$E$33,"&gt;"&amp;'Hypotheses expl'!M3,MOD!$D$3:$D$33,"&lt;="&amp;'Hypotheses expl'!M3)</f>
        <v>20493.669600000001</v>
      </c>
      <c r="N144" s="116">
        <f>+SUMIFS(MOD!$K$3:$K$33,MOD!$H$3:$H$33,"Administratif",MOD!$E$3:$E$33,"&gt;"&amp;'Hypotheses expl'!N3,MOD!$D$3:$D$33,"&lt;="&amp;'Hypotheses expl'!N3)</f>
        <v>20493.669600000001</v>
      </c>
      <c r="O144" s="138">
        <f t="shared" si="47"/>
        <v>246520.13219999996</v>
      </c>
      <c r="P144" s="128" t="s">
        <v>179</v>
      </c>
      <c r="Q144" s="65" t="str">
        <f t="shared" si="48"/>
        <v>x</v>
      </c>
      <c r="R144" s="94" t="s">
        <v>108</v>
      </c>
      <c r="S144" s="95">
        <f>24836.64*1.02</f>
        <v>25333.372800000001</v>
      </c>
      <c r="T144" s="94" t="s">
        <v>110</v>
      </c>
      <c r="U144" s="95">
        <f>26434.08*1.02</f>
        <v>26962.761600000002</v>
      </c>
      <c r="V144" s="94" t="s">
        <v>126</v>
      </c>
      <c r="W144" s="95">
        <v>0</v>
      </c>
      <c r="X144" s="94" t="s">
        <v>111</v>
      </c>
      <c r="Y144" s="95">
        <v>0</v>
      </c>
      <c r="Z144" s="94" t="s">
        <v>183</v>
      </c>
      <c r="AA144" s="137">
        <f>234747.84*1.02</f>
        <v>239442.79680000001</v>
      </c>
      <c r="AB144" s="136"/>
      <c r="AC144" s="137"/>
    </row>
    <row r="145" ht="15">
      <c r="A145" s="133"/>
      <c r="B145" s="109" t="s">
        <v>267</v>
      </c>
      <c r="C145" s="120">
        <v>9254.4143999999997</v>
      </c>
      <c r="D145" s="120">
        <v>7194.3563999999997</v>
      </c>
      <c r="E145" s="120">
        <v>9286.1076000000012</v>
      </c>
      <c r="F145" s="120">
        <v>9983.3580000000002</v>
      </c>
      <c r="G145" s="120">
        <v>15482.128199999999</v>
      </c>
      <c r="H145" s="120">
        <v>6671.4186</v>
      </c>
      <c r="I145" s="120">
        <v>507.09120000000001</v>
      </c>
      <c r="J145" s="120">
        <v>0</v>
      </c>
      <c r="K145" s="120">
        <v>15212.735999999999</v>
      </c>
      <c r="L145" s="120">
        <v>10427.0628</v>
      </c>
      <c r="M145" s="120">
        <v>11092.619999999999</v>
      </c>
      <c r="N145" s="120">
        <v>6338.6399999999994</v>
      </c>
      <c r="O145" s="139">
        <f t="shared" si="47"/>
        <v>101449.9332</v>
      </c>
      <c r="P145" s="130" t="s">
        <v>179</v>
      </c>
      <c r="Q145" s="65" t="str">
        <f t="shared" si="48"/>
        <v/>
      </c>
      <c r="R145" s="94" t="s">
        <v>108</v>
      </c>
      <c r="S145" s="95">
        <f>(2.09/4.02)*O145</f>
        <v>52743.870743283587</v>
      </c>
      <c r="T145" s="94" t="s">
        <v>110</v>
      </c>
      <c r="U145" s="103">
        <f>(0.86/4.02)*O145</f>
        <v>21703.219540298509</v>
      </c>
      <c r="V145" s="94" t="s">
        <v>126</v>
      </c>
      <c r="W145" s="103">
        <f>(0.57/4.02)*O145</f>
        <v>14384.692020895522</v>
      </c>
      <c r="X145" s="94" t="s">
        <v>111</v>
      </c>
      <c r="Y145" s="103">
        <f>(0.5/4.02)*O145</f>
        <v>12618.150895522389</v>
      </c>
      <c r="Z145" s="94" t="s">
        <v>183</v>
      </c>
      <c r="AA145" s="137"/>
      <c r="AB145" s="136"/>
      <c r="AC145" s="137"/>
    </row>
    <row r="146" ht="15">
      <c r="A146" s="133"/>
      <c r="B146" s="86" t="s">
        <v>268</v>
      </c>
      <c r="C146" s="116">
        <f>MOD!$M$35*C143</f>
        <v>13107.445338258529</v>
      </c>
      <c r="D146" s="116">
        <f>MOD!$M$35*D143</f>
        <v>13107.445338258529</v>
      </c>
      <c r="E146" s="116">
        <f>MOD!$M$35*E143</f>
        <v>13107.445338258529</v>
      </c>
      <c r="F146" s="116">
        <f>MOD!$M$35*F143</f>
        <v>13107.445338258529</v>
      </c>
      <c r="G146" s="116">
        <f>MOD!$M$35*G143</f>
        <v>13107.445338258529</v>
      </c>
      <c r="H146" s="116">
        <f>MOD!$M$35*H143</f>
        <v>13107.445338258529</v>
      </c>
      <c r="I146" s="116">
        <f>MOD!$M$35*I143</f>
        <v>15131.769927355494</v>
      </c>
      <c r="J146" s="116">
        <f>MOD!$M$35*J143</f>
        <v>15131.769927355494</v>
      </c>
      <c r="K146" s="116">
        <f>MOD!$M$35*K143</f>
        <v>15131.769927355494</v>
      </c>
      <c r="L146" s="116">
        <f>MOD!$M$35*L143</f>
        <v>15131.769927355494</v>
      </c>
      <c r="M146" s="116">
        <f>MOD!$M$35*M143</f>
        <v>15131.769927355494</v>
      </c>
      <c r="N146" s="116">
        <f>MOD!$M$35*N143</f>
        <v>15131.769927355494</v>
      </c>
      <c r="O146" s="135">
        <f t="shared" si="47"/>
        <v>169435.29159368412</v>
      </c>
      <c r="P146" s="132" t="s">
        <v>191</v>
      </c>
      <c r="Q146" s="65" t="str">
        <f>IF(ROUND(O146,0)&lt;&gt;ROUND(SUM(S146,U146,W146,Y146,AA146,AC146),0),"x","")</f>
        <v>x</v>
      </c>
      <c r="R146" s="94" t="s">
        <v>108</v>
      </c>
      <c r="S146" s="95">
        <f>MOD!$M$35*S143</f>
        <v>56985.636245600763</v>
      </c>
      <c r="T146" s="94" t="s">
        <v>110</v>
      </c>
      <c r="U146" s="95">
        <f>MOD!$M$35*U143</f>
        <v>50762.552051419509</v>
      </c>
      <c r="V146" s="94" t="s">
        <v>126</v>
      </c>
      <c r="W146" s="95">
        <f>MOD!$M$35*W143</f>
        <v>25586.412052027248</v>
      </c>
      <c r="X146" s="94" t="s">
        <v>111</v>
      </c>
      <c r="Y146" s="95">
        <f>MOD!$M$35*Y143</f>
        <v>35607.707176857868</v>
      </c>
      <c r="Z146" s="94" t="s">
        <v>183</v>
      </c>
      <c r="AA146" s="95">
        <f>MOD!$M$35*AA143</f>
        <v>7068.9764737478217</v>
      </c>
      <c r="AB146" s="136"/>
      <c r="AC146" s="137"/>
    </row>
    <row r="147">
      <c r="A147" s="133"/>
      <c r="B147" s="86" t="s">
        <v>269</v>
      </c>
      <c r="C147" s="116">
        <f>MOD!$M$36*C144</f>
        <v>8684.9080610502151</v>
      </c>
      <c r="D147" s="116">
        <f>MOD!$M$36*D144</f>
        <v>8439.4312979044425</v>
      </c>
      <c r="E147" s="116">
        <f>MOD!$M$36*E144</f>
        <v>8439.4312979044425</v>
      </c>
      <c r="F147" s="116">
        <f>MOD!$M$36*F144</f>
        <v>8439.4312979044425</v>
      </c>
      <c r="G147" s="116">
        <f>MOD!$M$36*G144</f>
        <v>8439.4312979044425</v>
      </c>
      <c r="H147" s="116">
        <f>MOD!$M$36*H144</f>
        <v>8439.4312979044425</v>
      </c>
      <c r="I147" s="116">
        <f>MOD!$M$36*I144</f>
        <v>8439.4312979044425</v>
      </c>
      <c r="J147" s="116">
        <f>MOD!$M$36*J144</f>
        <v>8439.4312979044425</v>
      </c>
      <c r="K147" s="116">
        <f>MOD!$M$36*K144</f>
        <v>8439.4312979044425</v>
      </c>
      <c r="L147" s="116">
        <f>MOD!$M$36*L144</f>
        <v>8439.4312979044425</v>
      </c>
      <c r="M147" s="116">
        <f>MOD!$M$36*M144</f>
        <v>8439.4312979044425</v>
      </c>
      <c r="N147" s="116">
        <f>MOD!$M$36*N144</f>
        <v>8439.4312979044425</v>
      </c>
      <c r="O147" s="138">
        <f t="shared" si="47"/>
        <v>101518.6523379991</v>
      </c>
      <c r="P147" s="132" t="s">
        <v>191</v>
      </c>
      <c r="Q147" s="65" t="str">
        <f t="shared" si="48"/>
        <v>x</v>
      </c>
      <c r="R147" s="94" t="s">
        <v>108</v>
      </c>
      <c r="S147" s="95">
        <f>MOD!$M$36*S144</f>
        <v>10432.453702181336</v>
      </c>
      <c r="T147" s="94" t="s">
        <v>110</v>
      </c>
      <c r="U147" s="95">
        <f>MOD!$M$36*U144</f>
        <v>11103.446994430711</v>
      </c>
      <c r="V147" s="94" t="s">
        <v>126</v>
      </c>
      <c r="W147" s="95">
        <f>MOD!$M$36*W144</f>
        <v>0</v>
      </c>
      <c r="X147" s="94" t="s">
        <v>111</v>
      </c>
      <c r="Y147" s="95">
        <f>MOD!$M$36*Y144</f>
        <v>0</v>
      </c>
      <c r="Z147" s="94" t="s">
        <v>183</v>
      </c>
      <c r="AA147" s="95">
        <f>MOD!$M$36*AA144</f>
        <v>98604.157908922934</v>
      </c>
      <c r="AB147" s="136"/>
      <c r="AC147" s="137"/>
    </row>
    <row r="148">
      <c r="A148" s="133"/>
      <c r="B148" s="86" t="s">
        <v>270</v>
      </c>
      <c r="C148" s="140">
        <f>C145*0.4</f>
        <v>3701.7657600000002</v>
      </c>
      <c r="D148" s="140">
        <f t="shared" ref="D148:N148" si="76">D145*0.4</f>
        <v>2877.7425600000001</v>
      </c>
      <c r="E148" s="140">
        <f t="shared" si="76"/>
        <v>3714.4430400000006</v>
      </c>
      <c r="F148" s="140">
        <f t="shared" si="76"/>
        <v>3993.3432000000003</v>
      </c>
      <c r="G148" s="140">
        <f t="shared" si="76"/>
        <v>6192.8512799999999</v>
      </c>
      <c r="H148" s="140">
        <f t="shared" si="76"/>
        <v>2668.5674400000003</v>
      </c>
      <c r="I148" s="140">
        <f t="shared" si="76"/>
        <v>202.83648000000002</v>
      </c>
      <c r="J148" s="140">
        <f t="shared" si="76"/>
        <v>0</v>
      </c>
      <c r="K148" s="140">
        <f t="shared" si="76"/>
        <v>6085.0944</v>
      </c>
      <c r="L148" s="140">
        <f t="shared" si="76"/>
        <v>4170.8251200000004</v>
      </c>
      <c r="M148" s="140">
        <f t="shared" si="76"/>
        <v>4437.0479999999998</v>
      </c>
      <c r="N148" s="140">
        <f t="shared" si="76"/>
        <v>2535.4560000000001</v>
      </c>
      <c r="O148" s="138">
        <f t="shared" si="47"/>
        <v>40579.973280000006</v>
      </c>
      <c r="P148" s="132" t="s">
        <v>191</v>
      </c>
      <c r="Q148" s="65" t="str">
        <f t="shared" si="48"/>
        <v/>
      </c>
      <c r="R148" s="94" t="s">
        <v>108</v>
      </c>
      <c r="S148" s="95">
        <f>(2.09/4.02)*O148</f>
        <v>21097.548297313435</v>
      </c>
      <c r="T148" s="94" t="s">
        <v>110</v>
      </c>
      <c r="U148" s="103">
        <f>(0.86/4.02)*O148</f>
        <v>8681.2878161194058</v>
      </c>
      <c r="V148" s="94" t="s">
        <v>111</v>
      </c>
      <c r="W148" s="103">
        <f>(0.5/4.02)*O148</f>
        <v>5047.2603582089569</v>
      </c>
      <c r="X148" s="94" t="s">
        <v>126</v>
      </c>
      <c r="Y148" s="103">
        <f>(0.57/4.02)*O148</f>
        <v>5753.876808358209</v>
      </c>
      <c r="Z148" s="136"/>
      <c r="AA148" s="141"/>
      <c r="AB148" s="136"/>
      <c r="AC148" s="137"/>
    </row>
    <row r="149">
      <c r="A149" s="133"/>
      <c r="B149" s="86" t="s">
        <v>271</v>
      </c>
      <c r="C149" s="140">
        <v>2900</v>
      </c>
      <c r="D149" s="140">
        <v>2900</v>
      </c>
      <c r="E149" s="140">
        <v>2900</v>
      </c>
      <c r="F149" s="140">
        <v>2900</v>
      </c>
      <c r="G149" s="140">
        <v>2900</v>
      </c>
      <c r="H149" s="140">
        <v>2900</v>
      </c>
      <c r="I149" s="140">
        <v>2900</v>
      </c>
      <c r="J149" s="140">
        <v>2900</v>
      </c>
      <c r="K149" s="140">
        <v>2900</v>
      </c>
      <c r="L149" s="140">
        <v>2900</v>
      </c>
      <c r="M149" s="140">
        <v>2900</v>
      </c>
      <c r="N149" s="140">
        <v>2900</v>
      </c>
      <c r="O149" s="138">
        <f t="shared" si="47"/>
        <v>34800</v>
      </c>
      <c r="P149" s="132" t="s">
        <v>191</v>
      </c>
      <c r="Q149" s="65" t="str">
        <f t="shared" si="48"/>
        <v/>
      </c>
      <c r="R149" s="94" t="s">
        <v>183</v>
      </c>
      <c r="S149" s="95">
        <f t="shared" si="49"/>
        <v>34800</v>
      </c>
      <c r="T149" s="136"/>
      <c r="U149" s="137"/>
      <c r="V149" s="136"/>
      <c r="W149" s="137"/>
      <c r="X149" s="136"/>
      <c r="Y149" s="137"/>
      <c r="Z149" s="136"/>
      <c r="AA149" s="137"/>
      <c r="AB149" s="136"/>
      <c r="AC149" s="137"/>
    </row>
    <row r="150">
      <c r="A150" s="133"/>
      <c r="B150" s="86" t="s">
        <v>272</v>
      </c>
      <c r="C150" s="140"/>
      <c r="D150" s="140"/>
      <c r="E150" s="140"/>
      <c r="F150" s="140"/>
      <c r="G150" s="140"/>
      <c r="H150" s="140"/>
      <c r="I150" s="140"/>
      <c r="J150" s="140"/>
      <c r="K150" s="140"/>
      <c r="L150" s="140"/>
      <c r="M150" s="140"/>
      <c r="N150" s="140"/>
      <c r="O150" s="138">
        <f t="shared" si="47"/>
        <v>0</v>
      </c>
      <c r="P150" s="128" t="s">
        <v>179</v>
      </c>
      <c r="Q150" s="65" t="str">
        <f t="shared" si="48"/>
        <v/>
      </c>
      <c r="R150" s="94"/>
      <c r="S150" s="95"/>
      <c r="T150" s="136"/>
      <c r="U150" s="137"/>
      <c r="V150" s="136"/>
      <c r="W150" s="137"/>
      <c r="X150" s="136"/>
      <c r="Y150" s="137"/>
      <c r="Z150" s="136"/>
      <c r="AA150" s="137"/>
      <c r="AB150" s="136"/>
      <c r="AC150" s="137"/>
    </row>
    <row r="151">
      <c r="A151" s="133"/>
      <c r="B151" s="86" t="s">
        <v>273</v>
      </c>
      <c r="C151" s="140"/>
      <c r="D151" s="140">
        <v>20559</v>
      </c>
      <c r="E151" s="140"/>
      <c r="F151" s="140"/>
      <c r="G151" s="140"/>
      <c r="H151" s="140"/>
      <c r="I151" s="140"/>
      <c r="J151" s="140"/>
      <c r="K151" s="140"/>
      <c r="L151" s="140"/>
      <c r="M151" s="140"/>
      <c r="N151" s="140"/>
      <c r="O151" s="138">
        <f t="shared" si="47"/>
        <v>20559</v>
      </c>
      <c r="P151" s="128" t="s">
        <v>191</v>
      </c>
      <c r="Q151" s="65" t="str">
        <f t="shared" si="48"/>
        <v/>
      </c>
      <c r="R151" s="94" t="s">
        <v>126</v>
      </c>
      <c r="S151" s="95">
        <f t="shared" si="49"/>
        <v>20559</v>
      </c>
      <c r="T151" s="136"/>
      <c r="U151" s="137"/>
      <c r="V151" s="136"/>
      <c r="W151" s="137"/>
      <c r="X151" s="136"/>
      <c r="Y151" s="137"/>
      <c r="Z151" s="136"/>
      <c r="AA151" s="137"/>
      <c r="AB151" s="136"/>
      <c r="AC151" s="137"/>
    </row>
    <row r="152">
      <c r="A152" s="133"/>
      <c r="B152" s="86" t="s">
        <v>274</v>
      </c>
      <c r="C152" s="140"/>
      <c r="D152" s="140"/>
      <c r="E152" s="140"/>
      <c r="F152" s="140"/>
      <c r="G152" s="140"/>
      <c r="H152" s="140"/>
      <c r="I152" s="140"/>
      <c r="J152" s="140"/>
      <c r="K152" s="140">
        <v>10800</v>
      </c>
      <c r="L152" s="140"/>
      <c r="M152" s="140"/>
      <c r="N152" s="140"/>
      <c r="O152" s="138">
        <f t="shared" si="47"/>
        <v>10800</v>
      </c>
      <c r="P152" s="128" t="s">
        <v>179</v>
      </c>
      <c r="Q152" s="65" t="str">
        <f t="shared" si="48"/>
        <v/>
      </c>
      <c r="R152" s="94" t="s">
        <v>183</v>
      </c>
      <c r="S152" s="95">
        <f t="shared" si="49"/>
        <v>10800</v>
      </c>
      <c r="T152" s="136"/>
      <c r="U152" s="137"/>
      <c r="V152" s="136"/>
      <c r="W152" s="137"/>
      <c r="X152" s="136"/>
      <c r="Y152" s="137"/>
      <c r="Z152" s="136"/>
      <c r="AA152" s="137"/>
      <c r="AB152" s="136"/>
      <c r="AC152" s="137"/>
    </row>
    <row r="153" ht="15">
      <c r="A153" s="134"/>
      <c r="B153" s="109" t="s">
        <v>275</v>
      </c>
      <c r="C153" s="142">
        <f>25200/12</f>
        <v>2100</v>
      </c>
      <c r="D153" s="142">
        <f t="shared" ref="D153:N153" si="77">25200/12</f>
        <v>2100</v>
      </c>
      <c r="E153" s="142">
        <f t="shared" si="77"/>
        <v>2100</v>
      </c>
      <c r="F153" s="142">
        <f t="shared" si="77"/>
        <v>2100</v>
      </c>
      <c r="G153" s="142">
        <f t="shared" si="77"/>
        <v>2100</v>
      </c>
      <c r="H153" s="142">
        <f t="shared" si="77"/>
        <v>2100</v>
      </c>
      <c r="I153" s="142">
        <f t="shared" si="77"/>
        <v>2100</v>
      </c>
      <c r="J153" s="142">
        <f t="shared" si="77"/>
        <v>2100</v>
      </c>
      <c r="K153" s="142">
        <f t="shared" si="77"/>
        <v>2100</v>
      </c>
      <c r="L153" s="142">
        <f t="shared" si="77"/>
        <v>2100</v>
      </c>
      <c r="M153" s="142">
        <f t="shared" si="77"/>
        <v>2100</v>
      </c>
      <c r="N153" s="142">
        <f t="shared" si="77"/>
        <v>2100</v>
      </c>
      <c r="O153" s="139">
        <f t="shared" si="47"/>
        <v>25200</v>
      </c>
      <c r="P153" s="130" t="s">
        <v>179</v>
      </c>
      <c r="Q153" s="65" t="str">
        <f t="shared" si="48"/>
        <v/>
      </c>
      <c r="R153" s="94" t="s">
        <v>183</v>
      </c>
      <c r="S153" s="95">
        <f t="shared" si="49"/>
        <v>25200</v>
      </c>
      <c r="T153" s="136"/>
      <c r="U153" s="137"/>
      <c r="V153" s="136"/>
      <c r="W153" s="137"/>
      <c r="X153" s="136"/>
      <c r="Y153" s="137"/>
      <c r="Z153" s="136"/>
      <c r="AA153" s="137"/>
      <c r="AB153" s="136"/>
      <c r="AC153" s="137"/>
    </row>
    <row r="154" ht="15">
      <c r="A154" s="125" t="s">
        <v>276</v>
      </c>
      <c r="B154" s="86" t="s">
        <v>277</v>
      </c>
      <c r="C154" s="116"/>
      <c r="D154" s="116"/>
      <c r="E154" s="116"/>
      <c r="F154" s="116"/>
      <c r="G154" s="116"/>
      <c r="H154" s="116"/>
      <c r="I154" s="116"/>
      <c r="J154" s="116"/>
      <c r="K154" s="116"/>
      <c r="L154" s="116"/>
      <c r="M154" s="116"/>
      <c r="N154" s="116">
        <v>25000</v>
      </c>
      <c r="O154" s="135">
        <f t="shared" si="47"/>
        <v>25000</v>
      </c>
      <c r="P154" s="143" t="s">
        <v>278</v>
      </c>
      <c r="Q154" s="65" t="str">
        <f t="shared" si="48"/>
        <v/>
      </c>
      <c r="R154" s="94" t="s">
        <v>183</v>
      </c>
      <c r="S154" s="95">
        <f t="shared" si="49"/>
        <v>25000</v>
      </c>
      <c r="T154" s="94"/>
      <c r="U154" s="96"/>
      <c r="V154" s="94"/>
      <c r="W154" s="96"/>
      <c r="X154" s="94"/>
      <c r="Y154" s="96"/>
      <c r="Z154" s="94"/>
      <c r="AA154" s="96"/>
      <c r="AB154" s="94"/>
      <c r="AC154" s="96"/>
    </row>
    <row r="155">
      <c r="A155" s="127"/>
      <c r="B155" s="86" t="s">
        <v>279</v>
      </c>
      <c r="C155" s="116"/>
      <c r="D155" s="116"/>
      <c r="E155" s="116"/>
      <c r="F155" s="116"/>
      <c r="G155" s="116"/>
      <c r="H155" s="116"/>
      <c r="I155" s="116"/>
      <c r="J155" s="116"/>
      <c r="K155" s="116"/>
      <c r="L155" s="116"/>
      <c r="M155" s="116"/>
      <c r="N155" s="116">
        <v>6900</v>
      </c>
      <c r="O155" s="97">
        <f t="shared" si="47"/>
        <v>6900</v>
      </c>
      <c r="P155" s="128" t="s">
        <v>179</v>
      </c>
      <c r="Q155" s="65" t="str">
        <f t="shared" si="48"/>
        <v/>
      </c>
      <c r="R155" s="94" t="s">
        <v>183</v>
      </c>
      <c r="S155" s="95">
        <f t="shared" si="49"/>
        <v>6900</v>
      </c>
      <c r="T155" s="94"/>
      <c r="U155" s="96"/>
      <c r="V155" s="94"/>
      <c r="W155" s="96"/>
      <c r="X155" s="94"/>
      <c r="Y155" s="96"/>
      <c r="Z155" s="94"/>
      <c r="AA155" s="96"/>
      <c r="AB155" s="94"/>
      <c r="AC155" s="96"/>
    </row>
    <row r="156" ht="15">
      <c r="A156" s="129"/>
      <c r="B156" s="109" t="s">
        <v>280</v>
      </c>
      <c r="C156" s="120"/>
      <c r="D156" s="120"/>
      <c r="E156" s="120"/>
      <c r="F156" s="120"/>
      <c r="G156" s="120"/>
      <c r="H156" s="120"/>
      <c r="I156" s="120"/>
      <c r="J156" s="120"/>
      <c r="K156" s="120"/>
      <c r="L156" s="120"/>
      <c r="M156" s="120"/>
      <c r="N156" s="120"/>
      <c r="O156" s="111">
        <f t="shared" si="47"/>
        <v>0</v>
      </c>
      <c r="P156" s="130" t="s">
        <v>179</v>
      </c>
      <c r="Q156" s="65" t="str">
        <f t="shared" si="48"/>
        <v/>
      </c>
      <c r="R156" s="94"/>
      <c r="S156" s="95"/>
      <c r="T156" s="94"/>
      <c r="U156" s="96"/>
      <c r="V156" s="94"/>
      <c r="W156" s="96"/>
      <c r="X156" s="94"/>
      <c r="Y156" s="96"/>
      <c r="Z156" s="94"/>
      <c r="AA156" s="96"/>
      <c r="AB156" s="94"/>
      <c r="AC156" s="96"/>
    </row>
    <row r="157" ht="15">
      <c r="A157" s="131" t="s">
        <v>281</v>
      </c>
      <c r="B157" s="86" t="s">
        <v>282</v>
      </c>
      <c r="C157" s="116">
        <f>200000*(0.06/12)</f>
        <v>1000</v>
      </c>
      <c r="D157" s="116"/>
      <c r="E157" s="116"/>
      <c r="F157" s="116"/>
      <c r="G157" s="116"/>
      <c r="H157" s="116"/>
      <c r="I157" s="116"/>
      <c r="J157" s="116"/>
      <c r="K157" s="116"/>
      <c r="L157" s="116">
        <f>200000*(0.06/12)</f>
        <v>1000</v>
      </c>
      <c r="M157" s="116">
        <f>200000*(0.06/12)</f>
        <v>1000</v>
      </c>
      <c r="N157" s="116">
        <f>200000*(0.06/12)</f>
        <v>1000</v>
      </c>
      <c r="O157" s="108">
        <f t="shared" si="47"/>
        <v>4000</v>
      </c>
      <c r="P157" s="132" t="s">
        <v>179</v>
      </c>
      <c r="Q157" s="65" t="str">
        <f t="shared" si="48"/>
        <v/>
      </c>
      <c r="R157" s="94" t="s">
        <v>183</v>
      </c>
      <c r="S157" s="95">
        <f t="shared" si="49"/>
        <v>4000</v>
      </c>
      <c r="T157" s="94"/>
      <c r="U157" s="96"/>
      <c r="V157" s="94"/>
      <c r="W157" s="96"/>
      <c r="X157" s="94"/>
      <c r="Y157" s="96"/>
      <c r="Z157" s="94"/>
      <c r="AA157" s="96"/>
      <c r="AB157" s="94"/>
      <c r="AC157" s="96"/>
    </row>
    <row r="158" ht="15">
      <c r="A158" s="134"/>
      <c r="B158" s="109"/>
      <c r="C158" s="120"/>
      <c r="D158" s="120"/>
      <c r="E158" s="120"/>
      <c r="F158" s="120"/>
      <c r="G158" s="120"/>
      <c r="H158" s="120"/>
      <c r="I158" s="120"/>
      <c r="J158" s="120"/>
      <c r="K158" s="120"/>
      <c r="L158" s="120"/>
      <c r="M158" s="120"/>
      <c r="N158" s="120"/>
      <c r="O158" s="111">
        <f t="shared" si="47"/>
        <v>0</v>
      </c>
      <c r="P158" s="130" t="s">
        <v>179</v>
      </c>
      <c r="Q158" s="65" t="str">
        <f t="shared" si="48"/>
        <v/>
      </c>
      <c r="R158" s="94"/>
      <c r="S158" s="95"/>
      <c r="T158" s="94"/>
      <c r="U158" s="96"/>
      <c r="V158" s="94"/>
      <c r="W158" s="96"/>
      <c r="X158" s="94"/>
      <c r="Y158" s="96"/>
      <c r="Z158" s="94"/>
      <c r="AA158" s="96"/>
      <c r="AB158" s="94"/>
      <c r="AC158" s="96"/>
    </row>
    <row r="159" ht="15">
      <c r="A159" s="131" t="s">
        <v>283</v>
      </c>
      <c r="B159" s="86" t="s">
        <v>284</v>
      </c>
      <c r="C159" s="116"/>
      <c r="D159" s="116"/>
      <c r="E159" s="116"/>
      <c r="F159" s="116"/>
      <c r="G159" s="116"/>
      <c r="H159" s="116"/>
      <c r="I159" s="116"/>
      <c r="J159" s="116"/>
      <c r="K159" s="116"/>
      <c r="L159" s="116"/>
      <c r="M159" s="116"/>
      <c r="N159" s="116"/>
      <c r="O159" s="108">
        <f t="shared" si="47"/>
        <v>0</v>
      </c>
      <c r="P159" s="132" t="s">
        <v>179</v>
      </c>
      <c r="Q159" s="65" t="str">
        <f t="shared" si="48"/>
        <v/>
      </c>
      <c r="R159" s="94"/>
      <c r="S159" s="95"/>
      <c r="T159" s="94"/>
      <c r="U159" s="103"/>
      <c r="V159" s="94"/>
      <c r="W159" s="103"/>
      <c r="X159" s="94"/>
      <c r="Y159" s="103"/>
      <c r="Z159" s="94"/>
      <c r="AA159" s="103"/>
      <c r="AB159" s="94"/>
      <c r="AC159" s="103"/>
    </row>
    <row r="160" ht="15">
      <c r="A160" s="134"/>
      <c r="B160" s="109" t="s">
        <v>285</v>
      </c>
      <c r="C160" s="120"/>
      <c r="D160" s="120"/>
      <c r="E160" s="120"/>
      <c r="F160" s="120"/>
      <c r="G160" s="120"/>
      <c r="H160" s="120"/>
      <c r="I160" s="120"/>
      <c r="J160" s="120"/>
      <c r="K160" s="120"/>
      <c r="L160" s="120"/>
      <c r="M160" s="120"/>
      <c r="N160" s="120"/>
      <c r="O160" s="111">
        <f t="shared" si="47"/>
        <v>0</v>
      </c>
      <c r="P160" s="130" t="s">
        <v>179</v>
      </c>
      <c r="Q160" s="65" t="str">
        <f t="shared" si="48"/>
        <v/>
      </c>
      <c r="R160" s="94"/>
      <c r="S160" s="95"/>
      <c r="T160" s="94"/>
      <c r="U160" s="96"/>
      <c r="V160" s="94"/>
      <c r="W160" s="96"/>
      <c r="X160" s="94"/>
      <c r="Y160" s="96"/>
      <c r="Z160" s="94"/>
      <c r="AA160" s="96"/>
      <c r="AB160" s="94"/>
      <c r="AC160" s="96"/>
    </row>
    <row r="161" ht="15">
      <c r="A161" s="131" t="s">
        <v>286</v>
      </c>
      <c r="B161" s="144" t="s">
        <v>287</v>
      </c>
      <c r="C161" s="116"/>
      <c r="D161" s="116"/>
      <c r="E161" s="116"/>
      <c r="F161" s="116"/>
      <c r="G161" s="116"/>
      <c r="H161" s="116"/>
      <c r="I161" s="116"/>
      <c r="J161" s="116"/>
      <c r="K161" s="116"/>
      <c r="L161" s="116"/>
      <c r="M161" s="116"/>
      <c r="N161" s="116">
        <v>33500</v>
      </c>
      <c r="O161" s="108">
        <f t="shared" si="47"/>
        <v>33500</v>
      </c>
      <c r="P161" s="145"/>
      <c r="Q161" s="65" t="str">
        <f t="shared" si="48"/>
        <v/>
      </c>
      <c r="R161" s="94" t="s">
        <v>183</v>
      </c>
      <c r="S161" s="95">
        <f t="shared" si="49"/>
        <v>33500</v>
      </c>
      <c r="T161" s="94"/>
      <c r="U161" s="103"/>
      <c r="V161" s="94"/>
      <c r="W161" s="103"/>
      <c r="X161" s="94"/>
      <c r="Y161" s="103"/>
      <c r="Z161" s="94"/>
      <c r="AA161" s="103"/>
      <c r="AB161" s="94"/>
      <c r="AC161" s="103"/>
    </row>
    <row r="162" ht="15">
      <c r="A162" s="134"/>
      <c r="B162" s="144" t="s">
        <v>288</v>
      </c>
      <c r="C162" s="116"/>
      <c r="D162" s="116"/>
      <c r="E162" s="116"/>
      <c r="F162" s="116"/>
      <c r="G162" s="116"/>
      <c r="H162" s="116"/>
      <c r="I162" s="116"/>
      <c r="J162" s="116"/>
      <c r="K162" s="116"/>
      <c r="L162" s="116"/>
      <c r="M162" s="116"/>
      <c r="N162" s="116"/>
      <c r="O162" s="97">
        <f t="shared" si="47"/>
        <v>0</v>
      </c>
      <c r="P162" s="146"/>
      <c r="Q162" s="65" t="str">
        <f t="shared" si="48"/>
        <v/>
      </c>
      <c r="R162" s="94"/>
      <c r="S162" s="95"/>
      <c r="T162" s="94"/>
      <c r="U162" s="103"/>
      <c r="V162" s="94"/>
      <c r="W162" s="103"/>
      <c r="X162" s="94"/>
      <c r="Y162" s="103"/>
      <c r="Z162" s="94"/>
      <c r="AA162" s="103"/>
      <c r="AB162" s="94"/>
      <c r="AC162" s="103"/>
    </row>
    <row r="163" ht="15.6">
      <c r="A163" s="147" t="s">
        <v>289</v>
      </c>
      <c r="B163" s="148"/>
      <c r="C163" s="149">
        <f t="shared" ref="C163:O163" si="78">SUM(C101:C162)</f>
        <v>205844.91397724874</v>
      </c>
      <c r="D163" s="149">
        <f t="shared" si="78"/>
        <v>145382.70506410298</v>
      </c>
      <c r="E163" s="149">
        <f t="shared" si="78"/>
        <v>139100.014352103</v>
      </c>
      <c r="F163" s="149">
        <f t="shared" si="78"/>
        <v>199797.11744810294</v>
      </c>
      <c r="G163" s="149">
        <f t="shared" si="78"/>
        <v>145983.13504610298</v>
      </c>
      <c r="H163" s="149">
        <f t="shared" si="78"/>
        <v>126938.377742103</v>
      </c>
      <c r="I163" s="149">
        <f t="shared" si="78"/>
        <v>187689.55870519992</v>
      </c>
      <c r="J163" s="149">
        <f t="shared" si="78"/>
        <v>118009.39281719994</v>
      </c>
      <c r="K163" s="149">
        <f t="shared" si="78"/>
        <v>175959.36945719994</v>
      </c>
      <c r="L163" s="149">
        <f t="shared" si="78"/>
        <v>155990.61638919992</v>
      </c>
      <c r="M163" s="149">
        <f t="shared" si="78"/>
        <v>198482.39661719991</v>
      </c>
      <c r="N163" s="149">
        <f t="shared" si="78"/>
        <v>197848.96641719993</v>
      </c>
      <c r="O163" s="149">
        <f t="shared" si="78"/>
        <v>1997026.564032963</v>
      </c>
      <c r="P163" s="150"/>
      <c r="Q163" s="151"/>
    </row>
    <row r="164" ht="15.6"/>
    <row r="165" ht="15.6">
      <c r="A165" s="147" t="s">
        <v>290</v>
      </c>
      <c r="B165" s="148"/>
      <c r="C165" s="149">
        <f>C10+C14+C18+C22+C26+C30+C34+C38+C42+C46+C50+C54+C58+C62+C66+SUM(C70:C89)+SUM(C93:C97)</f>
        <v>1331.1916666666666</v>
      </c>
      <c r="D165" s="149">
        <f t="shared" ref="D165:O165" si="79">D10+D14+D18+D22+D26+D30+D34+D38+D42+D46+D50+D54+D58+D62+D66+SUM(D70:D89)+SUM(D93:D97)</f>
        <v>1479696.1916666667</v>
      </c>
      <c r="E165" s="149">
        <f t="shared" si="79"/>
        <v>1331.1916666666666</v>
      </c>
      <c r="F165" s="149">
        <f t="shared" si="79"/>
        <v>666.66666666666663</v>
      </c>
      <c r="G165" s="149">
        <f t="shared" si="79"/>
        <v>26346.666666666668</v>
      </c>
      <c r="H165" s="149">
        <f t="shared" si="79"/>
        <v>51134.666666666664</v>
      </c>
      <c r="I165" s="149">
        <f t="shared" si="79"/>
        <v>81666.666666666672</v>
      </c>
      <c r="J165" s="149">
        <f t="shared" si="79"/>
        <v>666.66666666666663</v>
      </c>
      <c r="K165" s="149">
        <f t="shared" si="79"/>
        <v>113076.66666666667</v>
      </c>
      <c r="L165" s="149">
        <f t="shared" si="79"/>
        <v>92415.666666666672</v>
      </c>
      <c r="M165" s="149">
        <f t="shared" si="79"/>
        <v>31296.666666666668</v>
      </c>
      <c r="N165" s="149">
        <f t="shared" si="79"/>
        <v>220393.66666666666</v>
      </c>
      <c r="O165" s="149">
        <f t="shared" si="79"/>
        <v>2060022.575</v>
      </c>
      <c r="P165" s="150"/>
      <c r="Q165" s="151"/>
    </row>
    <row r="166" ht="15.6"/>
    <row r="167" ht="15.6">
      <c r="A167" s="147" t="s">
        <v>291</v>
      </c>
      <c r="B167" s="148"/>
      <c r="C167" s="149">
        <f>C165-C163</f>
        <v>-204513.72231058206</v>
      </c>
      <c r="D167" s="149">
        <f t="shared" ref="D167:N167" si="80">D165-D163</f>
        <v>1334313.4866025636</v>
      </c>
      <c r="E167" s="149">
        <f t="shared" si="80"/>
        <v>-137768.82268543632</v>
      </c>
      <c r="F167" s="149">
        <f>F165-F163</f>
        <v>-199130.45078143629</v>
      </c>
      <c r="G167" s="149">
        <f t="shared" si="80"/>
        <v>-119636.46837943631</v>
      </c>
      <c r="H167" s="149">
        <f t="shared" si="80"/>
        <v>-75803.711075436324</v>
      </c>
      <c r="I167" s="149">
        <f>I165-I163</f>
        <v>-106022.89203853325</v>
      </c>
      <c r="J167" s="149">
        <f t="shared" si="80"/>
        <v>-117342.72615053327</v>
      </c>
      <c r="K167" s="149">
        <f t="shared" si="80"/>
        <v>-62882.702790533265</v>
      </c>
      <c r="L167" s="149">
        <f t="shared" si="80"/>
        <v>-63574.949722533245</v>
      </c>
      <c r="M167" s="149">
        <f t="shared" si="80"/>
        <v>-167185.72995053325</v>
      </c>
      <c r="N167" s="149">
        <f t="shared" si="80"/>
        <v>22544.700249466725</v>
      </c>
      <c r="O167" s="149">
        <f>O165-O163</f>
        <v>62996.010967036942</v>
      </c>
      <c r="P167" s="150"/>
      <c r="Q167" s="151"/>
    </row>
    <row r="168" ht="15"/>
    <row r="169">
      <c r="O169" s="152"/>
    </row>
  </sheetData>
  <sheetProtection algorithmName="SHA-512" hashValue="sZhlESnFJWiNaysDrRXhKUBmO8jxz1I0U2ISw+ulHTaWo1wXtYtRIposLC2q75XUwW7xsreNL2RuTpSKO/5Feg==" saltValue="Iha5aVhs9F4I0XlXjEs/aw==" spinCount="100000" autoFilter="1" deleteColumns="1" deleteRows="1" formatCells="1" formatColumns="1" formatRows="1" insertColumns="1" insertHyperlinks="1" insertRows="1" objects="1" pivotTables="1" scenarios="1" selectLockedCells="0" selectUnlockedCells="0" sheet="1" sort="1"/>
  <mergeCells count="27">
    <mergeCell ref="A2:B2"/>
    <mergeCell ref="A18:B18"/>
    <mergeCell ref="A22:B22"/>
    <mergeCell ref="A26:B26"/>
    <mergeCell ref="A30:B30"/>
    <mergeCell ref="A10:B10"/>
    <mergeCell ref="A14:B14"/>
    <mergeCell ref="C5:N5"/>
    <mergeCell ref="C68:N68"/>
    <mergeCell ref="C91:N91"/>
    <mergeCell ref="C99:N99"/>
    <mergeCell ref="A101:A136"/>
    <mergeCell ref="A34:B34"/>
    <mergeCell ref="A38:B38"/>
    <mergeCell ref="A42:B42"/>
    <mergeCell ref="A46:B46"/>
    <mergeCell ref="A50:B50"/>
    <mergeCell ref="A58:B58"/>
    <mergeCell ref="A62:B62"/>
    <mergeCell ref="A54:B54"/>
    <mergeCell ref="A66:B66"/>
    <mergeCell ref="A161:A162"/>
    <mergeCell ref="A137:A142"/>
    <mergeCell ref="A143:A153"/>
    <mergeCell ref="A154:A156"/>
    <mergeCell ref="A157:A158"/>
    <mergeCell ref="A159:A160"/>
  </mergeCells>
  <dataValidations count="1" disablePrompts="0">
    <dataValidation sqref="AB:AB Z:Z X:X V:V T2:T1048576 R:R" type="list" allowBlank="1" errorStyle="stop" imeMode="noControl" operator="between" showDropDown="0" showErrorMessage="1" showInputMessage="1">
      <formula1>BDD!$A$2:$A$6</formula1>
    </dataValidation>
  </dataValidations>
  <printOptions headings="0" gridLines="0"/>
  <pageMargins left="0.69999999999999996" right="0.69999999999999996" top="0.75" bottom="0.75" header="0.29999999999999999" footer="0.29999999999999999"/>
  <pageSetup paperSize="9" scale="100" fitToWidth="1" fitToHeight="1" pageOrder="downThenOver" orientation="portrait" usePrinterDefaults="1" blackAndWhite="0" draft="0" cellComments="none" useFirstPageNumber="0" errors="displayed" horizontalDpi="600" verticalDpi="300" copies="1"/>
  <headerFooter/>
  <drawing r:id="rId3"/>
  <legacyDrawing r:id="rId4"/>
  <extLst>
    <ext xmlns:x14="http://schemas.microsoft.com/office/spreadsheetml/2009/9/main" uri="{78C0D931-6437-407d-A8EE-F0AAD7539E65}">
      <x14:conditionalFormattings>
        <x14:conditionalFormatting xmlns:xm="http://schemas.microsoft.com/office/excel/2006/main">
          <x14:cfRule type="cellIs" priority="6" operator="equal" id="{007A00F9-002D-418D-951C-0086007100A3}">
            <xm:f>"x"</xm:f>
            <x14:dxf>
              <font>
                <color rgb="FFC00000"/>
              </font>
              <fill>
                <patternFill patternType="solid">
                  <fgColor rgb="FFC00000"/>
                  <bgColor rgb="FFC00000"/>
                </patternFill>
              </fill>
            </x14:dxf>
          </x14:cfRule>
          <xm:sqref>Q1:Q2</xm:sqref>
        </x14:conditionalFormatting>
        <x14:conditionalFormatting xmlns:xm="http://schemas.microsoft.com/office/excel/2006/main">
          <x14:cfRule type="cellIs" priority="1" operator="equal" id="{005800EC-004D-4A58-91CE-009900B300FC}">
            <xm:f>"x"</xm:f>
            <x14:dxf>
              <font>
                <color rgb="FFC00000"/>
              </font>
              <fill>
                <patternFill patternType="solid">
                  <fgColor rgb="FFC00000"/>
                  <bgColor rgb="FFC00000"/>
                </patternFill>
              </fill>
            </x14:dxf>
          </x14:cfRule>
          <xm:sqref>Q4:Q1048576</xm:sqref>
        </x14:conditionalFormatting>
      </x14:conditionalFormattings>
    </ext>
    <ext xmlns:x14="http://schemas.microsoft.com/office/spreadsheetml/2009/9/main" uri="{CCE6A557-97BC-4b89-ADB6-D9C93CAAB3DF}">
      <x14:dataValidations xmlns:xm="http://schemas.microsoft.com/office/excel/2006/main" count="1" disablePrompts="0">
        <x14:dataValidation xr:uid="{005E00DD-004C-4782-8802-00D8008D00A7}" type="list" allowBlank="1" errorStyle="stop" imeMode="noControl" operator="between" showDropDown="0" showErrorMessage="1" showInputMessage="1">
          <x14:formula1>
            <xm:f>"0j,30j,60j"</xm:f>
          </x14:formula1>
          <xm:sqref>P:P</xm:sqref>
        </x14:dataValidation>
      </x14:dataValidations>
    </ext>
  </extLst>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sheetViews>
    <sheetView topLeftCell="F3" zoomScale="70" workbookViewId="0">
      <selection activeCell="S14" activeCellId="0" sqref="S14"/>
    </sheetView>
  </sheetViews>
  <sheetFormatPr baseColWidth="10" defaultColWidth="10.6640625" defaultRowHeight="14.4"/>
  <cols>
    <col customWidth="1" min="1" max="1" style="36" width="39"/>
    <col bestFit="1" customWidth="1" min="2" max="2" style="36" width="51.33203125"/>
    <col customWidth="1" min="3" max="3" style="36" width="17.44140625"/>
    <col customWidth="1" min="4" max="4" style="36" width="31.44140625"/>
    <col bestFit="1" customWidth="1" min="5" max="5" style="36" width="16.6640625"/>
    <col bestFit="1" customWidth="1" min="6" max="6" style="36" width="17.109375"/>
    <col customWidth="1" min="7" max="7" style="36" width="19.5546875"/>
    <col customWidth="1" min="8" max="8" style="36" width="19.6640625"/>
    <col customWidth="1" min="9" max="9" style="36" width="17.5546875"/>
    <col customWidth="1" min="10" max="10" style="36" width="16.88671875"/>
    <col customWidth="1" min="11" max="11" style="36" width="25"/>
    <col bestFit="1" customWidth="1" min="12" max="12" style="36" width="16.6640625"/>
    <col bestFit="1" customWidth="1" min="13" max="13" style="36" width="16.33203125"/>
    <col customWidth="1" min="14" max="14" style="36" width="19.5546875"/>
    <col customWidth="1" min="15" max="15" style="63" width="19.6640625"/>
    <col customWidth="1" min="16" max="16" style="64" width="9.6640625"/>
    <col customWidth="1" min="17" max="17" style="65" width="6.44140625"/>
    <col bestFit="1" customWidth="1" min="18" max="18" style="66" width="20"/>
    <col bestFit="1" customWidth="1" min="19" max="19" style="67" width="13.88671875"/>
    <col bestFit="1" customWidth="1" min="20" max="20" style="66" width="20"/>
    <col customWidth="1" min="21" max="21" style="67" width="17.33203125"/>
    <col bestFit="1" customWidth="1" min="22" max="22" style="66" width="20"/>
    <col customWidth="1" min="23" max="23" style="67" width="16.109375"/>
    <col bestFit="1" customWidth="1" min="24" max="24" style="66" width="20"/>
    <col bestFit="1" customWidth="1" min="25" max="25" style="67" width="13.109375"/>
    <col bestFit="1" customWidth="1" min="26" max="26" style="66" width="20"/>
    <col customWidth="1" min="27" max="27" style="67" width="16.44140625"/>
    <col bestFit="1" customWidth="1" min="28" max="28" style="66" width="20"/>
    <col min="29" max="29" style="67" width="10.6640625"/>
    <col min="30" max="16384" style="36" width="10.6640625"/>
  </cols>
  <sheetData>
    <row r="1" ht="21">
      <c r="A1" s="68" t="s">
        <v>161</v>
      </c>
      <c r="B1" s="69">
        <v>45658</v>
      </c>
      <c r="Q1" s="65" t="s">
        <v>162</v>
      </c>
      <c r="R1" s="70" t="s">
        <v>163</v>
      </c>
      <c r="S1" s="71" t="s">
        <v>164</v>
      </c>
      <c r="T1" s="70" t="s">
        <v>165</v>
      </c>
      <c r="U1" s="71" t="s">
        <v>164</v>
      </c>
      <c r="V1" s="70" t="s">
        <v>166</v>
      </c>
      <c r="W1" s="71" t="s">
        <v>164</v>
      </c>
      <c r="X1" s="70" t="s">
        <v>167</v>
      </c>
      <c r="Y1" s="71" t="s">
        <v>164</v>
      </c>
      <c r="Z1" s="70" t="s">
        <v>168</v>
      </c>
      <c r="AA1" s="71" t="s">
        <v>164</v>
      </c>
      <c r="AB1" s="70" t="s">
        <v>169</v>
      </c>
      <c r="AC1" s="71" t="s">
        <v>164</v>
      </c>
    </row>
    <row r="2" ht="21">
      <c r="A2" s="72" t="s">
        <v>170</v>
      </c>
      <c r="B2" s="72"/>
    </row>
    <row r="3" ht="28.800000000000001">
      <c r="C3" s="73">
        <f>B1</f>
        <v>45658</v>
      </c>
      <c r="D3" s="74">
        <f>DATE(YEAR(C3),MONTH(C3)+1,DAY(C3))</f>
        <v>45689</v>
      </c>
      <c r="E3" s="74">
        <f t="shared" ref="E3:N3" si="81">DATE(YEAR(D3),MONTH(D3)+1,DAY(D3))</f>
        <v>45717</v>
      </c>
      <c r="F3" s="74">
        <f t="shared" si="81"/>
        <v>45748</v>
      </c>
      <c r="G3" s="74">
        <f t="shared" si="81"/>
        <v>45778</v>
      </c>
      <c r="H3" s="74">
        <f t="shared" si="81"/>
        <v>45809</v>
      </c>
      <c r="I3" s="74">
        <f t="shared" si="81"/>
        <v>45839</v>
      </c>
      <c r="J3" s="74">
        <f t="shared" si="81"/>
        <v>45870</v>
      </c>
      <c r="K3" s="74">
        <f t="shared" si="81"/>
        <v>45901</v>
      </c>
      <c r="L3" s="74">
        <f t="shared" si="81"/>
        <v>45931</v>
      </c>
      <c r="M3" s="74">
        <f t="shared" si="81"/>
        <v>45962</v>
      </c>
      <c r="N3" s="74">
        <f t="shared" si="81"/>
        <v>45992</v>
      </c>
      <c r="O3" s="75" t="s">
        <v>171</v>
      </c>
      <c r="P3" s="76" t="s">
        <v>172</v>
      </c>
      <c r="Q3" s="77" t="s">
        <v>173</v>
      </c>
    </row>
    <row r="4" ht="18">
      <c r="C4" s="78"/>
      <c r="D4" s="78"/>
      <c r="E4" s="78"/>
      <c r="F4" s="78"/>
      <c r="G4" s="78"/>
      <c r="H4" s="78"/>
      <c r="I4" s="78"/>
      <c r="J4" s="78"/>
      <c r="K4" s="78"/>
      <c r="L4" s="78"/>
      <c r="M4" s="78"/>
      <c r="N4" s="78"/>
      <c r="O4" s="79"/>
    </row>
    <row r="5" ht="18">
      <c r="C5" s="80" t="s">
        <v>174</v>
      </c>
      <c r="D5" s="80"/>
      <c r="E5" s="80"/>
      <c r="F5" s="80"/>
      <c r="G5" s="80"/>
      <c r="H5" s="80"/>
      <c r="I5" s="80"/>
      <c r="J5" s="80"/>
      <c r="K5" s="80"/>
      <c r="L5" s="80"/>
      <c r="M5" s="80"/>
      <c r="N5" s="80"/>
    </row>
    <row r="6" ht="18.600000000000001">
      <c r="A6" s="81" t="s">
        <v>175</v>
      </c>
      <c r="B6" s="82"/>
      <c r="C6" s="83">
        <f>C3</f>
        <v>45658</v>
      </c>
      <c r="D6" s="83">
        <f t="shared" ref="D6:N6" si="82">D3</f>
        <v>45689</v>
      </c>
      <c r="E6" s="83">
        <f t="shared" si="82"/>
        <v>45717</v>
      </c>
      <c r="F6" s="83">
        <f t="shared" si="82"/>
        <v>45748</v>
      </c>
      <c r="G6" s="83">
        <f t="shared" si="82"/>
        <v>45778</v>
      </c>
      <c r="H6" s="83">
        <f t="shared" si="82"/>
        <v>45809</v>
      </c>
      <c r="I6" s="83">
        <f t="shared" si="82"/>
        <v>45839</v>
      </c>
      <c r="J6" s="83">
        <f t="shared" si="82"/>
        <v>45870</v>
      </c>
      <c r="K6" s="83">
        <f t="shared" si="82"/>
        <v>45901</v>
      </c>
      <c r="L6" s="83">
        <f t="shared" si="82"/>
        <v>45931</v>
      </c>
      <c r="M6" s="83">
        <f t="shared" si="82"/>
        <v>45962</v>
      </c>
      <c r="N6" s="83">
        <f t="shared" si="82"/>
        <v>45992</v>
      </c>
      <c r="O6" s="84" t="s">
        <v>171</v>
      </c>
      <c r="P6" s="85"/>
    </row>
    <row r="7" ht="15">
      <c r="A7" s="86" t="s">
        <v>176</v>
      </c>
    </row>
    <row r="8">
      <c r="A8" s="87" t="s">
        <v>177</v>
      </c>
      <c r="B8" s="87" t="s">
        <v>178</v>
      </c>
    </row>
    <row r="9" ht="15">
      <c r="A9" s="88">
        <v>1</v>
      </c>
      <c r="B9" s="88">
        <v>1</v>
      </c>
      <c r="C9" s="89"/>
      <c r="D9" s="89"/>
      <c r="E9" s="89"/>
      <c r="F9" s="89"/>
      <c r="G9" s="89"/>
      <c r="H9" s="89"/>
      <c r="I9" s="89"/>
      <c r="J9" s="89"/>
      <c r="K9" s="89">
        <f>146300*0.7</f>
        <v>102410</v>
      </c>
      <c r="L9" s="89">
        <f>146300*0.2</f>
        <v>29260</v>
      </c>
      <c r="M9" s="89">
        <f>146300*0.1</f>
        <v>14630</v>
      </c>
      <c r="N9" s="89"/>
      <c r="O9" s="90">
        <f>SUM(C9:N9)-40000</f>
        <v>106300</v>
      </c>
    </row>
    <row r="10" ht="15.6">
      <c r="A10" s="91"/>
      <c r="B10" s="91"/>
      <c r="C10" s="92">
        <f>$A$9*C9</f>
        <v>0</v>
      </c>
      <c r="D10" s="92">
        <f t="shared" ref="D10:N10" si="83">$A$9*D9</f>
        <v>0</v>
      </c>
      <c r="E10" s="92">
        <f t="shared" si="83"/>
        <v>0</v>
      </c>
      <c r="F10" s="92">
        <f t="shared" si="83"/>
        <v>0</v>
      </c>
      <c r="G10" s="92">
        <f t="shared" si="83"/>
        <v>0</v>
      </c>
      <c r="H10" s="92">
        <f t="shared" si="83"/>
        <v>0</v>
      </c>
      <c r="I10" s="92">
        <f t="shared" si="83"/>
        <v>0</v>
      </c>
      <c r="J10" s="92">
        <f t="shared" si="83"/>
        <v>0</v>
      </c>
      <c r="K10" s="92">
        <f t="shared" si="83"/>
        <v>102410</v>
      </c>
      <c r="L10" s="92">
        <f t="shared" si="83"/>
        <v>29260</v>
      </c>
      <c r="M10" s="92">
        <f t="shared" si="83"/>
        <v>14630</v>
      </c>
      <c r="N10" s="92">
        <f t="shared" si="83"/>
        <v>0</v>
      </c>
      <c r="O10" s="92">
        <f>SUM(C10:N10)-40000</f>
        <v>106300</v>
      </c>
      <c r="P10" s="93" t="s">
        <v>179</v>
      </c>
      <c r="Q10" s="65" t="str">
        <f>IF(ROUND(O10,0)&lt;&gt;ROUND(SUM(S10,U10,W10,Y10,AA10,AC10),0),"x","")</f>
        <v/>
      </c>
      <c r="R10" s="94" t="s">
        <v>108</v>
      </c>
      <c r="S10" s="95">
        <f>42*(190*3)+42*(410*3)-20669</f>
        <v>54931</v>
      </c>
      <c r="T10" s="94" t="s">
        <v>110</v>
      </c>
      <c r="U10" s="95">
        <f>100*(190*2)-10390</f>
        <v>27610</v>
      </c>
      <c r="V10" s="94" t="s">
        <v>126</v>
      </c>
      <c r="W10" s="95">
        <f>15*(190*2)+15*(190*3)+15*(410*3)-8941</f>
        <v>23759</v>
      </c>
      <c r="X10" s="94"/>
      <c r="Y10" s="96"/>
      <c r="Z10" s="94"/>
      <c r="AA10" s="96"/>
      <c r="AB10" s="94"/>
      <c r="AC10" s="96"/>
    </row>
    <row r="11" ht="15">
      <c r="A11" s="86" t="s">
        <v>180</v>
      </c>
    </row>
    <row r="12">
      <c r="A12" s="87" t="s">
        <v>177</v>
      </c>
      <c r="B12" s="87" t="s">
        <v>178</v>
      </c>
    </row>
    <row r="13" ht="15">
      <c r="A13" s="88">
        <v>1</v>
      </c>
      <c r="B13" s="88"/>
      <c r="C13" s="89"/>
      <c r="D13" s="89"/>
      <c r="E13" s="89"/>
      <c r="F13" s="89"/>
      <c r="G13" s="89"/>
      <c r="H13" s="89">
        <v>25680</v>
      </c>
      <c r="I13" s="89"/>
      <c r="J13" s="89"/>
      <c r="K13" s="89"/>
      <c r="L13" s="89"/>
      <c r="M13" s="89"/>
      <c r="N13" s="89"/>
      <c r="O13" s="97">
        <f t="shared" ref="O13:O21" si="84">SUM(C13:N13)</f>
        <v>25680</v>
      </c>
    </row>
    <row r="14" ht="15.6">
      <c r="A14" s="91"/>
      <c r="B14" s="91"/>
      <c r="C14" s="92">
        <f t="shared" ref="C14:N14" si="85">+$A$13*C13</f>
        <v>0</v>
      </c>
      <c r="D14" s="92">
        <f t="shared" si="85"/>
        <v>0</v>
      </c>
      <c r="E14" s="92">
        <f t="shared" si="85"/>
        <v>0</v>
      </c>
      <c r="F14" s="92">
        <f t="shared" si="85"/>
        <v>0</v>
      </c>
      <c r="G14" s="92">
        <f t="shared" si="85"/>
        <v>0</v>
      </c>
      <c r="H14" s="92">
        <f t="shared" si="85"/>
        <v>25680</v>
      </c>
      <c r="I14" s="92">
        <f t="shared" si="85"/>
        <v>0</v>
      </c>
      <c r="J14" s="92">
        <f t="shared" si="85"/>
        <v>0</v>
      </c>
      <c r="K14" s="92">
        <f t="shared" si="85"/>
        <v>0</v>
      </c>
      <c r="L14" s="92">
        <f t="shared" si="85"/>
        <v>0</v>
      </c>
      <c r="M14" s="92">
        <f t="shared" si="85"/>
        <v>0</v>
      </c>
      <c r="N14" s="92">
        <f t="shared" si="85"/>
        <v>0</v>
      </c>
      <c r="O14" s="92">
        <f t="shared" si="84"/>
        <v>25680</v>
      </c>
      <c r="P14" s="93" t="s">
        <v>179</v>
      </c>
      <c r="Q14" s="65" t="str">
        <f>IF(O14&lt;&gt;SUM(S14,U14,W14,Y14,AA14,AC14),"x","")</f>
        <v/>
      </c>
      <c r="R14" s="94" t="s">
        <v>108</v>
      </c>
      <c r="S14" s="95">
        <f>42*(80)/0.4</f>
        <v>8400</v>
      </c>
      <c r="T14" s="94" t="s">
        <v>110</v>
      </c>
      <c r="U14" s="95">
        <v>10380</v>
      </c>
      <c r="V14" s="94" t="s">
        <v>126</v>
      </c>
      <c r="W14" s="95">
        <f>(15*(80)+15*0.4*(60+80)+15*0.6*(80))/0.4</f>
        <v>6900</v>
      </c>
      <c r="X14" s="94"/>
      <c r="Y14" s="96"/>
      <c r="Z14" s="94"/>
      <c r="AA14" s="96"/>
      <c r="AB14" s="94"/>
      <c r="AC14" s="96"/>
    </row>
    <row r="15" ht="15">
      <c r="A15" s="86" t="s">
        <v>292</v>
      </c>
    </row>
    <row r="16">
      <c r="A16" s="87" t="s">
        <v>177</v>
      </c>
      <c r="B16" s="87" t="s">
        <v>178</v>
      </c>
      <c r="T16" s="66" t="s">
        <v>108</v>
      </c>
      <c r="U16" s="95"/>
    </row>
    <row r="17" ht="15">
      <c r="A17" s="88">
        <v>1</v>
      </c>
      <c r="B17" s="88">
        <v>1</v>
      </c>
      <c r="C17" s="89"/>
      <c r="D17" s="89"/>
      <c r="E17" s="89"/>
      <c r="F17" s="89"/>
      <c r="G17" s="89"/>
      <c r="H17" s="89"/>
      <c r="I17" s="89"/>
      <c r="J17" s="89"/>
      <c r="K17" s="89"/>
      <c r="L17" s="89">
        <v>19500</v>
      </c>
      <c r="M17" s="89"/>
      <c r="N17" s="89">
        <f>218021-L17</f>
        <v>198521</v>
      </c>
      <c r="O17" s="97">
        <f t="shared" si="84"/>
        <v>218021</v>
      </c>
    </row>
    <row r="18" ht="15.6">
      <c r="A18" s="91"/>
      <c r="B18" s="91"/>
      <c r="C18" s="92">
        <f t="shared" ref="C18:N18" si="86">+$A$17*C17</f>
        <v>0</v>
      </c>
      <c r="D18" s="92">
        <f t="shared" si="86"/>
        <v>0</v>
      </c>
      <c r="E18" s="92">
        <f t="shared" si="86"/>
        <v>0</v>
      </c>
      <c r="F18" s="92">
        <f t="shared" si="86"/>
        <v>0</v>
      </c>
      <c r="G18" s="92">
        <f t="shared" si="86"/>
        <v>0</v>
      </c>
      <c r="H18" s="92">
        <f t="shared" si="86"/>
        <v>0</v>
      </c>
      <c r="I18" s="92">
        <f t="shared" si="86"/>
        <v>0</v>
      </c>
      <c r="J18" s="92">
        <f t="shared" si="86"/>
        <v>0</v>
      </c>
      <c r="K18" s="92">
        <f t="shared" si="86"/>
        <v>0</v>
      </c>
      <c r="L18" s="92">
        <f t="shared" si="86"/>
        <v>19500</v>
      </c>
      <c r="M18" s="92">
        <f t="shared" si="86"/>
        <v>0</v>
      </c>
      <c r="N18" s="92">
        <f t="shared" si="86"/>
        <v>198521</v>
      </c>
      <c r="O18" s="92">
        <f t="shared" si="84"/>
        <v>218021</v>
      </c>
      <c r="P18" s="93" t="s">
        <v>179</v>
      </c>
      <c r="Q18" s="65" t="str">
        <f>IF(O18&lt;&gt;SUM(S18,U18,W18,Y18,AA18,AC18),"x","")</f>
        <v/>
      </c>
      <c r="R18" s="94" t="s">
        <v>111</v>
      </c>
      <c r="S18" s="95">
        <f>O18</f>
        <v>218021</v>
      </c>
      <c r="T18" s="94"/>
      <c r="U18" s="96"/>
      <c r="V18" s="94"/>
      <c r="W18" s="96"/>
      <c r="X18" s="94"/>
      <c r="Y18" s="96"/>
      <c r="Z18" s="94"/>
      <c r="AA18" s="96"/>
      <c r="AB18" s="94"/>
      <c r="AC18" s="96"/>
    </row>
    <row r="19" ht="15">
      <c r="A19" s="86" t="s">
        <v>293</v>
      </c>
    </row>
    <row r="20">
      <c r="A20" s="87" t="s">
        <v>177</v>
      </c>
      <c r="B20" s="87" t="s">
        <v>178</v>
      </c>
    </row>
    <row r="21" ht="15">
      <c r="A21" s="88"/>
      <c r="B21" s="88"/>
      <c r="C21" s="89"/>
      <c r="D21" s="89"/>
      <c r="E21" s="89"/>
      <c r="F21" s="89"/>
      <c r="G21" s="89"/>
      <c r="H21" s="89">
        <v>40750</v>
      </c>
      <c r="I21" s="89"/>
      <c r="J21" s="89"/>
      <c r="K21" s="89"/>
      <c r="L21" s="89"/>
      <c r="M21" s="89"/>
      <c r="N21" s="89">
        <v>40750</v>
      </c>
      <c r="O21" s="97">
        <f t="shared" si="84"/>
        <v>81500</v>
      </c>
    </row>
    <row r="22" ht="15.6">
      <c r="A22" s="91"/>
      <c r="B22" s="91"/>
      <c r="C22" s="92">
        <f t="shared" ref="C22:M22" si="87">$A$21*C21</f>
        <v>0</v>
      </c>
      <c r="D22" s="92">
        <f t="shared" si="87"/>
        <v>0</v>
      </c>
      <c r="E22" s="92">
        <f t="shared" si="87"/>
        <v>0</v>
      </c>
      <c r="F22" s="92">
        <f t="shared" si="87"/>
        <v>0</v>
      </c>
      <c r="G22" s="92">
        <f t="shared" si="87"/>
        <v>0</v>
      </c>
      <c r="H22" s="92">
        <f t="shared" si="87"/>
        <v>0</v>
      </c>
      <c r="I22" s="92">
        <f t="shared" si="87"/>
        <v>0</v>
      </c>
      <c r="J22" s="92">
        <f t="shared" si="87"/>
        <v>0</v>
      </c>
      <c r="K22" s="92">
        <f t="shared" si="87"/>
        <v>0</v>
      </c>
      <c r="L22" s="92">
        <f t="shared" si="87"/>
        <v>0</v>
      </c>
      <c r="M22" s="92">
        <f t="shared" si="87"/>
        <v>0</v>
      </c>
      <c r="N22" s="92">
        <f>+N21</f>
        <v>40750</v>
      </c>
      <c r="O22" s="92">
        <f>+O21</f>
        <v>81500</v>
      </c>
      <c r="P22" s="93" t="s">
        <v>179</v>
      </c>
      <c r="Q22" s="65" t="str">
        <f>IF(O22&lt;&gt;SUM(S22,U22,W22,Y22,AA22,AC22),"x","")</f>
        <v/>
      </c>
      <c r="R22" s="94" t="s">
        <v>111</v>
      </c>
      <c r="S22" s="95">
        <f>O22</f>
        <v>81500</v>
      </c>
      <c r="T22" s="94"/>
      <c r="U22" s="96"/>
      <c r="V22" s="94"/>
      <c r="W22" s="96"/>
      <c r="X22" s="94"/>
      <c r="Y22" s="96"/>
      <c r="Z22" s="94"/>
      <c r="AA22" s="96"/>
      <c r="AB22" s="94"/>
      <c r="AC22" s="96"/>
    </row>
    <row r="23" ht="15">
      <c r="A23" s="86" t="s">
        <v>184</v>
      </c>
    </row>
    <row r="24">
      <c r="A24" s="87" t="s">
        <v>177</v>
      </c>
      <c r="B24" s="87" t="s">
        <v>178</v>
      </c>
    </row>
    <row r="25" ht="15">
      <c r="A25" s="88">
        <v>1</v>
      </c>
      <c r="B25" s="88">
        <v>1</v>
      </c>
      <c r="C25" s="89"/>
      <c r="D25" s="89">
        <v>15000</v>
      </c>
      <c r="E25" s="89"/>
      <c r="F25" s="89"/>
      <c r="G25" s="89"/>
      <c r="H25" s="89">
        <v>15000</v>
      </c>
      <c r="I25" s="89"/>
      <c r="J25" s="89"/>
      <c r="K25" s="89"/>
      <c r="L25" s="89">
        <v>15000</v>
      </c>
      <c r="M25" s="89"/>
      <c r="N25" s="89">
        <v>60000</v>
      </c>
      <c r="O25" s="97">
        <f t="shared" ref="O25:O33" si="88">SUM(C25:N25)</f>
        <v>105000</v>
      </c>
    </row>
    <row r="26" ht="15.6">
      <c r="A26" s="91"/>
      <c r="B26" s="91"/>
      <c r="C26" s="92">
        <f>C25*$A$25</f>
        <v>0</v>
      </c>
      <c r="D26" s="92">
        <f t="shared" ref="D26:N26" si="89">D25*$A$25</f>
        <v>15000</v>
      </c>
      <c r="E26" s="92">
        <f t="shared" si="89"/>
        <v>0</v>
      </c>
      <c r="F26" s="92">
        <f t="shared" si="89"/>
        <v>0</v>
      </c>
      <c r="G26" s="92">
        <f t="shared" si="89"/>
        <v>0</v>
      </c>
      <c r="H26" s="92">
        <f t="shared" si="89"/>
        <v>15000</v>
      </c>
      <c r="I26" s="92">
        <f t="shared" si="89"/>
        <v>0</v>
      </c>
      <c r="J26" s="92">
        <f t="shared" si="89"/>
        <v>0</v>
      </c>
      <c r="K26" s="92">
        <f t="shared" si="89"/>
        <v>0</v>
      </c>
      <c r="L26" s="92">
        <f t="shared" si="89"/>
        <v>15000</v>
      </c>
      <c r="M26" s="92">
        <f t="shared" si="89"/>
        <v>0</v>
      </c>
      <c r="N26" s="92">
        <f t="shared" si="89"/>
        <v>60000</v>
      </c>
      <c r="O26" s="92">
        <f t="shared" si="88"/>
        <v>105000</v>
      </c>
      <c r="P26" s="93" t="s">
        <v>179</v>
      </c>
      <c r="Q26" s="65" t="str">
        <f>IF(O26&lt;&gt;SUM(S26,U26,W26,Y26,AA26,AC26),"x","")</f>
        <v/>
      </c>
      <c r="R26" s="94" t="s">
        <v>111</v>
      </c>
      <c r="S26" s="95">
        <f>O26</f>
        <v>105000</v>
      </c>
      <c r="T26" s="94"/>
      <c r="U26" s="96"/>
      <c r="V26" s="94"/>
      <c r="W26" s="96"/>
      <c r="X26" s="94"/>
      <c r="Y26" s="96"/>
      <c r="Z26" s="94"/>
      <c r="AA26" s="96"/>
      <c r="AB26" s="94"/>
      <c r="AC26" s="96"/>
    </row>
    <row r="27" ht="15">
      <c r="A27" s="86" t="s">
        <v>185</v>
      </c>
    </row>
    <row r="28">
      <c r="A28" s="87" t="s">
        <v>177</v>
      </c>
      <c r="B28" s="87" t="s">
        <v>178</v>
      </c>
    </row>
    <row r="29" ht="15">
      <c r="A29" s="88">
        <v>1</v>
      </c>
      <c r="B29" s="88">
        <v>1</v>
      </c>
      <c r="C29" s="89"/>
      <c r="D29" s="89"/>
      <c r="E29" s="89"/>
      <c r="F29" s="89"/>
      <c r="G29" s="89"/>
      <c r="H29" s="89"/>
      <c r="I29" s="89"/>
      <c r="J29" s="89"/>
      <c r="K29" s="89"/>
      <c r="L29" s="89"/>
      <c r="M29" s="89"/>
      <c r="N29" s="89">
        <v>38864</v>
      </c>
      <c r="O29" s="97">
        <f t="shared" si="88"/>
        <v>38864</v>
      </c>
    </row>
    <row r="30" ht="15.6">
      <c r="A30" s="91"/>
      <c r="B30" s="91"/>
      <c r="C30" s="92">
        <f>+C29*$A$29</f>
        <v>0</v>
      </c>
      <c r="D30" s="92">
        <f t="shared" ref="D30:N30" si="90">+D29*$A$29</f>
        <v>0</v>
      </c>
      <c r="E30" s="92">
        <f t="shared" si="90"/>
        <v>0</v>
      </c>
      <c r="F30" s="92">
        <f t="shared" si="90"/>
        <v>0</v>
      </c>
      <c r="G30" s="92">
        <f t="shared" si="90"/>
        <v>0</v>
      </c>
      <c r="H30" s="92">
        <f t="shared" si="90"/>
        <v>0</v>
      </c>
      <c r="I30" s="92">
        <f t="shared" si="90"/>
        <v>0</v>
      </c>
      <c r="J30" s="92">
        <f t="shared" si="90"/>
        <v>0</v>
      </c>
      <c r="K30" s="92">
        <f t="shared" si="90"/>
        <v>0</v>
      </c>
      <c r="L30" s="92">
        <f t="shared" si="90"/>
        <v>0</v>
      </c>
      <c r="M30" s="92">
        <f t="shared" si="90"/>
        <v>0</v>
      </c>
      <c r="N30" s="92">
        <f t="shared" si="90"/>
        <v>38864</v>
      </c>
      <c r="O30" s="92">
        <f t="shared" si="88"/>
        <v>38864</v>
      </c>
      <c r="P30" s="93" t="s">
        <v>179</v>
      </c>
      <c r="Q30" s="65" t="str">
        <f>IF(O30&lt;&gt;SUM(S30,U30,W30,Y30,AA30,AC30),"x","")</f>
        <v/>
      </c>
      <c r="R30" s="94" t="s">
        <v>111</v>
      </c>
      <c r="S30" s="95">
        <f>O30</f>
        <v>38864</v>
      </c>
      <c r="T30" s="94"/>
      <c r="U30" s="96"/>
      <c r="V30" s="94"/>
      <c r="W30" s="96"/>
      <c r="X30" s="94"/>
      <c r="Y30" s="96"/>
      <c r="Z30" s="94"/>
      <c r="AA30" s="96"/>
      <c r="AB30" s="94"/>
      <c r="AC30" s="96"/>
    </row>
    <row r="31" ht="15">
      <c r="A31" s="86" t="s">
        <v>186</v>
      </c>
    </row>
    <row r="32">
      <c r="A32" s="87" t="s">
        <v>177</v>
      </c>
      <c r="B32" s="87" t="s">
        <v>178</v>
      </c>
    </row>
    <row r="33" ht="15">
      <c r="A33" s="88"/>
      <c r="B33" s="88"/>
      <c r="C33" s="89"/>
      <c r="D33" s="89"/>
      <c r="E33" s="89"/>
      <c r="F33" s="89"/>
      <c r="G33" s="89"/>
      <c r="H33" s="89"/>
      <c r="I33" s="89"/>
      <c r="J33" s="89"/>
      <c r="K33" s="89"/>
      <c r="L33" s="89"/>
      <c r="M33" s="89"/>
      <c r="N33" s="89"/>
      <c r="O33" s="97">
        <f t="shared" si="88"/>
        <v>0</v>
      </c>
    </row>
    <row r="34" ht="15.6">
      <c r="A34" s="91"/>
      <c r="B34" s="91"/>
      <c r="C34" s="92">
        <f>$A$33*C33</f>
        <v>0</v>
      </c>
      <c r="D34" s="92">
        <f t="shared" ref="D34:O34" si="91">$A$33*D33</f>
        <v>0</v>
      </c>
      <c r="E34" s="92">
        <f t="shared" si="91"/>
        <v>0</v>
      </c>
      <c r="F34" s="92">
        <f t="shared" si="91"/>
        <v>0</v>
      </c>
      <c r="G34" s="92">
        <f t="shared" si="91"/>
        <v>0</v>
      </c>
      <c r="H34" s="92">
        <f t="shared" si="91"/>
        <v>0</v>
      </c>
      <c r="I34" s="92">
        <f t="shared" si="91"/>
        <v>0</v>
      </c>
      <c r="J34" s="92">
        <f t="shared" si="91"/>
        <v>0</v>
      </c>
      <c r="K34" s="92">
        <f t="shared" si="91"/>
        <v>0</v>
      </c>
      <c r="L34" s="92">
        <f t="shared" si="91"/>
        <v>0</v>
      </c>
      <c r="M34" s="92">
        <f t="shared" si="91"/>
        <v>0</v>
      </c>
      <c r="N34" s="92">
        <f t="shared" si="91"/>
        <v>0</v>
      </c>
      <c r="O34" s="92">
        <f t="shared" si="91"/>
        <v>0</v>
      </c>
      <c r="P34" s="93" t="s">
        <v>179</v>
      </c>
      <c r="Q34" s="65" t="str">
        <f>IF(O34&lt;&gt;SUM(S34,U34,W34,Y34,AA34,AC34),"x","")</f>
        <v/>
      </c>
      <c r="R34" s="94" t="s">
        <v>183</v>
      </c>
      <c r="S34" s="95">
        <f>O34</f>
        <v>0</v>
      </c>
      <c r="T34" s="94"/>
      <c r="U34" s="96"/>
      <c r="V34" s="94"/>
      <c r="W34" s="96"/>
      <c r="X34" s="94"/>
      <c r="Y34" s="96"/>
      <c r="Z34" s="94"/>
      <c r="AA34" s="96"/>
      <c r="AB34" s="94"/>
      <c r="AC34" s="96"/>
    </row>
    <row r="35" ht="15">
      <c r="A35" s="86" t="s">
        <v>187</v>
      </c>
    </row>
    <row r="36">
      <c r="A36" s="87" t="s">
        <v>177</v>
      </c>
      <c r="B36" s="87" t="s">
        <v>178</v>
      </c>
    </row>
    <row r="37" ht="15">
      <c r="A37" s="88">
        <v>1</v>
      </c>
      <c r="B37" s="88">
        <v>1</v>
      </c>
      <c r="C37" s="89"/>
      <c r="D37" s="89"/>
      <c r="E37" s="89"/>
      <c r="F37" s="89"/>
      <c r="G37" s="89"/>
      <c r="H37" s="89"/>
      <c r="I37" s="89"/>
      <c r="J37" s="89"/>
      <c r="K37" s="89"/>
      <c r="L37" s="89"/>
      <c r="M37" s="89"/>
      <c r="N37" s="89">
        <v>0</v>
      </c>
      <c r="O37" s="97">
        <f>SUM(C37:N37)</f>
        <v>0</v>
      </c>
    </row>
    <row r="38" ht="15.6">
      <c r="A38" s="91"/>
      <c r="B38" s="91"/>
      <c r="C38" s="92">
        <f>+$A$37*C37</f>
        <v>0</v>
      </c>
      <c r="D38" s="92">
        <f t="shared" ref="D38:N38" si="92">+$A$37*D37</f>
        <v>0</v>
      </c>
      <c r="E38" s="92">
        <f t="shared" si="92"/>
        <v>0</v>
      </c>
      <c r="F38" s="92">
        <f t="shared" si="92"/>
        <v>0</v>
      </c>
      <c r="G38" s="92">
        <f t="shared" si="92"/>
        <v>0</v>
      </c>
      <c r="H38" s="92">
        <f t="shared" si="92"/>
        <v>0</v>
      </c>
      <c r="I38" s="92">
        <f t="shared" si="92"/>
        <v>0</v>
      </c>
      <c r="J38" s="92">
        <f t="shared" si="92"/>
        <v>0</v>
      </c>
      <c r="K38" s="92">
        <f t="shared" si="92"/>
        <v>0</v>
      </c>
      <c r="L38" s="92">
        <f t="shared" si="92"/>
        <v>0</v>
      </c>
      <c r="M38" s="92">
        <f t="shared" si="92"/>
        <v>0</v>
      </c>
      <c r="N38" s="92">
        <f t="shared" si="92"/>
        <v>0</v>
      </c>
      <c r="O38" s="92">
        <f>+$A$37*O37</f>
        <v>0</v>
      </c>
      <c r="P38" s="93" t="s">
        <v>179</v>
      </c>
      <c r="Q38" s="65" t="str">
        <f>IF(O38&lt;&gt;SUM(S38,U38,W38,Y38,AA38,AC38),"x","")</f>
        <v/>
      </c>
      <c r="R38" s="94" t="s">
        <v>111</v>
      </c>
      <c r="S38" s="95">
        <f>O38</f>
        <v>0</v>
      </c>
      <c r="T38" s="94"/>
      <c r="U38" s="96"/>
      <c r="V38" s="94"/>
      <c r="W38" s="96"/>
      <c r="X38" s="94"/>
      <c r="Y38" s="96"/>
      <c r="Z38" s="94"/>
      <c r="AA38" s="96"/>
      <c r="AB38" s="94"/>
      <c r="AC38" s="96"/>
    </row>
    <row r="39" ht="15">
      <c r="A39" s="86" t="s">
        <v>188</v>
      </c>
    </row>
    <row r="40">
      <c r="A40" s="87" t="s">
        <v>177</v>
      </c>
      <c r="B40" s="87" t="s">
        <v>178</v>
      </c>
    </row>
    <row r="41" ht="15">
      <c r="A41" s="88"/>
      <c r="B41" s="88"/>
      <c r="C41" s="89"/>
      <c r="D41" s="89"/>
      <c r="E41" s="89"/>
      <c r="F41" s="89"/>
      <c r="G41" s="89"/>
      <c r="H41" s="89"/>
      <c r="I41" s="89"/>
      <c r="J41" s="89"/>
      <c r="K41" s="89"/>
      <c r="L41" s="89"/>
      <c r="M41" s="89"/>
      <c r="N41" s="89"/>
      <c r="O41" s="97">
        <f>SUM(C41:N41)</f>
        <v>0</v>
      </c>
    </row>
    <row r="42" ht="15.6">
      <c r="A42" s="91"/>
      <c r="B42" s="91"/>
      <c r="C42" s="92">
        <f>+$A$41*C41</f>
        <v>0</v>
      </c>
      <c r="D42" s="92">
        <f t="shared" ref="D42:O42" si="93">+$A$41*D41</f>
        <v>0</v>
      </c>
      <c r="E42" s="92">
        <f t="shared" si="93"/>
        <v>0</v>
      </c>
      <c r="F42" s="92">
        <f t="shared" si="93"/>
        <v>0</v>
      </c>
      <c r="G42" s="92">
        <f t="shared" si="93"/>
        <v>0</v>
      </c>
      <c r="H42" s="92">
        <f t="shared" si="93"/>
        <v>0</v>
      </c>
      <c r="I42" s="92">
        <f t="shared" si="93"/>
        <v>0</v>
      </c>
      <c r="J42" s="92">
        <f t="shared" si="93"/>
        <v>0</v>
      </c>
      <c r="K42" s="92">
        <f t="shared" si="93"/>
        <v>0</v>
      </c>
      <c r="L42" s="92">
        <f t="shared" si="93"/>
        <v>0</v>
      </c>
      <c r="M42" s="92">
        <f t="shared" si="93"/>
        <v>0</v>
      </c>
      <c r="N42" s="92">
        <f t="shared" si="93"/>
        <v>0</v>
      </c>
      <c r="O42" s="92">
        <f t="shared" si="93"/>
        <v>0</v>
      </c>
      <c r="P42" s="93" t="s">
        <v>179</v>
      </c>
      <c r="Q42" s="65" t="str">
        <f>IF(O42&lt;&gt;SUM(S42,U42,W42,Y42,AA42,AC42),"x","")</f>
        <v/>
      </c>
      <c r="R42" s="94" t="s">
        <v>183</v>
      </c>
      <c r="S42" s="95">
        <f>O42</f>
        <v>0</v>
      </c>
      <c r="T42" s="94"/>
      <c r="U42" s="96"/>
      <c r="V42" s="94"/>
      <c r="W42" s="96"/>
      <c r="X42" s="94"/>
      <c r="Y42" s="96"/>
      <c r="Z42" s="94"/>
      <c r="AA42" s="96"/>
      <c r="AB42" s="94"/>
      <c r="AC42" s="96"/>
    </row>
    <row r="43" ht="15">
      <c r="A43" s="86" t="s">
        <v>189</v>
      </c>
    </row>
    <row r="44">
      <c r="A44" s="87" t="s">
        <v>177</v>
      </c>
      <c r="B44" s="87" t="s">
        <v>178</v>
      </c>
    </row>
    <row r="45" ht="15">
      <c r="A45" s="88"/>
      <c r="B45" s="88"/>
      <c r="C45" s="89"/>
      <c r="D45" s="89"/>
      <c r="E45" s="89"/>
      <c r="F45" s="89"/>
      <c r="G45" s="89"/>
      <c r="H45" s="89"/>
      <c r="I45" s="89"/>
      <c r="J45" s="89"/>
      <c r="K45" s="89"/>
      <c r="L45" s="89"/>
      <c r="M45" s="89"/>
      <c r="N45" s="89"/>
      <c r="O45" s="97">
        <f>SUM(C45:N45)</f>
        <v>0</v>
      </c>
    </row>
    <row r="46" ht="15.6">
      <c r="A46" s="91"/>
      <c r="B46" s="91"/>
      <c r="C46" s="92">
        <f>$A$45*C45</f>
        <v>0</v>
      </c>
      <c r="D46" s="92">
        <f t="shared" ref="D46:O46" si="94">$A$45*D45</f>
        <v>0</v>
      </c>
      <c r="E46" s="92">
        <f t="shared" si="94"/>
        <v>0</v>
      </c>
      <c r="F46" s="92">
        <f t="shared" si="94"/>
        <v>0</v>
      </c>
      <c r="G46" s="92">
        <f t="shared" si="94"/>
        <v>0</v>
      </c>
      <c r="H46" s="92">
        <f t="shared" si="94"/>
        <v>0</v>
      </c>
      <c r="I46" s="92">
        <f t="shared" si="94"/>
        <v>0</v>
      </c>
      <c r="J46" s="92">
        <f t="shared" si="94"/>
        <v>0</v>
      </c>
      <c r="K46" s="92">
        <f t="shared" si="94"/>
        <v>0</v>
      </c>
      <c r="L46" s="92">
        <f t="shared" si="94"/>
        <v>0</v>
      </c>
      <c r="M46" s="92">
        <f t="shared" si="94"/>
        <v>0</v>
      </c>
      <c r="N46" s="92">
        <f t="shared" si="94"/>
        <v>0</v>
      </c>
      <c r="O46" s="92">
        <f t="shared" si="94"/>
        <v>0</v>
      </c>
      <c r="P46" s="93" t="s">
        <v>179</v>
      </c>
      <c r="Q46" s="65" t="str">
        <f>IF(O46&lt;&gt;SUM(S46,U46,W46,Y46,AA46,AC46),"x","")</f>
        <v/>
      </c>
      <c r="R46" s="94" t="s">
        <v>183</v>
      </c>
      <c r="S46" s="95">
        <f>O46</f>
        <v>0</v>
      </c>
      <c r="T46" s="94"/>
      <c r="U46" s="96"/>
      <c r="V46" s="94"/>
      <c r="W46" s="96"/>
      <c r="X46" s="94"/>
      <c r="Y46" s="96"/>
      <c r="Z46" s="94"/>
      <c r="AA46" s="96"/>
      <c r="AB46" s="94"/>
      <c r="AC46" s="96"/>
    </row>
    <row r="47" ht="15">
      <c r="A47" s="86" t="s">
        <v>190</v>
      </c>
    </row>
    <row r="48">
      <c r="A48" s="87" t="s">
        <v>177</v>
      </c>
      <c r="B48" s="87" t="s">
        <v>178</v>
      </c>
    </row>
    <row r="49" ht="15">
      <c r="A49" s="88">
        <v>1</v>
      </c>
      <c r="B49" s="88">
        <v>1</v>
      </c>
      <c r="C49" s="89"/>
      <c r="D49" s="89"/>
      <c r="E49" s="89"/>
      <c r="F49" s="89"/>
      <c r="G49" s="89">
        <v>10000</v>
      </c>
      <c r="H49" s="89">
        <v>11000</v>
      </c>
      <c r="I49" s="89"/>
      <c r="J49" s="89"/>
      <c r="K49" s="89"/>
      <c r="L49" s="89"/>
      <c r="M49" s="89">
        <v>11000</v>
      </c>
      <c r="N49" s="89"/>
      <c r="O49" s="97">
        <f>SUM(C49:N49)</f>
        <v>32000</v>
      </c>
    </row>
    <row r="50" ht="15.6">
      <c r="A50" s="91"/>
      <c r="B50" s="91"/>
      <c r="C50" s="92">
        <f>C49*$A$49</f>
        <v>0</v>
      </c>
      <c r="D50" s="92">
        <f t="shared" ref="D50:O50" si="95">D49*$A$49</f>
        <v>0</v>
      </c>
      <c r="E50" s="92">
        <f t="shared" si="95"/>
        <v>0</v>
      </c>
      <c r="F50" s="92">
        <f t="shared" si="95"/>
        <v>0</v>
      </c>
      <c r="G50" s="92">
        <f t="shared" si="95"/>
        <v>10000</v>
      </c>
      <c r="H50" s="92">
        <f t="shared" si="95"/>
        <v>11000</v>
      </c>
      <c r="I50" s="92">
        <f t="shared" si="95"/>
        <v>0</v>
      </c>
      <c r="J50" s="92">
        <f t="shared" si="95"/>
        <v>0</v>
      </c>
      <c r="K50" s="92">
        <f t="shared" si="95"/>
        <v>0</v>
      </c>
      <c r="L50" s="92">
        <f t="shared" si="95"/>
        <v>0</v>
      </c>
      <c r="M50" s="92">
        <f t="shared" si="95"/>
        <v>11000</v>
      </c>
      <c r="N50" s="92">
        <f t="shared" si="95"/>
        <v>0</v>
      </c>
      <c r="O50" s="92">
        <f t="shared" si="95"/>
        <v>32000</v>
      </c>
      <c r="P50" s="93" t="s">
        <v>191</v>
      </c>
      <c r="Q50" s="65" t="str">
        <f>IF(O50&lt;&gt;SUM(S50,U50,W50,Y50,AA50,AC50),"x","")</f>
        <v/>
      </c>
      <c r="R50" s="94" t="s">
        <v>126</v>
      </c>
      <c r="S50" s="95">
        <v>22000</v>
      </c>
      <c r="T50" s="94" t="s">
        <v>183</v>
      </c>
      <c r="U50" s="96">
        <v>10000</v>
      </c>
      <c r="V50" s="94"/>
      <c r="W50" s="96"/>
      <c r="X50" s="94"/>
      <c r="Y50" s="96"/>
      <c r="Z50" s="94"/>
      <c r="AA50" s="96"/>
      <c r="AB50" s="94"/>
      <c r="AC50" s="96"/>
    </row>
    <row r="51" ht="15">
      <c r="A51" s="86" t="s">
        <v>192</v>
      </c>
    </row>
    <row r="52">
      <c r="A52" s="87" t="s">
        <v>177</v>
      </c>
      <c r="B52" s="87" t="s">
        <v>178</v>
      </c>
    </row>
    <row r="53" ht="15">
      <c r="A53" s="88"/>
      <c r="B53" s="88"/>
      <c r="C53" s="89"/>
      <c r="D53" s="89"/>
      <c r="E53" s="89"/>
      <c r="F53" s="89"/>
      <c r="G53" s="89"/>
      <c r="H53" s="89"/>
      <c r="I53" s="89"/>
      <c r="J53" s="89"/>
      <c r="K53" s="89"/>
      <c r="L53" s="89"/>
      <c r="M53" s="89"/>
      <c r="N53" s="89"/>
      <c r="O53" s="97">
        <f>SUM(C53:N53)</f>
        <v>0</v>
      </c>
    </row>
    <row r="54" ht="15.6">
      <c r="A54" s="91"/>
      <c r="B54" s="91"/>
      <c r="C54" s="92">
        <f>C53*$A$53</f>
        <v>0</v>
      </c>
      <c r="D54" s="92">
        <f t="shared" ref="D54:O54" si="96">D53*$A$53</f>
        <v>0</v>
      </c>
      <c r="E54" s="92">
        <f t="shared" si="96"/>
        <v>0</v>
      </c>
      <c r="F54" s="92">
        <f t="shared" si="96"/>
        <v>0</v>
      </c>
      <c r="G54" s="92">
        <f t="shared" si="96"/>
        <v>0</v>
      </c>
      <c r="H54" s="92">
        <f t="shared" si="96"/>
        <v>0</v>
      </c>
      <c r="I54" s="92">
        <f t="shared" si="96"/>
        <v>0</v>
      </c>
      <c r="J54" s="92">
        <f t="shared" si="96"/>
        <v>0</v>
      </c>
      <c r="K54" s="92">
        <f t="shared" si="96"/>
        <v>0</v>
      </c>
      <c r="L54" s="92">
        <f t="shared" si="96"/>
        <v>0</v>
      </c>
      <c r="M54" s="92">
        <f t="shared" si="96"/>
        <v>0</v>
      </c>
      <c r="N54" s="92">
        <f t="shared" si="96"/>
        <v>0</v>
      </c>
      <c r="O54" s="92">
        <f t="shared" si="96"/>
        <v>0</v>
      </c>
      <c r="P54" s="93" t="s">
        <v>179</v>
      </c>
      <c r="Q54" s="65" t="str">
        <f>IF(O54&lt;&gt;SUM(S54,U54,W54,Y54,AA54,AC54),"x","")</f>
        <v/>
      </c>
      <c r="R54" s="94"/>
      <c r="S54" s="95"/>
      <c r="T54" s="94"/>
      <c r="U54" s="96"/>
      <c r="V54" s="94"/>
      <c r="W54" s="96"/>
      <c r="X54" s="94"/>
      <c r="Y54" s="96"/>
      <c r="Z54" s="94"/>
      <c r="AA54" s="96"/>
      <c r="AB54" s="94"/>
      <c r="AC54" s="96"/>
    </row>
    <row r="55" ht="15">
      <c r="A55" s="86" t="s">
        <v>193</v>
      </c>
    </row>
    <row r="56">
      <c r="A56" s="87" t="s">
        <v>177</v>
      </c>
      <c r="B56" s="87" t="s">
        <v>178</v>
      </c>
    </row>
    <row r="57" ht="15">
      <c r="A57" s="88"/>
      <c r="B57" s="88"/>
      <c r="C57" s="89"/>
      <c r="D57" s="89"/>
      <c r="E57" s="89"/>
      <c r="F57" s="89"/>
      <c r="G57" s="89"/>
      <c r="H57" s="89"/>
      <c r="I57" s="89"/>
      <c r="J57" s="89"/>
      <c r="K57" s="89"/>
      <c r="L57" s="89"/>
      <c r="M57" s="89"/>
      <c r="N57" s="89"/>
      <c r="O57" s="97">
        <f t="shared" ref="O57:O61" si="97">SUM(C57:N57)</f>
        <v>0</v>
      </c>
    </row>
    <row r="58" ht="15.6">
      <c r="A58" s="91"/>
      <c r="B58" s="91"/>
      <c r="C58" s="92">
        <f>$A$57*C57</f>
        <v>0</v>
      </c>
      <c r="D58" s="92">
        <f t="shared" ref="D58:N58" si="98">$A$57*D57</f>
        <v>0</v>
      </c>
      <c r="E58" s="92">
        <f t="shared" si="98"/>
        <v>0</v>
      </c>
      <c r="F58" s="92">
        <f t="shared" si="98"/>
        <v>0</v>
      </c>
      <c r="G58" s="92">
        <f t="shared" si="98"/>
        <v>0</v>
      </c>
      <c r="H58" s="92">
        <f t="shared" si="98"/>
        <v>0</v>
      </c>
      <c r="I58" s="92">
        <f t="shared" si="98"/>
        <v>0</v>
      </c>
      <c r="J58" s="92">
        <f t="shared" si="98"/>
        <v>0</v>
      </c>
      <c r="K58" s="92">
        <f t="shared" si="98"/>
        <v>0</v>
      </c>
      <c r="L58" s="92">
        <f t="shared" si="98"/>
        <v>0</v>
      </c>
      <c r="M58" s="92">
        <f t="shared" si="98"/>
        <v>0</v>
      </c>
      <c r="N58" s="92">
        <f t="shared" si="98"/>
        <v>0</v>
      </c>
      <c r="O58" s="92">
        <f t="shared" si="97"/>
        <v>0</v>
      </c>
      <c r="P58" s="93" t="s">
        <v>179</v>
      </c>
      <c r="Q58" s="65" t="str">
        <f>IF(O58&lt;&gt;SUM(S58,U58,W58,Y58,AA58,AC58),"x","")</f>
        <v/>
      </c>
      <c r="R58" s="94"/>
      <c r="S58" s="95"/>
      <c r="T58" s="94"/>
      <c r="U58" s="96"/>
      <c r="V58" s="94"/>
      <c r="W58" s="96"/>
      <c r="X58" s="94"/>
      <c r="Y58" s="96"/>
      <c r="Z58" s="94"/>
      <c r="AA58" s="96"/>
      <c r="AB58" s="94"/>
      <c r="AC58" s="96"/>
    </row>
    <row r="59" ht="15">
      <c r="A59" s="86" t="s">
        <v>194</v>
      </c>
    </row>
    <row r="60">
      <c r="A60" s="87" t="s">
        <v>177</v>
      </c>
      <c r="B60" s="87" t="s">
        <v>178</v>
      </c>
    </row>
    <row r="61" ht="15">
      <c r="A61" s="88"/>
      <c r="B61" s="88"/>
      <c r="C61" s="89"/>
      <c r="D61" s="89"/>
      <c r="E61" s="89"/>
      <c r="F61" s="89"/>
      <c r="G61" s="89"/>
      <c r="H61" s="89"/>
      <c r="I61" s="89"/>
      <c r="J61" s="89"/>
      <c r="K61" s="89"/>
      <c r="L61" s="89"/>
      <c r="M61" s="89"/>
      <c r="N61" s="89"/>
      <c r="O61" s="97">
        <f t="shared" si="97"/>
        <v>0</v>
      </c>
    </row>
    <row r="62" ht="15.6">
      <c r="A62" s="91"/>
      <c r="B62" s="91"/>
      <c r="C62" s="92">
        <f>+$A$61*C61</f>
        <v>0</v>
      </c>
      <c r="D62" s="92">
        <f t="shared" ref="D62:O62" si="99">+$A$61*D61</f>
        <v>0</v>
      </c>
      <c r="E62" s="92">
        <f t="shared" si="99"/>
        <v>0</v>
      </c>
      <c r="F62" s="92">
        <f t="shared" si="99"/>
        <v>0</v>
      </c>
      <c r="G62" s="92">
        <f t="shared" si="99"/>
        <v>0</v>
      </c>
      <c r="H62" s="92">
        <f t="shared" si="99"/>
        <v>0</v>
      </c>
      <c r="I62" s="92">
        <f t="shared" si="99"/>
        <v>0</v>
      </c>
      <c r="J62" s="92">
        <f t="shared" si="99"/>
        <v>0</v>
      </c>
      <c r="K62" s="92">
        <f t="shared" si="99"/>
        <v>0</v>
      </c>
      <c r="L62" s="92">
        <f t="shared" si="99"/>
        <v>0</v>
      </c>
      <c r="M62" s="92">
        <f t="shared" si="99"/>
        <v>0</v>
      </c>
      <c r="N62" s="92">
        <f t="shared" si="99"/>
        <v>0</v>
      </c>
      <c r="O62" s="92">
        <f t="shared" si="99"/>
        <v>0</v>
      </c>
      <c r="P62" s="93" t="s">
        <v>179</v>
      </c>
      <c r="Q62" s="65" t="str">
        <f>IF(O62&lt;&gt;SUM(S62,U62,W62,Y62,AA62,AC62),"x","")</f>
        <v/>
      </c>
      <c r="R62" s="94"/>
      <c r="S62" s="95"/>
      <c r="T62" s="94"/>
      <c r="U62" s="96"/>
      <c r="V62" s="94"/>
      <c r="W62" s="96"/>
      <c r="X62" s="94"/>
      <c r="Y62" s="96"/>
      <c r="Z62" s="94"/>
      <c r="AA62" s="96"/>
      <c r="AB62" s="94"/>
      <c r="AC62" s="96"/>
    </row>
    <row r="63" ht="15">
      <c r="A63" s="86" t="s">
        <v>195</v>
      </c>
    </row>
    <row r="64">
      <c r="A64" s="87" t="s">
        <v>177</v>
      </c>
      <c r="B64" s="87" t="s">
        <v>178</v>
      </c>
    </row>
    <row r="65" ht="15">
      <c r="A65" s="88"/>
      <c r="B65" s="88"/>
      <c r="C65" s="89"/>
      <c r="D65" s="89"/>
      <c r="E65" s="89"/>
      <c r="F65" s="89"/>
      <c r="G65" s="89"/>
      <c r="H65" s="89"/>
      <c r="I65" s="89"/>
      <c r="J65" s="89"/>
      <c r="K65" s="89"/>
      <c r="L65" s="89"/>
      <c r="M65" s="89"/>
      <c r="N65" s="89"/>
      <c r="O65" s="97">
        <f>SUM(C65:N65)</f>
        <v>0</v>
      </c>
    </row>
    <row r="66" ht="15.6">
      <c r="A66" s="91"/>
      <c r="B66" s="91"/>
      <c r="C66" s="92">
        <f>+$A$65*C65</f>
        <v>0</v>
      </c>
      <c r="D66" s="92">
        <f t="shared" ref="D66:O66" si="100">+$A$65*D65</f>
        <v>0</v>
      </c>
      <c r="E66" s="92">
        <f t="shared" si="100"/>
        <v>0</v>
      </c>
      <c r="F66" s="92">
        <f t="shared" si="100"/>
        <v>0</v>
      </c>
      <c r="G66" s="92">
        <f t="shared" si="100"/>
        <v>0</v>
      </c>
      <c r="H66" s="92">
        <f t="shared" si="100"/>
        <v>0</v>
      </c>
      <c r="I66" s="92">
        <f t="shared" si="100"/>
        <v>0</v>
      </c>
      <c r="J66" s="92">
        <f t="shared" si="100"/>
        <v>0</v>
      </c>
      <c r="K66" s="92">
        <f t="shared" si="100"/>
        <v>0</v>
      </c>
      <c r="L66" s="92">
        <f t="shared" si="100"/>
        <v>0</v>
      </c>
      <c r="M66" s="92">
        <f t="shared" si="100"/>
        <v>0</v>
      </c>
      <c r="N66" s="92">
        <f t="shared" si="100"/>
        <v>0</v>
      </c>
      <c r="O66" s="92">
        <f t="shared" si="100"/>
        <v>0</v>
      </c>
      <c r="P66" s="93" t="s">
        <v>179</v>
      </c>
      <c r="Q66" s="65" t="str">
        <f>IF(O66&lt;&gt;SUM(S66,U66,W66,Y66,AA66,AC66),"x","")</f>
        <v/>
      </c>
      <c r="R66" s="94"/>
      <c r="S66" s="95"/>
      <c r="T66" s="94"/>
      <c r="U66" s="96"/>
      <c r="V66" s="94"/>
      <c r="W66" s="96"/>
      <c r="X66" s="94"/>
      <c r="Y66" s="96"/>
      <c r="Z66" s="94"/>
      <c r="AA66" s="96"/>
      <c r="AB66" s="94"/>
      <c r="AC66" s="96"/>
    </row>
    <row r="67" ht="15"/>
    <row r="68" ht="18">
      <c r="C68" s="80" t="s">
        <v>196</v>
      </c>
      <c r="D68" s="80"/>
      <c r="E68" s="80"/>
      <c r="F68" s="80"/>
      <c r="G68" s="80"/>
      <c r="H68" s="80"/>
      <c r="I68" s="80"/>
      <c r="J68" s="80"/>
      <c r="K68" s="80"/>
      <c r="L68" s="80"/>
      <c r="M68" s="80"/>
      <c r="N68" s="80"/>
    </row>
    <row r="69" ht="18.600000000000001">
      <c r="A69" s="81" t="s">
        <v>197</v>
      </c>
      <c r="B69" s="82" t="s">
        <v>198</v>
      </c>
      <c r="C69" s="83">
        <f>C3</f>
        <v>45658</v>
      </c>
      <c r="D69" s="83">
        <f t="shared" ref="D69:N69" si="101">D3</f>
        <v>45689</v>
      </c>
      <c r="E69" s="83">
        <f t="shared" si="101"/>
        <v>45717</v>
      </c>
      <c r="F69" s="83">
        <f t="shared" si="101"/>
        <v>45748</v>
      </c>
      <c r="G69" s="83">
        <f t="shared" si="101"/>
        <v>45778</v>
      </c>
      <c r="H69" s="83">
        <f t="shared" si="101"/>
        <v>45809</v>
      </c>
      <c r="I69" s="83">
        <f t="shared" si="101"/>
        <v>45839</v>
      </c>
      <c r="J69" s="83">
        <f t="shared" si="101"/>
        <v>45870</v>
      </c>
      <c r="K69" s="83">
        <f t="shared" si="101"/>
        <v>45901</v>
      </c>
      <c r="L69" s="83">
        <f t="shared" si="101"/>
        <v>45931</v>
      </c>
      <c r="M69" s="83">
        <f t="shared" si="101"/>
        <v>45962</v>
      </c>
      <c r="N69" s="83">
        <f t="shared" si="101"/>
        <v>45992</v>
      </c>
      <c r="O69" s="79" t="s">
        <v>171</v>
      </c>
    </row>
    <row r="70" ht="15">
      <c r="A70" s="86" t="s">
        <v>199</v>
      </c>
      <c r="B70" s="98">
        <v>1620000</v>
      </c>
      <c r="C70" s="99"/>
      <c r="D70" s="99">
        <f>0.9*B70</f>
        <v>1458000</v>
      </c>
      <c r="E70" s="86"/>
      <c r="F70" s="86"/>
      <c r="G70" s="86"/>
      <c r="H70" s="98"/>
      <c r="I70" s="98">
        <f>B70*0.05</f>
        <v>81000</v>
      </c>
      <c r="J70" s="98"/>
      <c r="K70" s="98"/>
      <c r="L70" s="98"/>
      <c r="M70" s="98"/>
      <c r="N70" s="98"/>
      <c r="O70" s="100">
        <f t="shared" ref="O70:O97" si="102">SUM(C70:N70)</f>
        <v>1539000</v>
      </c>
      <c r="P70" s="101"/>
      <c r="Q70" s="65" t="str">
        <f t="shared" ref="Q70:Q89" si="103">IF(B70&lt;&gt;SUM(S70,U70,W70,Y70,AA70,AC70),"x","")</f>
        <v/>
      </c>
      <c r="R70" s="94" t="s">
        <v>108</v>
      </c>
      <c r="S70" s="95">
        <f>(126/401)*B70</f>
        <v>509027.43142144644</v>
      </c>
      <c r="T70" s="94" t="s">
        <v>110</v>
      </c>
      <c r="U70" s="95">
        <f>(200/401)*B70</f>
        <v>807980.04987531179</v>
      </c>
      <c r="V70" s="94" t="s">
        <v>126</v>
      </c>
      <c r="W70" s="95">
        <f>(75/401)*B70</f>
        <v>302992.51870324189</v>
      </c>
      <c r="X70" s="94"/>
      <c r="Y70" s="96"/>
      <c r="Z70" s="94"/>
      <c r="AA70" s="96"/>
      <c r="AB70" s="94"/>
      <c r="AC70" s="96"/>
    </row>
    <row r="71">
      <c r="A71" s="86" t="s">
        <v>200</v>
      </c>
      <c r="B71" s="98">
        <v>9200</v>
      </c>
      <c r="C71" s="86"/>
      <c r="D71" s="86"/>
      <c r="E71" s="86"/>
      <c r="F71" s="86"/>
      <c r="G71" s="86"/>
      <c r="H71" s="98"/>
      <c r="I71" s="98"/>
      <c r="J71" s="98"/>
      <c r="K71" s="98"/>
      <c r="L71" s="98"/>
      <c r="M71" s="98"/>
      <c r="N71" s="98"/>
      <c r="O71" s="97">
        <f t="shared" si="102"/>
        <v>0</v>
      </c>
      <c r="P71" s="101"/>
      <c r="Q71" s="65" t="str">
        <f t="shared" si="103"/>
        <v/>
      </c>
      <c r="R71" s="94" t="s">
        <v>108</v>
      </c>
      <c r="S71" s="95">
        <f>B71/4</f>
        <v>2300</v>
      </c>
      <c r="T71" s="94" t="s">
        <v>110</v>
      </c>
      <c r="U71" s="95">
        <f>B71/4</f>
        <v>2300</v>
      </c>
      <c r="V71" s="94" t="s">
        <v>126</v>
      </c>
      <c r="W71" s="95">
        <f>B71/4</f>
        <v>2300</v>
      </c>
      <c r="X71" s="94" t="s">
        <v>111</v>
      </c>
      <c r="Y71" s="95">
        <f>B71/4</f>
        <v>2300</v>
      </c>
      <c r="Z71" s="94"/>
      <c r="AA71" s="96"/>
      <c r="AB71" s="94"/>
      <c r="AC71" s="96"/>
    </row>
    <row r="72">
      <c r="A72" s="86" t="s">
        <v>201</v>
      </c>
      <c r="B72" s="98">
        <v>10000</v>
      </c>
      <c r="C72" s="86"/>
      <c r="D72" s="86"/>
      <c r="E72" s="86"/>
      <c r="F72" s="86"/>
      <c r="G72" s="86"/>
      <c r="H72" s="98"/>
      <c r="I72" s="98"/>
      <c r="J72" s="98"/>
      <c r="K72" s="98">
        <v>10000</v>
      </c>
      <c r="L72" s="98"/>
      <c r="M72" s="98"/>
      <c r="N72" s="98"/>
      <c r="O72" s="97">
        <f t="shared" si="102"/>
        <v>10000</v>
      </c>
      <c r="P72" s="101"/>
      <c r="Q72" s="65" t="str">
        <f t="shared" si="103"/>
        <v/>
      </c>
      <c r="R72" s="94" t="s">
        <v>126</v>
      </c>
      <c r="S72" s="95">
        <f t="shared" ref="S72:S73" si="104">B72</f>
        <v>10000</v>
      </c>
      <c r="T72" s="94"/>
      <c r="U72" s="96"/>
      <c r="V72" s="94"/>
      <c r="W72" s="96"/>
      <c r="X72" s="94"/>
      <c r="Y72" s="96"/>
      <c r="Z72" s="94"/>
      <c r="AA72" s="96"/>
      <c r="AB72" s="94"/>
      <c r="AC72" s="96"/>
    </row>
    <row r="73">
      <c r="A73" s="86" t="s">
        <v>202</v>
      </c>
      <c r="B73" s="98">
        <v>5000</v>
      </c>
      <c r="C73" s="99"/>
      <c r="D73" s="86"/>
      <c r="E73" s="86"/>
      <c r="F73" s="99"/>
      <c r="G73" s="86"/>
      <c r="H73" s="98"/>
      <c r="I73" s="98"/>
      <c r="J73" s="98"/>
      <c r="K73" s="98"/>
      <c r="L73" s="98"/>
      <c r="M73" s="98">
        <v>5000</v>
      </c>
      <c r="N73" s="98"/>
      <c r="O73" s="97">
        <f t="shared" si="102"/>
        <v>5000</v>
      </c>
      <c r="P73" s="101"/>
      <c r="Q73" s="65" t="str">
        <f t="shared" si="103"/>
        <v/>
      </c>
      <c r="R73" s="94" t="s">
        <v>126</v>
      </c>
      <c r="S73" s="95">
        <f t="shared" si="104"/>
        <v>5000</v>
      </c>
      <c r="T73" s="94"/>
      <c r="U73" s="96"/>
      <c r="V73" s="94"/>
      <c r="W73" s="96"/>
      <c r="X73" s="94"/>
      <c r="Y73" s="96"/>
      <c r="Z73" s="94"/>
      <c r="AA73" s="96"/>
      <c r="AB73" s="94"/>
      <c r="AC73" s="96"/>
    </row>
    <row r="74">
      <c r="A74" s="86" t="s">
        <v>203</v>
      </c>
      <c r="B74" s="98">
        <v>1993.5799999999999</v>
      </c>
      <c r="C74" s="102">
        <f>1329.05*0.5</f>
        <v>664.52499999999998</v>
      </c>
      <c r="D74" s="102">
        <f t="shared" ref="D74:E74" si="105">1329.05*0.5</f>
        <v>664.52499999999998</v>
      </c>
      <c r="E74" s="102">
        <f t="shared" si="105"/>
        <v>664.52499999999998</v>
      </c>
      <c r="F74" s="86"/>
      <c r="G74" s="86"/>
      <c r="H74" s="98"/>
      <c r="I74" s="98"/>
      <c r="J74" s="98"/>
      <c r="K74" s="98"/>
      <c r="L74" s="98"/>
      <c r="M74" s="98"/>
      <c r="N74" s="98"/>
      <c r="O74" s="97">
        <f t="shared" si="102"/>
        <v>1993.5749999999998</v>
      </c>
      <c r="P74" s="101"/>
      <c r="Q74" s="65" t="str">
        <f t="shared" si="103"/>
        <v/>
      </c>
      <c r="R74" s="94" t="s">
        <v>108</v>
      </c>
      <c r="S74" s="95">
        <f>B74/3</f>
        <v>664.52666666666664</v>
      </c>
      <c r="T74" s="94" t="s">
        <v>110</v>
      </c>
      <c r="U74" s="95">
        <f>B74/3</f>
        <v>664.52666666666664</v>
      </c>
      <c r="V74" s="94" t="s">
        <v>126</v>
      </c>
      <c r="W74" s="95">
        <f>B74/3</f>
        <v>664.52666666666664</v>
      </c>
      <c r="X74" s="94"/>
      <c r="Y74" s="96"/>
      <c r="Z74" s="94"/>
      <c r="AA74" s="96"/>
      <c r="AB74" s="94"/>
      <c r="AC74" s="96"/>
    </row>
    <row r="75">
      <c r="A75" s="86" t="s">
        <v>204</v>
      </c>
      <c r="B75" s="98">
        <v>6000</v>
      </c>
      <c r="C75" s="102">
        <f>6000/12</f>
        <v>500</v>
      </c>
      <c r="D75" s="102">
        <f t="shared" ref="D75:N75" si="106">6000/12</f>
        <v>500</v>
      </c>
      <c r="E75" s="102">
        <f t="shared" si="106"/>
        <v>500</v>
      </c>
      <c r="F75" s="102">
        <f t="shared" si="106"/>
        <v>500</v>
      </c>
      <c r="G75" s="102">
        <f t="shared" si="106"/>
        <v>500</v>
      </c>
      <c r="H75" s="102">
        <f t="shared" si="106"/>
        <v>500</v>
      </c>
      <c r="I75" s="102">
        <f t="shared" si="106"/>
        <v>500</v>
      </c>
      <c r="J75" s="102">
        <f t="shared" si="106"/>
        <v>500</v>
      </c>
      <c r="K75" s="102">
        <f t="shared" si="106"/>
        <v>500</v>
      </c>
      <c r="L75" s="102">
        <f t="shared" si="106"/>
        <v>500</v>
      </c>
      <c r="M75" s="102">
        <f t="shared" si="106"/>
        <v>500</v>
      </c>
      <c r="N75" s="102">
        <f t="shared" si="106"/>
        <v>500</v>
      </c>
      <c r="O75" s="97">
        <f t="shared" si="102"/>
        <v>6000</v>
      </c>
      <c r="P75" s="101"/>
      <c r="Q75" s="65" t="str">
        <f t="shared" si="103"/>
        <v/>
      </c>
      <c r="R75" s="94" t="s">
        <v>108</v>
      </c>
      <c r="S75" s="95">
        <f>B75/4</f>
        <v>1500</v>
      </c>
      <c r="T75" s="94" t="s">
        <v>110</v>
      </c>
      <c r="U75" s="95">
        <f>B75/4</f>
        <v>1500</v>
      </c>
      <c r="V75" s="94" t="s">
        <v>126</v>
      </c>
      <c r="W75" s="95">
        <f>B75/4</f>
        <v>1500</v>
      </c>
      <c r="X75" s="94" t="s">
        <v>111</v>
      </c>
      <c r="Y75" s="95">
        <f>B75/4</f>
        <v>1500</v>
      </c>
      <c r="Z75" s="94"/>
      <c r="AA75" s="96"/>
      <c r="AB75" s="94"/>
      <c r="AC75" s="96"/>
    </row>
    <row r="76">
      <c r="A76" s="86" t="s">
        <v>205</v>
      </c>
      <c r="B76" s="98"/>
      <c r="C76" s="86"/>
      <c r="D76" s="86"/>
      <c r="E76" s="86"/>
      <c r="F76" s="86"/>
      <c r="G76" s="86"/>
      <c r="H76" s="98"/>
      <c r="I76" s="98"/>
      <c r="J76" s="98"/>
      <c r="K76" s="98"/>
      <c r="L76" s="98"/>
      <c r="M76" s="98"/>
      <c r="N76" s="98"/>
      <c r="O76" s="97">
        <f t="shared" si="102"/>
        <v>0</v>
      </c>
      <c r="P76" s="101"/>
      <c r="Q76" s="65" t="str">
        <f t="shared" si="103"/>
        <v/>
      </c>
      <c r="R76" s="94"/>
      <c r="S76" s="103"/>
      <c r="T76" s="94"/>
      <c r="U76" s="96"/>
      <c r="V76" s="94"/>
      <c r="W76" s="96"/>
      <c r="X76" s="94"/>
      <c r="Y76" s="96"/>
      <c r="Z76" s="94"/>
      <c r="AA76" s="96"/>
      <c r="AB76" s="94"/>
      <c r="AC76" s="96"/>
    </row>
    <row r="77">
      <c r="A77" s="86" t="s">
        <v>206</v>
      </c>
      <c r="B77" s="98"/>
      <c r="C77" s="86"/>
      <c r="D77" s="86"/>
      <c r="E77" s="86"/>
      <c r="F77" s="86"/>
      <c r="G77" s="86"/>
      <c r="H77" s="98"/>
      <c r="I77" s="98"/>
      <c r="J77" s="98"/>
      <c r="K77" s="98"/>
      <c r="L77" s="98"/>
      <c r="M77" s="98"/>
      <c r="N77" s="98"/>
      <c r="O77" s="97">
        <f t="shared" si="102"/>
        <v>0</v>
      </c>
      <c r="P77" s="101"/>
      <c r="Q77" s="65" t="str">
        <f t="shared" si="103"/>
        <v/>
      </c>
      <c r="R77" s="94"/>
      <c r="S77" s="103"/>
      <c r="T77" s="94"/>
      <c r="U77" s="96"/>
      <c r="V77" s="94"/>
      <c r="W77" s="96"/>
      <c r="X77" s="94"/>
      <c r="Y77" s="96"/>
      <c r="Z77" s="94"/>
      <c r="AA77" s="96"/>
      <c r="AB77" s="94"/>
      <c r="AC77" s="96"/>
    </row>
    <row r="78">
      <c r="A78" s="86" t="s">
        <v>207</v>
      </c>
      <c r="B78" s="98"/>
      <c r="C78" s="86"/>
      <c r="D78" s="86"/>
      <c r="E78" s="86"/>
      <c r="F78" s="86"/>
      <c r="G78" s="86"/>
      <c r="H78" s="98"/>
      <c r="I78" s="98"/>
      <c r="J78" s="98"/>
      <c r="K78" s="98"/>
      <c r="L78" s="98"/>
      <c r="M78" s="98"/>
      <c r="N78" s="98"/>
      <c r="O78" s="97">
        <f t="shared" si="102"/>
        <v>0</v>
      </c>
      <c r="P78" s="101"/>
      <c r="Q78" s="65" t="str">
        <f t="shared" si="103"/>
        <v/>
      </c>
      <c r="R78" s="94"/>
      <c r="S78" s="103"/>
      <c r="T78" s="94"/>
      <c r="U78" s="96"/>
      <c r="V78" s="94"/>
      <c r="W78" s="96"/>
      <c r="X78" s="94"/>
      <c r="Y78" s="96"/>
      <c r="Z78" s="94"/>
      <c r="AA78" s="96"/>
      <c r="AB78" s="94"/>
      <c r="AC78" s="96"/>
    </row>
    <row r="79">
      <c r="A79" s="86" t="s">
        <v>208</v>
      </c>
      <c r="B79" s="98"/>
      <c r="C79" s="86"/>
      <c r="D79" s="86"/>
      <c r="E79" s="86"/>
      <c r="F79" s="86"/>
      <c r="G79" s="86"/>
      <c r="H79" s="98"/>
      <c r="I79" s="98"/>
      <c r="J79" s="98"/>
      <c r="K79" s="98"/>
      <c r="L79" s="98"/>
      <c r="M79" s="98"/>
      <c r="N79" s="98"/>
      <c r="O79" s="97">
        <f t="shared" si="102"/>
        <v>0</v>
      </c>
      <c r="P79" s="101"/>
      <c r="Q79" s="65" t="str">
        <f t="shared" si="103"/>
        <v/>
      </c>
      <c r="R79" s="94"/>
      <c r="S79" s="103"/>
      <c r="T79" s="94"/>
      <c r="U79" s="96"/>
      <c r="V79" s="94"/>
      <c r="W79" s="96"/>
      <c r="X79" s="94"/>
      <c r="Y79" s="96"/>
      <c r="Z79" s="94"/>
      <c r="AA79" s="96"/>
      <c r="AB79" s="94"/>
      <c r="AC79" s="96"/>
    </row>
    <row r="80">
      <c r="A80" s="86" t="s">
        <v>209</v>
      </c>
      <c r="B80" s="98"/>
      <c r="C80" s="86"/>
      <c r="D80" s="86"/>
      <c r="E80" s="86"/>
      <c r="F80" s="86"/>
      <c r="G80" s="86"/>
      <c r="H80" s="98"/>
      <c r="I80" s="98"/>
      <c r="J80" s="98"/>
      <c r="K80" s="98"/>
      <c r="L80" s="98"/>
      <c r="M80" s="98"/>
      <c r="N80" s="98"/>
      <c r="O80" s="97">
        <f t="shared" si="102"/>
        <v>0</v>
      </c>
      <c r="P80" s="101"/>
      <c r="Q80" s="65" t="str">
        <f t="shared" si="103"/>
        <v/>
      </c>
      <c r="R80" s="94"/>
      <c r="S80" s="103"/>
      <c r="T80" s="94"/>
      <c r="U80" s="96"/>
      <c r="V80" s="94"/>
      <c r="W80" s="96"/>
      <c r="X80" s="94"/>
      <c r="Y80" s="96"/>
      <c r="Z80" s="94"/>
      <c r="AA80" s="96"/>
      <c r="AB80" s="94"/>
      <c r="AC80" s="96"/>
    </row>
    <row r="81">
      <c r="A81" s="86" t="s">
        <v>210</v>
      </c>
      <c r="B81" s="98"/>
      <c r="C81" s="86"/>
      <c r="D81" s="86"/>
      <c r="E81" s="86"/>
      <c r="F81" s="86"/>
      <c r="G81" s="86"/>
      <c r="H81" s="98"/>
      <c r="I81" s="98"/>
      <c r="J81" s="98"/>
      <c r="K81" s="98"/>
      <c r="L81" s="98"/>
      <c r="M81" s="98"/>
      <c r="N81" s="98"/>
      <c r="O81" s="97">
        <f t="shared" si="102"/>
        <v>0</v>
      </c>
      <c r="P81" s="101"/>
      <c r="Q81" s="65" t="str">
        <f t="shared" si="103"/>
        <v/>
      </c>
      <c r="R81" s="94"/>
      <c r="S81" s="103"/>
      <c r="T81" s="94"/>
      <c r="U81" s="96"/>
      <c r="V81" s="94"/>
      <c r="W81" s="96"/>
      <c r="X81" s="94"/>
      <c r="Y81" s="96"/>
      <c r="Z81" s="94"/>
      <c r="AA81" s="96"/>
      <c r="AB81" s="94"/>
      <c r="AC81" s="96"/>
    </row>
    <row r="82">
      <c r="A82" s="86" t="s">
        <v>211</v>
      </c>
      <c r="B82" s="98"/>
      <c r="C82" s="86"/>
      <c r="D82" s="86"/>
      <c r="E82" s="86"/>
      <c r="F82" s="86"/>
      <c r="G82" s="86"/>
      <c r="H82" s="98"/>
      <c r="I82" s="98"/>
      <c r="J82" s="98"/>
      <c r="K82" s="98"/>
      <c r="L82" s="98"/>
      <c r="M82" s="98"/>
      <c r="N82" s="98"/>
      <c r="O82" s="97">
        <f t="shared" si="102"/>
        <v>0</v>
      </c>
      <c r="P82" s="101"/>
      <c r="Q82" s="65" t="str">
        <f t="shared" si="103"/>
        <v/>
      </c>
      <c r="R82" s="94"/>
      <c r="S82" s="103"/>
      <c r="T82" s="94"/>
      <c r="U82" s="96"/>
      <c r="V82" s="94"/>
      <c r="W82" s="96"/>
      <c r="X82" s="94"/>
      <c r="Y82" s="96"/>
      <c r="Z82" s="94"/>
      <c r="AA82" s="96"/>
      <c r="AB82" s="94"/>
      <c r="AC82" s="96"/>
    </row>
    <row r="83" s="104" customFormat="1">
      <c r="A83" s="86" t="s">
        <v>212</v>
      </c>
      <c r="B83" s="98"/>
      <c r="C83" s="98"/>
      <c r="D83" s="98"/>
      <c r="E83" s="98"/>
      <c r="F83" s="98"/>
      <c r="G83" s="98"/>
      <c r="H83" s="98"/>
      <c r="I83" s="98"/>
      <c r="J83" s="98"/>
      <c r="K83" s="98"/>
      <c r="L83" s="98"/>
      <c r="M83" s="98"/>
      <c r="N83" s="98"/>
      <c r="O83" s="97">
        <f t="shared" si="102"/>
        <v>0</v>
      </c>
      <c r="P83" s="105"/>
      <c r="Q83" s="65" t="str">
        <f t="shared" si="103"/>
        <v/>
      </c>
      <c r="R83" s="94"/>
      <c r="S83" s="103"/>
      <c r="T83" s="106"/>
      <c r="U83" s="107"/>
      <c r="V83" s="106"/>
      <c r="W83" s="107"/>
      <c r="X83" s="106"/>
      <c r="Y83" s="107"/>
      <c r="Z83" s="106"/>
      <c r="AA83" s="107"/>
      <c r="AB83" s="106"/>
      <c r="AC83" s="107"/>
    </row>
    <row r="84">
      <c r="A84" s="86" t="s">
        <v>213</v>
      </c>
      <c r="B84" s="98"/>
      <c r="C84" s="86"/>
      <c r="D84" s="86"/>
      <c r="E84" s="86"/>
      <c r="F84" s="86"/>
      <c r="G84" s="86"/>
      <c r="H84" s="98"/>
      <c r="I84" s="98"/>
      <c r="J84" s="98"/>
      <c r="K84" s="98"/>
      <c r="L84" s="98"/>
      <c r="M84" s="98"/>
      <c r="N84" s="98"/>
      <c r="O84" s="97">
        <f t="shared" si="102"/>
        <v>0</v>
      </c>
      <c r="P84" s="101"/>
      <c r="Q84" s="65" t="str">
        <f t="shared" si="103"/>
        <v/>
      </c>
      <c r="R84" s="94"/>
      <c r="S84" s="103"/>
      <c r="T84" s="94"/>
      <c r="U84" s="96"/>
      <c r="V84" s="94"/>
      <c r="W84" s="96"/>
      <c r="X84" s="94"/>
      <c r="Y84" s="96"/>
      <c r="Z84" s="94"/>
      <c r="AA84" s="96"/>
      <c r="AB84" s="94"/>
      <c r="AC84" s="96"/>
    </row>
    <row r="85">
      <c r="A85" s="86" t="s">
        <v>214</v>
      </c>
      <c r="B85" s="98"/>
      <c r="C85" s="86"/>
      <c r="D85" s="86"/>
      <c r="E85" s="86"/>
      <c r="F85" s="86"/>
      <c r="G85" s="86"/>
      <c r="H85" s="98"/>
      <c r="I85" s="98"/>
      <c r="J85" s="98"/>
      <c r="K85" s="98"/>
      <c r="L85" s="98"/>
      <c r="M85" s="98"/>
      <c r="N85" s="98"/>
      <c r="O85" s="108">
        <f t="shared" si="102"/>
        <v>0</v>
      </c>
      <c r="P85" s="101"/>
      <c r="Q85" s="65" t="str">
        <f t="shared" si="103"/>
        <v/>
      </c>
      <c r="R85" s="94"/>
      <c r="S85" s="103"/>
      <c r="T85" s="94"/>
      <c r="U85" s="96"/>
      <c r="V85" s="94"/>
      <c r="W85" s="96"/>
      <c r="X85" s="94"/>
      <c r="Y85" s="96"/>
      <c r="Z85" s="94"/>
      <c r="AA85" s="96"/>
      <c r="AB85" s="94"/>
      <c r="AC85" s="96"/>
    </row>
    <row r="86">
      <c r="A86" s="86" t="s">
        <v>215</v>
      </c>
      <c r="B86" s="98"/>
      <c r="C86" s="86"/>
      <c r="D86" s="86"/>
      <c r="E86" s="86"/>
      <c r="F86" s="86"/>
      <c r="G86" s="86"/>
      <c r="H86" s="98"/>
      <c r="I86" s="98"/>
      <c r="J86" s="98"/>
      <c r="K86" s="98"/>
      <c r="L86" s="98"/>
      <c r="M86" s="98"/>
      <c r="N86" s="98"/>
      <c r="O86" s="97">
        <f t="shared" si="102"/>
        <v>0</v>
      </c>
      <c r="P86" s="101"/>
      <c r="Q86" s="65" t="str">
        <f t="shared" si="103"/>
        <v/>
      </c>
      <c r="R86" s="94"/>
      <c r="S86" s="103"/>
      <c r="T86" s="94"/>
      <c r="U86" s="96"/>
      <c r="V86" s="94"/>
      <c r="W86" s="96"/>
      <c r="X86" s="94"/>
      <c r="Y86" s="96"/>
      <c r="Z86" s="94"/>
      <c r="AA86" s="96"/>
      <c r="AB86" s="94"/>
      <c r="AC86" s="96"/>
    </row>
    <row r="87">
      <c r="A87" s="86" t="s">
        <v>216</v>
      </c>
      <c r="B87" s="98"/>
      <c r="C87" s="86"/>
      <c r="D87" s="86"/>
      <c r="E87" s="86"/>
      <c r="F87" s="86"/>
      <c r="G87" s="86"/>
      <c r="H87" s="98"/>
      <c r="I87" s="98"/>
      <c r="J87" s="98"/>
      <c r="K87" s="98"/>
      <c r="L87" s="98"/>
      <c r="M87" s="98"/>
      <c r="N87" s="98"/>
      <c r="O87" s="97">
        <f t="shared" si="102"/>
        <v>0</v>
      </c>
      <c r="P87" s="101"/>
      <c r="Q87" s="65" t="str">
        <f t="shared" si="103"/>
        <v/>
      </c>
      <c r="R87" s="94"/>
      <c r="S87" s="103"/>
      <c r="T87" s="94"/>
      <c r="U87" s="96"/>
      <c r="V87" s="94"/>
      <c r="W87" s="96"/>
      <c r="X87" s="94"/>
      <c r="Y87" s="96"/>
      <c r="Z87" s="94"/>
      <c r="AA87" s="96"/>
      <c r="AB87" s="94"/>
      <c r="AC87" s="96"/>
    </row>
    <row r="88" s="104" customFormat="1">
      <c r="A88" s="86" t="s">
        <v>217</v>
      </c>
      <c r="B88" s="98"/>
      <c r="C88" s="98"/>
      <c r="D88" s="98"/>
      <c r="E88" s="98"/>
      <c r="F88" s="98"/>
      <c r="G88" s="98"/>
      <c r="H88" s="98"/>
      <c r="I88" s="98"/>
      <c r="J88" s="98"/>
      <c r="K88" s="98"/>
      <c r="L88" s="98"/>
      <c r="M88" s="98"/>
      <c r="N88" s="98"/>
      <c r="O88" s="108">
        <f t="shared" si="102"/>
        <v>0</v>
      </c>
      <c r="P88" s="105"/>
      <c r="Q88" s="65" t="str">
        <f t="shared" si="103"/>
        <v/>
      </c>
      <c r="R88" s="94"/>
      <c r="S88" s="103"/>
      <c r="T88" s="106"/>
      <c r="U88" s="107"/>
      <c r="V88" s="106"/>
      <c r="W88" s="107"/>
      <c r="X88" s="106"/>
      <c r="Y88" s="107"/>
      <c r="Z88" s="106"/>
      <c r="AA88" s="107"/>
      <c r="AB88" s="106"/>
      <c r="AC88" s="107"/>
    </row>
    <row r="89" ht="15">
      <c r="A89" s="109" t="s">
        <v>218</v>
      </c>
      <c r="B89" s="110"/>
      <c r="C89" s="109"/>
      <c r="D89" s="109"/>
      <c r="E89" s="109"/>
      <c r="F89" s="109"/>
      <c r="G89" s="109"/>
      <c r="H89" s="110"/>
      <c r="I89" s="110"/>
      <c r="J89" s="110"/>
      <c r="K89" s="110"/>
      <c r="L89" s="110"/>
      <c r="M89" s="110"/>
      <c r="N89" s="110"/>
      <c r="O89" s="111">
        <f t="shared" si="102"/>
        <v>0</v>
      </c>
      <c r="P89" s="101"/>
      <c r="Q89" s="65" t="str">
        <f t="shared" si="103"/>
        <v/>
      </c>
      <c r="R89" s="94"/>
      <c r="S89" s="103"/>
      <c r="T89" s="94"/>
      <c r="U89" s="96"/>
      <c r="V89" s="94"/>
      <c r="W89" s="96"/>
      <c r="X89" s="94"/>
      <c r="Y89" s="96"/>
      <c r="Z89" s="94"/>
      <c r="AA89" s="96"/>
      <c r="AB89" s="94"/>
      <c r="AC89" s="96"/>
    </row>
    <row r="90" ht="15">
      <c r="B90" s="104"/>
      <c r="H90" s="104"/>
      <c r="I90" s="104"/>
      <c r="J90" s="104"/>
      <c r="K90" s="104"/>
      <c r="L90" s="104"/>
      <c r="M90" s="104"/>
      <c r="N90" s="104"/>
      <c r="O90" s="112"/>
      <c r="P90" s="101"/>
      <c r="S90" s="113"/>
    </row>
    <row r="91" ht="18">
      <c r="C91" s="80" t="s">
        <v>174</v>
      </c>
      <c r="D91" s="80"/>
      <c r="E91" s="80"/>
      <c r="F91" s="80"/>
      <c r="G91" s="80"/>
      <c r="H91" s="80"/>
      <c r="I91" s="80"/>
      <c r="J91" s="80"/>
      <c r="K91" s="80"/>
      <c r="L91" s="80"/>
      <c r="M91" s="80"/>
      <c r="N91" s="80"/>
    </row>
    <row r="92" ht="18.600000000000001">
      <c r="A92" s="81"/>
      <c r="B92" s="82"/>
      <c r="C92" s="83">
        <f>C3</f>
        <v>45658</v>
      </c>
      <c r="D92" s="83">
        <f t="shared" ref="D92:N92" si="107">D3</f>
        <v>45689</v>
      </c>
      <c r="E92" s="83">
        <f t="shared" si="107"/>
        <v>45717</v>
      </c>
      <c r="F92" s="83">
        <f t="shared" si="107"/>
        <v>45748</v>
      </c>
      <c r="G92" s="83">
        <f t="shared" si="107"/>
        <v>45778</v>
      </c>
      <c r="H92" s="83">
        <f t="shared" si="107"/>
        <v>45809</v>
      </c>
      <c r="I92" s="83">
        <f t="shared" si="107"/>
        <v>45839</v>
      </c>
      <c r="J92" s="83">
        <f t="shared" si="107"/>
        <v>45870</v>
      </c>
      <c r="K92" s="83">
        <f t="shared" si="107"/>
        <v>45901</v>
      </c>
      <c r="L92" s="83">
        <f t="shared" si="107"/>
        <v>45931</v>
      </c>
      <c r="M92" s="83">
        <f t="shared" si="107"/>
        <v>45962</v>
      </c>
      <c r="N92" s="83">
        <f t="shared" si="107"/>
        <v>45992</v>
      </c>
      <c r="O92" s="84" t="s">
        <v>171</v>
      </c>
      <c r="P92" s="85"/>
    </row>
    <row r="93" ht="15">
      <c r="A93" s="114" t="s">
        <v>219</v>
      </c>
      <c r="B93" s="115"/>
      <c r="C93" s="116"/>
      <c r="D93" s="116"/>
      <c r="E93" s="116"/>
      <c r="F93" s="116"/>
      <c r="G93" s="116"/>
      <c r="H93" s="116"/>
      <c r="I93" s="116"/>
      <c r="J93" s="116"/>
      <c r="K93" s="116"/>
      <c r="L93" s="116"/>
      <c r="M93" s="116"/>
      <c r="N93" s="116"/>
      <c r="O93" s="108">
        <f t="shared" si="102"/>
        <v>0</v>
      </c>
      <c r="P93" s="117" t="s">
        <v>179</v>
      </c>
      <c r="Q93" s="65" t="str">
        <f t="shared" ref="Q93:Q97" si="108">IF(O93&lt;&gt;SUM(S93,U93,W93,Y93,AA93,AC93),"x","")</f>
        <v/>
      </c>
      <c r="R93" s="94"/>
      <c r="S93" s="96"/>
      <c r="T93" s="94"/>
      <c r="U93" s="96"/>
      <c r="V93" s="94"/>
      <c r="W93" s="96"/>
      <c r="X93" s="94"/>
      <c r="Y93" s="96"/>
      <c r="Z93" s="94"/>
      <c r="AA93" s="96"/>
      <c r="AB93" s="94"/>
      <c r="AC93" s="96"/>
    </row>
    <row r="94">
      <c r="A94" s="114" t="s">
        <v>220</v>
      </c>
      <c r="B94" s="115"/>
      <c r="C94" s="116"/>
      <c r="D94" s="116"/>
      <c r="E94" s="116"/>
      <c r="F94" s="116"/>
      <c r="G94" s="116"/>
      <c r="H94" s="116"/>
      <c r="I94" s="116"/>
      <c r="J94" s="116"/>
      <c r="K94" s="116"/>
      <c r="L94" s="116"/>
      <c r="M94" s="116"/>
      <c r="N94" s="116"/>
      <c r="O94" s="108">
        <f t="shared" si="102"/>
        <v>0</v>
      </c>
      <c r="P94" s="118"/>
      <c r="Q94" s="65" t="str">
        <f t="shared" si="108"/>
        <v/>
      </c>
    </row>
    <row r="95">
      <c r="A95" s="114" t="s">
        <v>221</v>
      </c>
      <c r="B95" s="115"/>
      <c r="C95" s="116"/>
      <c r="D95" s="116"/>
      <c r="E95" s="116"/>
      <c r="F95" s="116"/>
      <c r="G95" s="116"/>
      <c r="H95" s="116"/>
      <c r="I95" s="116"/>
      <c r="J95" s="116"/>
      <c r="K95" s="116"/>
      <c r="L95" s="116"/>
      <c r="M95" s="116"/>
      <c r="N95" s="116"/>
      <c r="O95" s="108">
        <f t="shared" si="102"/>
        <v>0</v>
      </c>
      <c r="P95" s="119" t="s">
        <v>179</v>
      </c>
      <c r="Q95" s="65" t="str">
        <f t="shared" si="108"/>
        <v/>
      </c>
      <c r="R95" s="94"/>
      <c r="S95" s="96"/>
      <c r="T95" s="94"/>
      <c r="U95" s="96"/>
      <c r="V95" s="94"/>
      <c r="W95" s="96"/>
      <c r="X95" s="94"/>
      <c r="Y95" s="96"/>
      <c r="Z95" s="94"/>
      <c r="AA95" s="96"/>
      <c r="AB95" s="94"/>
      <c r="AC95" s="96"/>
    </row>
    <row r="96">
      <c r="A96" s="114" t="s">
        <v>222</v>
      </c>
      <c r="B96" s="115"/>
      <c r="C96" s="116"/>
      <c r="D96" s="116"/>
      <c r="E96" s="116"/>
      <c r="F96" s="116"/>
      <c r="G96" s="116"/>
      <c r="H96" s="116"/>
      <c r="I96" s="116"/>
      <c r="J96" s="116"/>
      <c r="K96" s="116"/>
      <c r="L96" s="116"/>
      <c r="M96" s="116"/>
      <c r="N96" s="116"/>
      <c r="O96" s="108">
        <f t="shared" si="102"/>
        <v>0</v>
      </c>
      <c r="P96" s="119" t="s">
        <v>179</v>
      </c>
      <c r="Q96" s="65" t="str">
        <f t="shared" si="108"/>
        <v/>
      </c>
      <c r="R96" s="94"/>
      <c r="S96" s="96"/>
      <c r="T96" s="94"/>
      <c r="U96" s="96"/>
      <c r="V96" s="94"/>
      <c r="W96" s="96"/>
      <c r="X96" s="94"/>
      <c r="Y96" s="96"/>
      <c r="Z96" s="94"/>
      <c r="AA96" s="96"/>
      <c r="AB96" s="94"/>
      <c r="AC96" s="96"/>
    </row>
    <row r="97" ht="15">
      <c r="A97" s="81" t="s">
        <v>223</v>
      </c>
      <c r="B97" s="82"/>
      <c r="C97" s="120"/>
      <c r="D97" s="120"/>
      <c r="E97" s="120"/>
      <c r="F97" s="120"/>
      <c r="G97" s="120"/>
      <c r="H97" s="120"/>
      <c r="I97" s="120"/>
      <c r="J97" s="120"/>
      <c r="K97" s="120"/>
      <c r="L97" s="120"/>
      <c r="M97" s="120"/>
      <c r="N97" s="120">
        <v>6000</v>
      </c>
      <c r="O97" s="121">
        <f t="shared" si="102"/>
        <v>6000</v>
      </c>
      <c r="P97" s="122" t="s">
        <v>179</v>
      </c>
      <c r="Q97" s="65" t="str">
        <f t="shared" si="108"/>
        <v/>
      </c>
      <c r="R97" s="94" t="s">
        <v>108</v>
      </c>
      <c r="S97" s="95">
        <f>O97/4</f>
        <v>1500</v>
      </c>
      <c r="T97" s="94" t="s">
        <v>110</v>
      </c>
      <c r="U97" s="95">
        <f>O97/4</f>
        <v>1500</v>
      </c>
      <c r="V97" s="94" t="s">
        <v>126</v>
      </c>
      <c r="W97" s="95">
        <f>O97/4</f>
        <v>1500</v>
      </c>
      <c r="X97" s="94" t="s">
        <v>111</v>
      </c>
      <c r="Y97" s="95">
        <f>O97/4</f>
        <v>1500</v>
      </c>
      <c r="Z97" s="94"/>
      <c r="AA97" s="96"/>
      <c r="AB97" s="94"/>
      <c r="AC97" s="96"/>
    </row>
    <row r="98" ht="15"/>
    <row r="99" ht="18">
      <c r="C99" s="80" t="s">
        <v>174</v>
      </c>
      <c r="D99" s="80"/>
      <c r="E99" s="80"/>
      <c r="F99" s="80"/>
      <c r="G99" s="80"/>
      <c r="H99" s="80"/>
      <c r="I99" s="80"/>
      <c r="J99" s="80"/>
      <c r="K99" s="80"/>
      <c r="L99" s="80"/>
      <c r="M99" s="80"/>
      <c r="N99" s="80"/>
    </row>
    <row r="100" ht="18.600000000000001">
      <c r="A100" s="81" t="s">
        <v>224</v>
      </c>
      <c r="B100" s="82"/>
      <c r="C100" s="83">
        <f>C69</f>
        <v>45658</v>
      </c>
      <c r="D100" s="83">
        <f t="shared" ref="D100:N100" si="109">D69</f>
        <v>45689</v>
      </c>
      <c r="E100" s="83">
        <f t="shared" si="109"/>
        <v>45717</v>
      </c>
      <c r="F100" s="83">
        <f t="shared" si="109"/>
        <v>45748</v>
      </c>
      <c r="G100" s="83">
        <f t="shared" si="109"/>
        <v>45778</v>
      </c>
      <c r="H100" s="83">
        <f t="shared" si="109"/>
        <v>45809</v>
      </c>
      <c r="I100" s="83">
        <f t="shared" si="109"/>
        <v>45839</v>
      </c>
      <c r="J100" s="83">
        <f t="shared" si="109"/>
        <v>45870</v>
      </c>
      <c r="K100" s="83">
        <f t="shared" si="109"/>
        <v>45901</v>
      </c>
      <c r="L100" s="83">
        <f t="shared" si="109"/>
        <v>45931</v>
      </c>
      <c r="M100" s="83">
        <f t="shared" si="109"/>
        <v>45962</v>
      </c>
      <c r="N100" s="83">
        <f t="shared" si="109"/>
        <v>45992</v>
      </c>
      <c r="O100" s="79" t="s">
        <v>171</v>
      </c>
      <c r="P100" s="123"/>
      <c r="Q100" s="124"/>
    </row>
    <row r="101" ht="15">
      <c r="A101" s="125" t="s">
        <v>225</v>
      </c>
      <c r="B101" s="86" t="s">
        <v>226</v>
      </c>
      <c r="C101" s="116"/>
      <c r="D101" s="116"/>
      <c r="E101" s="116"/>
      <c r="F101" s="116"/>
      <c r="G101" s="116"/>
      <c r="H101" s="116"/>
      <c r="I101" s="116"/>
      <c r="J101" s="116"/>
      <c r="K101" s="116"/>
      <c r="L101" s="116"/>
      <c r="M101" s="116"/>
      <c r="N101" s="116"/>
      <c r="O101" s="100">
        <f t="shared" ref="O101:O162" si="110">SUM(C101:N101)</f>
        <v>0</v>
      </c>
      <c r="P101" s="126" t="s">
        <v>179</v>
      </c>
      <c r="Q101" s="65" t="str">
        <f t="shared" ref="Q101:Q162" si="111">IF(O101&lt;&gt;SUM(S101,U101,W101,Y101,AA101,AC101),"x","")</f>
        <v/>
      </c>
      <c r="R101" s="94" t="s">
        <v>183</v>
      </c>
      <c r="S101" s="95">
        <f t="shared" ref="S101:S161" si="112">O101</f>
        <v>0</v>
      </c>
      <c r="T101" s="94"/>
      <c r="U101" s="96"/>
      <c r="V101" s="94"/>
      <c r="W101" s="96"/>
      <c r="X101" s="94"/>
      <c r="Y101" s="96"/>
      <c r="Z101" s="94"/>
      <c r="AA101" s="96"/>
      <c r="AB101" s="94"/>
      <c r="AC101" s="96"/>
    </row>
    <row r="102">
      <c r="A102" s="127"/>
      <c r="B102" s="86" t="s">
        <v>227</v>
      </c>
      <c r="C102" s="116"/>
      <c r="D102" s="116"/>
      <c r="E102" s="116"/>
      <c r="F102" s="116"/>
      <c r="G102" s="116"/>
      <c r="H102" s="116"/>
      <c r="I102" s="116"/>
      <c r="J102" s="116"/>
      <c r="K102" s="116"/>
      <c r="L102" s="116"/>
      <c r="M102" s="116"/>
      <c r="N102" s="116"/>
      <c r="O102" s="97">
        <f t="shared" si="110"/>
        <v>0</v>
      </c>
      <c r="P102" s="128" t="s">
        <v>179</v>
      </c>
      <c r="Q102" s="65" t="str">
        <f t="shared" si="111"/>
        <v/>
      </c>
      <c r="R102" s="94" t="s">
        <v>183</v>
      </c>
      <c r="S102" s="95">
        <f t="shared" si="112"/>
        <v>0</v>
      </c>
      <c r="T102" s="94"/>
      <c r="U102" s="96"/>
      <c r="V102" s="94"/>
      <c r="W102" s="96"/>
      <c r="X102" s="94"/>
      <c r="Y102" s="96"/>
      <c r="Z102" s="94"/>
      <c r="AA102" s="96"/>
      <c r="AB102" s="94"/>
      <c r="AC102" s="96"/>
    </row>
    <row r="103">
      <c r="A103" s="127"/>
      <c r="B103" s="86" t="s">
        <v>228</v>
      </c>
      <c r="C103" s="116"/>
      <c r="D103" s="116"/>
      <c r="E103" s="116"/>
      <c r="F103" s="116"/>
      <c r="G103" s="116"/>
      <c r="H103" s="116"/>
      <c r="I103" s="116"/>
      <c r="J103" s="116"/>
      <c r="K103" s="116"/>
      <c r="L103" s="116"/>
      <c r="M103" s="116"/>
      <c r="N103" s="116"/>
      <c r="O103" s="97">
        <f t="shared" si="110"/>
        <v>0</v>
      </c>
      <c r="P103" s="128" t="s">
        <v>179</v>
      </c>
      <c r="Q103" s="65" t="str">
        <f t="shared" si="111"/>
        <v/>
      </c>
      <c r="R103" s="94" t="s">
        <v>183</v>
      </c>
      <c r="S103" s="95">
        <f t="shared" si="112"/>
        <v>0</v>
      </c>
      <c r="T103" s="94"/>
      <c r="U103" s="103"/>
      <c r="V103" s="94"/>
      <c r="W103" s="103"/>
      <c r="X103" s="94"/>
      <c r="Y103" s="103"/>
      <c r="Z103" s="94"/>
      <c r="AA103" s="103"/>
      <c r="AB103" s="94"/>
      <c r="AC103" s="103"/>
    </row>
    <row r="104">
      <c r="A104" s="127"/>
      <c r="B104" s="86" t="s">
        <v>229</v>
      </c>
      <c r="C104" s="116">
        <f>1200/12</f>
        <v>100</v>
      </c>
      <c r="D104" s="116">
        <f>1200/12</f>
        <v>100</v>
      </c>
      <c r="E104" s="116">
        <f t="shared" ref="E104:N104" si="113">1200/12</f>
        <v>100</v>
      </c>
      <c r="F104" s="116">
        <f t="shared" si="113"/>
        <v>100</v>
      </c>
      <c r="G104" s="116">
        <f t="shared" si="113"/>
        <v>100</v>
      </c>
      <c r="H104" s="116">
        <f t="shared" si="113"/>
        <v>100</v>
      </c>
      <c r="I104" s="116">
        <f t="shared" si="113"/>
        <v>100</v>
      </c>
      <c r="J104" s="116">
        <f t="shared" si="113"/>
        <v>100</v>
      </c>
      <c r="K104" s="116">
        <f t="shared" si="113"/>
        <v>100</v>
      </c>
      <c r="L104" s="116">
        <f t="shared" si="113"/>
        <v>100</v>
      </c>
      <c r="M104" s="116">
        <f t="shared" si="113"/>
        <v>100</v>
      </c>
      <c r="N104" s="116">
        <f t="shared" si="113"/>
        <v>100</v>
      </c>
      <c r="O104" s="97">
        <f t="shared" si="110"/>
        <v>1200</v>
      </c>
      <c r="P104" s="128" t="s">
        <v>179</v>
      </c>
      <c r="Q104" s="65" t="str">
        <f t="shared" si="111"/>
        <v/>
      </c>
      <c r="R104" s="94" t="s">
        <v>126</v>
      </c>
      <c r="S104" s="95">
        <f t="shared" si="112"/>
        <v>1200</v>
      </c>
      <c r="T104" s="94"/>
      <c r="U104" s="103"/>
      <c r="V104" s="94"/>
      <c r="W104" s="103"/>
      <c r="X104" s="94"/>
      <c r="Y104" s="103"/>
      <c r="Z104" s="94"/>
      <c r="AA104" s="103"/>
      <c r="AB104" s="94"/>
      <c r="AC104" s="103"/>
    </row>
    <row r="105">
      <c r="A105" s="127"/>
      <c r="B105" s="86" t="s">
        <v>230</v>
      </c>
      <c r="C105" s="116">
        <f>1500/12</f>
        <v>125</v>
      </c>
      <c r="D105" s="116">
        <f t="shared" ref="D105:N105" si="114">1500/12</f>
        <v>125</v>
      </c>
      <c r="E105" s="116">
        <f t="shared" si="114"/>
        <v>125</v>
      </c>
      <c r="F105" s="116">
        <f t="shared" si="114"/>
        <v>125</v>
      </c>
      <c r="G105" s="116">
        <f t="shared" si="114"/>
        <v>125</v>
      </c>
      <c r="H105" s="116">
        <f t="shared" si="114"/>
        <v>125</v>
      </c>
      <c r="I105" s="116">
        <f t="shared" si="114"/>
        <v>125</v>
      </c>
      <c r="J105" s="116">
        <f t="shared" si="114"/>
        <v>125</v>
      </c>
      <c r="K105" s="116">
        <f t="shared" si="114"/>
        <v>125</v>
      </c>
      <c r="L105" s="116">
        <f t="shared" si="114"/>
        <v>125</v>
      </c>
      <c r="M105" s="116">
        <f t="shared" si="114"/>
        <v>125</v>
      </c>
      <c r="N105" s="116">
        <f t="shared" si="114"/>
        <v>125</v>
      </c>
      <c r="O105" s="97">
        <f t="shared" si="110"/>
        <v>1500</v>
      </c>
      <c r="P105" s="128" t="s">
        <v>179</v>
      </c>
      <c r="Q105" s="65" t="str">
        <f t="shared" si="111"/>
        <v/>
      </c>
      <c r="R105" s="94" t="s">
        <v>108</v>
      </c>
      <c r="S105" s="95">
        <f>O105*0.35</f>
        <v>525</v>
      </c>
      <c r="T105" s="94" t="s">
        <v>110</v>
      </c>
      <c r="U105" s="103">
        <f>O105*0.35</f>
        <v>525</v>
      </c>
      <c r="V105" s="94" t="s">
        <v>111</v>
      </c>
      <c r="W105" s="103">
        <f t="shared" ref="W105:W108" si="115">O105*0.1</f>
        <v>150</v>
      </c>
      <c r="X105" s="94" t="s">
        <v>126</v>
      </c>
      <c r="Y105" s="103">
        <f>O105*0.2</f>
        <v>300</v>
      </c>
      <c r="Z105" s="94"/>
      <c r="AA105" s="103"/>
      <c r="AB105" s="94"/>
      <c r="AC105" s="103"/>
    </row>
    <row r="106">
      <c r="A106" s="127"/>
      <c r="B106" s="86" t="s">
        <v>231</v>
      </c>
      <c r="C106" s="116">
        <f>2500/12</f>
        <v>208.33333333333334</v>
      </c>
      <c r="D106" s="116">
        <f t="shared" ref="D106:N106" si="116">2500/12</f>
        <v>208.33333333333334</v>
      </c>
      <c r="E106" s="116">
        <f t="shared" si="116"/>
        <v>208.33333333333334</v>
      </c>
      <c r="F106" s="116">
        <f t="shared" si="116"/>
        <v>208.33333333333334</v>
      </c>
      <c r="G106" s="116">
        <f t="shared" si="116"/>
        <v>208.33333333333334</v>
      </c>
      <c r="H106" s="116">
        <f t="shared" si="116"/>
        <v>208.33333333333334</v>
      </c>
      <c r="I106" s="116">
        <f t="shared" si="116"/>
        <v>208.33333333333334</v>
      </c>
      <c r="J106" s="116">
        <f t="shared" si="116"/>
        <v>208.33333333333334</v>
      </c>
      <c r="K106" s="116">
        <f t="shared" si="116"/>
        <v>208.33333333333334</v>
      </c>
      <c r="L106" s="116">
        <f t="shared" si="116"/>
        <v>208.33333333333334</v>
      </c>
      <c r="M106" s="116">
        <f t="shared" si="116"/>
        <v>208.33333333333334</v>
      </c>
      <c r="N106" s="116">
        <f t="shared" si="116"/>
        <v>208.33333333333334</v>
      </c>
      <c r="O106" s="97">
        <f t="shared" si="110"/>
        <v>2500</v>
      </c>
      <c r="P106" s="128" t="s">
        <v>179</v>
      </c>
      <c r="Q106" s="65" t="str">
        <f t="shared" si="111"/>
        <v/>
      </c>
      <c r="R106" s="94" t="s">
        <v>108</v>
      </c>
      <c r="S106" s="95">
        <f t="shared" ref="S106:S108" si="117">O106*0.4</f>
        <v>1000</v>
      </c>
      <c r="T106" s="94" t="s">
        <v>110</v>
      </c>
      <c r="U106" s="103">
        <f t="shared" ref="U106:U108" si="118">O106*0.4</f>
        <v>1000</v>
      </c>
      <c r="V106" s="94" t="s">
        <v>111</v>
      </c>
      <c r="W106" s="103">
        <f t="shared" si="115"/>
        <v>250</v>
      </c>
      <c r="X106" s="94" t="s">
        <v>126</v>
      </c>
      <c r="Y106" s="103">
        <f t="shared" ref="Y106:Y108" si="119">O106*0.1</f>
        <v>250</v>
      </c>
      <c r="Z106" s="94"/>
      <c r="AA106" s="103"/>
      <c r="AB106" s="94"/>
      <c r="AC106" s="103"/>
    </row>
    <row r="107">
      <c r="A107" s="127"/>
      <c r="B107" s="86" t="s">
        <v>232</v>
      </c>
      <c r="C107" s="116">
        <f>20000/12</f>
        <v>1666.6666666666667</v>
      </c>
      <c r="D107" s="116">
        <f t="shared" ref="D107:N107" si="120">20000/12</f>
        <v>1666.6666666666667</v>
      </c>
      <c r="E107" s="116">
        <f t="shared" si="120"/>
        <v>1666.6666666666667</v>
      </c>
      <c r="F107" s="116">
        <f t="shared" si="120"/>
        <v>1666.6666666666667</v>
      </c>
      <c r="G107" s="116">
        <f t="shared" si="120"/>
        <v>1666.6666666666667</v>
      </c>
      <c r="H107" s="116">
        <f t="shared" si="120"/>
        <v>1666.6666666666667</v>
      </c>
      <c r="I107" s="116">
        <f t="shared" si="120"/>
        <v>1666.6666666666667</v>
      </c>
      <c r="J107" s="116">
        <f t="shared" si="120"/>
        <v>1666.6666666666667</v>
      </c>
      <c r="K107" s="116">
        <f t="shared" si="120"/>
        <v>1666.6666666666667</v>
      </c>
      <c r="L107" s="116">
        <f t="shared" si="120"/>
        <v>1666.6666666666667</v>
      </c>
      <c r="M107" s="116">
        <f t="shared" si="120"/>
        <v>1666.6666666666667</v>
      </c>
      <c r="N107" s="116">
        <f t="shared" si="120"/>
        <v>1666.6666666666667</v>
      </c>
      <c r="O107" s="97">
        <f t="shared" si="110"/>
        <v>20000</v>
      </c>
      <c r="P107" s="128" t="s">
        <v>179</v>
      </c>
      <c r="Q107" s="65" t="str">
        <f t="shared" si="111"/>
        <v/>
      </c>
      <c r="R107" s="94" t="s">
        <v>108</v>
      </c>
      <c r="S107" s="95">
        <f t="shared" si="117"/>
        <v>8000</v>
      </c>
      <c r="T107" s="94" t="s">
        <v>110</v>
      </c>
      <c r="U107" s="103">
        <f t="shared" si="118"/>
        <v>8000</v>
      </c>
      <c r="V107" s="94" t="s">
        <v>111</v>
      </c>
      <c r="W107" s="103">
        <f t="shared" si="115"/>
        <v>2000</v>
      </c>
      <c r="X107" s="94" t="s">
        <v>126</v>
      </c>
      <c r="Y107" s="103">
        <f t="shared" si="119"/>
        <v>2000</v>
      </c>
      <c r="Z107" s="94"/>
      <c r="AA107" s="103"/>
      <c r="AB107" s="94"/>
      <c r="AC107" s="103"/>
    </row>
    <row r="108">
      <c r="A108" s="127"/>
      <c r="B108" s="86" t="s">
        <v>233</v>
      </c>
      <c r="C108" s="116">
        <f>9000/12</f>
        <v>750</v>
      </c>
      <c r="D108" s="116">
        <f t="shared" ref="D108:N108" si="121">9000/12</f>
        <v>750</v>
      </c>
      <c r="E108" s="116">
        <f t="shared" si="121"/>
        <v>750</v>
      </c>
      <c r="F108" s="116">
        <f t="shared" si="121"/>
        <v>750</v>
      </c>
      <c r="G108" s="116">
        <f t="shared" si="121"/>
        <v>750</v>
      </c>
      <c r="H108" s="116">
        <f t="shared" si="121"/>
        <v>750</v>
      </c>
      <c r="I108" s="116">
        <f t="shared" si="121"/>
        <v>750</v>
      </c>
      <c r="J108" s="116">
        <f t="shared" si="121"/>
        <v>750</v>
      </c>
      <c r="K108" s="116">
        <f t="shared" si="121"/>
        <v>750</v>
      </c>
      <c r="L108" s="116">
        <f t="shared" si="121"/>
        <v>750</v>
      </c>
      <c r="M108" s="116">
        <f t="shared" si="121"/>
        <v>750</v>
      </c>
      <c r="N108" s="116">
        <f t="shared" si="121"/>
        <v>750</v>
      </c>
      <c r="O108" s="97">
        <f t="shared" si="110"/>
        <v>9000</v>
      </c>
      <c r="P108" s="128" t="s">
        <v>179</v>
      </c>
      <c r="Q108" s="65" t="str">
        <f t="shared" si="111"/>
        <v/>
      </c>
      <c r="R108" s="94" t="s">
        <v>108</v>
      </c>
      <c r="S108" s="95">
        <f t="shared" si="117"/>
        <v>3600</v>
      </c>
      <c r="T108" s="94" t="s">
        <v>110</v>
      </c>
      <c r="U108" s="103">
        <f t="shared" si="118"/>
        <v>3600</v>
      </c>
      <c r="V108" s="94" t="s">
        <v>111</v>
      </c>
      <c r="W108" s="103">
        <f t="shared" si="115"/>
        <v>900</v>
      </c>
      <c r="X108" s="94" t="s">
        <v>126</v>
      </c>
      <c r="Y108" s="103">
        <f t="shared" si="119"/>
        <v>900</v>
      </c>
      <c r="Z108" s="94"/>
      <c r="AA108" s="103"/>
      <c r="AB108" s="94"/>
      <c r="AC108" s="103"/>
    </row>
    <row r="109">
      <c r="A109" s="127"/>
      <c r="B109" s="86" t="s">
        <v>234</v>
      </c>
      <c r="C109" s="116"/>
      <c r="D109" s="116"/>
      <c r="E109" s="116">
        <v>500</v>
      </c>
      <c r="F109" s="116"/>
      <c r="G109" s="116">
        <v>3000</v>
      </c>
      <c r="H109" s="116"/>
      <c r="I109" s="116"/>
      <c r="J109" s="116"/>
      <c r="K109" s="116">
        <v>500</v>
      </c>
      <c r="L109" s="116"/>
      <c r="M109" s="116"/>
      <c r="N109" s="116"/>
      <c r="O109" s="97">
        <f t="shared" si="110"/>
        <v>4000</v>
      </c>
      <c r="P109" s="128" t="s">
        <v>179</v>
      </c>
      <c r="Q109" s="65" t="str">
        <f t="shared" si="111"/>
        <v/>
      </c>
      <c r="R109" s="94" t="s">
        <v>183</v>
      </c>
      <c r="S109" s="95">
        <f t="shared" si="112"/>
        <v>4000</v>
      </c>
      <c r="T109" s="94"/>
      <c r="U109" s="103"/>
      <c r="V109" s="94"/>
      <c r="W109" s="103"/>
      <c r="X109" s="94"/>
      <c r="Y109" s="103"/>
      <c r="Z109" s="94"/>
      <c r="AA109" s="103"/>
      <c r="AB109" s="94"/>
      <c r="AC109" s="103"/>
    </row>
    <row r="110">
      <c r="A110" s="127"/>
      <c r="B110" s="86" t="s">
        <v>235</v>
      </c>
      <c r="C110" s="116"/>
      <c r="D110" s="116"/>
      <c r="E110" s="116"/>
      <c r="F110" s="116"/>
      <c r="G110" s="116"/>
      <c r="H110" s="116"/>
      <c r="I110" s="116"/>
      <c r="J110" s="116"/>
      <c r="K110" s="116"/>
      <c r="L110" s="116"/>
      <c r="M110" s="116"/>
      <c r="N110" s="116"/>
      <c r="O110" s="97">
        <f t="shared" si="110"/>
        <v>0</v>
      </c>
      <c r="P110" s="128" t="s">
        <v>179</v>
      </c>
      <c r="Q110" s="65" t="str">
        <f t="shared" si="111"/>
        <v/>
      </c>
      <c r="R110" s="94" t="s">
        <v>183</v>
      </c>
      <c r="S110" s="95">
        <f t="shared" si="112"/>
        <v>0</v>
      </c>
      <c r="T110" s="94"/>
      <c r="U110" s="103"/>
      <c r="V110" s="94"/>
      <c r="W110" s="103"/>
      <c r="X110" s="94"/>
      <c r="Y110" s="103"/>
      <c r="Z110" s="94"/>
      <c r="AA110" s="103"/>
      <c r="AB110" s="94"/>
      <c r="AC110" s="103"/>
    </row>
    <row r="111">
      <c r="A111" s="127"/>
      <c r="B111" s="86" t="s">
        <v>236</v>
      </c>
      <c r="C111" s="116">
        <v>6745.2000000000007</v>
      </c>
      <c r="D111" s="116">
        <v>5243.7000000000007</v>
      </c>
      <c r="E111" s="116">
        <v>6768.3000000000011</v>
      </c>
      <c r="F111" s="116">
        <v>7276.5000000000009</v>
      </c>
      <c r="G111" s="116">
        <v>11284.35</v>
      </c>
      <c r="H111" s="116">
        <v>4862.5500000000002</v>
      </c>
      <c r="I111" s="116">
        <v>369.59999999999997</v>
      </c>
      <c r="J111" s="116">
        <v>0</v>
      </c>
      <c r="K111" s="116">
        <v>11088</v>
      </c>
      <c r="L111" s="116">
        <v>7599.9000000000005</v>
      </c>
      <c r="M111" s="116">
        <v>8085</v>
      </c>
      <c r="N111" s="116">
        <v>4620.0000000000009</v>
      </c>
      <c r="O111" s="97">
        <f t="shared" si="110"/>
        <v>73943.100000000006</v>
      </c>
      <c r="P111" s="128" t="s">
        <v>191</v>
      </c>
      <c r="Q111" s="65" t="str">
        <f t="shared" si="111"/>
        <v/>
      </c>
      <c r="R111" s="94" t="s">
        <v>108</v>
      </c>
      <c r="S111" s="95">
        <f>(2.09/4.02)*O111</f>
        <v>38443.054477611942</v>
      </c>
      <c r="T111" s="94" t="s">
        <v>110</v>
      </c>
      <c r="U111" s="103">
        <f>(0.86/4.02)*O111</f>
        <v>15818.673134328361</v>
      </c>
      <c r="V111" s="94" t="s">
        <v>111</v>
      </c>
      <c r="W111" s="103">
        <f>(0.5/4.02)*O111</f>
        <v>9196.9029850746283</v>
      </c>
      <c r="X111" s="94" t="s">
        <v>126</v>
      </c>
      <c r="Y111" s="103">
        <f>(0.57/4.02)*O111</f>
        <v>10484.469402985074</v>
      </c>
      <c r="Z111" s="94"/>
      <c r="AA111" s="96"/>
      <c r="AB111" s="94"/>
      <c r="AC111" s="96"/>
    </row>
    <row r="112">
      <c r="A112" s="127"/>
      <c r="B112" s="86" t="s">
        <v>237</v>
      </c>
      <c r="C112" s="116">
        <f>55090+4020</f>
        <v>59110</v>
      </c>
      <c r="D112" s="116"/>
      <c r="E112" s="116"/>
      <c r="F112" s="116">
        <f>55090+4020</f>
        <v>59110</v>
      </c>
      <c r="G112" s="116"/>
      <c r="H112" s="116"/>
      <c r="I112" s="116">
        <f>55090+4020</f>
        <v>59110</v>
      </c>
      <c r="J112" s="116"/>
      <c r="K112" s="116"/>
      <c r="L112" s="116">
        <f>4020</f>
        <v>4020</v>
      </c>
      <c r="M112" s="116">
        <v>55090</v>
      </c>
      <c r="N112" s="116"/>
      <c r="O112" s="97">
        <f t="shared" si="110"/>
        <v>236440</v>
      </c>
      <c r="P112" s="128" t="s">
        <v>191</v>
      </c>
      <c r="Q112" s="65" t="str">
        <f t="shared" si="111"/>
        <v/>
      </c>
      <c r="R112" s="94" t="s">
        <v>183</v>
      </c>
      <c r="S112" s="95">
        <f>O112-U112</f>
        <v>220360</v>
      </c>
      <c r="T112" s="94" t="s">
        <v>126</v>
      </c>
      <c r="U112" s="103">
        <f>4020*4</f>
        <v>16080</v>
      </c>
      <c r="V112" s="94"/>
      <c r="W112" s="103"/>
      <c r="X112" s="94"/>
      <c r="Y112" s="103"/>
      <c r="Z112" s="94"/>
      <c r="AA112" s="103"/>
      <c r="AB112" s="94"/>
      <c r="AC112" s="103"/>
    </row>
    <row r="113">
      <c r="A113" s="127"/>
      <c r="B113" s="86" t="s">
        <v>238</v>
      </c>
      <c r="C113" s="116">
        <f>1234/12+5050</f>
        <v>5152.833333333333</v>
      </c>
      <c r="D113" s="116">
        <f t="shared" ref="D113:N113" si="122">1234/12</f>
        <v>102.83333333333333</v>
      </c>
      <c r="E113" s="116">
        <f t="shared" si="122"/>
        <v>102.83333333333333</v>
      </c>
      <c r="F113" s="116">
        <f>1234/12+5050</f>
        <v>5152.833333333333</v>
      </c>
      <c r="G113" s="116">
        <f t="shared" si="122"/>
        <v>102.83333333333333</v>
      </c>
      <c r="H113" s="116">
        <f t="shared" si="122"/>
        <v>102.83333333333333</v>
      </c>
      <c r="I113" s="116">
        <f>1234/12+5050</f>
        <v>5152.833333333333</v>
      </c>
      <c r="J113" s="116">
        <f t="shared" si="122"/>
        <v>102.83333333333333</v>
      </c>
      <c r="K113" s="116">
        <f t="shared" si="122"/>
        <v>102.83333333333333</v>
      </c>
      <c r="L113" s="116">
        <f>1234/12+5050</f>
        <v>5152.833333333333</v>
      </c>
      <c r="M113" s="116">
        <f t="shared" si="122"/>
        <v>102.83333333333333</v>
      </c>
      <c r="N113" s="116">
        <f t="shared" si="122"/>
        <v>102.83333333333333</v>
      </c>
      <c r="O113" s="97">
        <f t="shared" si="110"/>
        <v>21433.999999999996</v>
      </c>
      <c r="P113" s="128" t="s">
        <v>179</v>
      </c>
      <c r="Q113" s="65" t="str">
        <f t="shared" si="111"/>
        <v/>
      </c>
      <c r="R113" s="94" t="s">
        <v>183</v>
      </c>
      <c r="S113" s="95">
        <f t="shared" si="112"/>
        <v>21433.999999999996</v>
      </c>
      <c r="T113" s="94"/>
      <c r="U113" s="96"/>
      <c r="V113" s="94"/>
      <c r="W113" s="96"/>
      <c r="X113" s="94"/>
      <c r="Y113" s="96"/>
      <c r="Z113" s="94"/>
      <c r="AA113" s="96"/>
      <c r="AB113" s="94"/>
      <c r="AC113" s="96"/>
    </row>
    <row r="114">
      <c r="A114" s="127"/>
      <c r="B114" s="86" t="s">
        <v>239</v>
      </c>
      <c r="C114" s="116">
        <f>11000/4</f>
        <v>2750</v>
      </c>
      <c r="D114" s="116"/>
      <c r="E114" s="116"/>
      <c r="F114" s="116">
        <f>11000/4</f>
        <v>2750</v>
      </c>
      <c r="G114" s="116"/>
      <c r="H114" s="116"/>
      <c r="I114" s="116">
        <f>11000/4</f>
        <v>2750</v>
      </c>
      <c r="J114" s="116"/>
      <c r="K114" s="116"/>
      <c r="L114" s="116">
        <f>11000/4</f>
        <v>2750</v>
      </c>
      <c r="M114" s="116"/>
      <c r="N114" s="116"/>
      <c r="O114" s="97">
        <f t="shared" si="110"/>
        <v>11000</v>
      </c>
      <c r="P114" s="128" t="s">
        <v>179</v>
      </c>
      <c r="Q114" s="65" t="str">
        <f t="shared" si="111"/>
        <v/>
      </c>
      <c r="R114" s="94" t="s">
        <v>183</v>
      </c>
      <c r="S114" s="95">
        <f t="shared" si="112"/>
        <v>11000</v>
      </c>
      <c r="T114" s="94"/>
      <c r="U114" s="103"/>
      <c r="V114" s="94"/>
      <c r="W114" s="103"/>
      <c r="X114" s="94"/>
      <c r="Y114" s="103"/>
      <c r="Z114" s="94"/>
      <c r="AA114" s="103"/>
      <c r="AB114" s="94"/>
      <c r="AC114" s="103"/>
    </row>
    <row r="115">
      <c r="A115" s="127"/>
      <c r="B115" s="86" t="s">
        <v>240</v>
      </c>
      <c r="C115" s="116">
        <f>830+11</f>
        <v>841</v>
      </c>
      <c r="D115" s="116">
        <f t="shared" ref="D115:N115" si="123">830+11</f>
        <v>841</v>
      </c>
      <c r="E115" s="116">
        <f t="shared" si="123"/>
        <v>841</v>
      </c>
      <c r="F115" s="116">
        <f t="shared" si="123"/>
        <v>841</v>
      </c>
      <c r="G115" s="116">
        <f t="shared" si="123"/>
        <v>841</v>
      </c>
      <c r="H115" s="116">
        <f t="shared" si="123"/>
        <v>841</v>
      </c>
      <c r="I115" s="116">
        <f t="shared" si="123"/>
        <v>841</v>
      </c>
      <c r="J115" s="116">
        <f t="shared" si="123"/>
        <v>841</v>
      </c>
      <c r="K115" s="116">
        <f t="shared" si="123"/>
        <v>841</v>
      </c>
      <c r="L115" s="116">
        <f t="shared" si="123"/>
        <v>841</v>
      </c>
      <c r="M115" s="116">
        <f t="shared" si="123"/>
        <v>841</v>
      </c>
      <c r="N115" s="116">
        <f t="shared" si="123"/>
        <v>841</v>
      </c>
      <c r="O115" s="97">
        <f t="shared" si="110"/>
        <v>10092</v>
      </c>
      <c r="P115" s="128" t="s">
        <v>179</v>
      </c>
      <c r="Q115" s="65" t="str">
        <f t="shared" si="111"/>
        <v/>
      </c>
      <c r="R115" s="94" t="s">
        <v>183</v>
      </c>
      <c r="S115" s="95">
        <f t="shared" si="112"/>
        <v>10092</v>
      </c>
      <c r="T115" s="94"/>
      <c r="U115" s="103"/>
      <c r="V115" s="94"/>
      <c r="W115" s="103"/>
      <c r="X115" s="94"/>
      <c r="Y115" s="103"/>
      <c r="Z115" s="94"/>
      <c r="AA115" s="103"/>
      <c r="AB115" s="94"/>
      <c r="AC115" s="103"/>
    </row>
    <row r="116">
      <c r="A116" s="127"/>
      <c r="B116" s="86" t="s">
        <v>241</v>
      </c>
      <c r="C116" s="116">
        <f>10600/12</f>
        <v>883.33333333333337</v>
      </c>
      <c r="D116" s="116">
        <f t="shared" ref="D116:M116" si="124">10600/12</f>
        <v>883.33333333333337</v>
      </c>
      <c r="E116" s="116">
        <f t="shared" si="124"/>
        <v>883.33333333333337</v>
      </c>
      <c r="F116" s="116">
        <f t="shared" si="124"/>
        <v>883.33333333333337</v>
      </c>
      <c r="G116" s="116">
        <f t="shared" si="124"/>
        <v>883.33333333333337</v>
      </c>
      <c r="H116" s="116">
        <f t="shared" si="124"/>
        <v>883.33333333333337</v>
      </c>
      <c r="I116" s="116">
        <f t="shared" si="124"/>
        <v>883.33333333333337</v>
      </c>
      <c r="J116" s="116">
        <f t="shared" si="124"/>
        <v>883.33333333333337</v>
      </c>
      <c r="K116" s="116">
        <f t="shared" si="124"/>
        <v>883.33333333333337</v>
      </c>
      <c r="L116" s="116">
        <f t="shared" si="124"/>
        <v>883.33333333333337</v>
      </c>
      <c r="M116" s="116">
        <f t="shared" si="124"/>
        <v>883.33333333333337</v>
      </c>
      <c r="N116" s="116">
        <f>10600/12</f>
        <v>883.33333333333337</v>
      </c>
      <c r="O116" s="97">
        <f t="shared" si="110"/>
        <v>10600</v>
      </c>
      <c r="P116" s="128" t="s">
        <v>179</v>
      </c>
      <c r="Q116" s="65" t="str">
        <f t="shared" si="111"/>
        <v/>
      </c>
      <c r="R116" s="94" t="s">
        <v>183</v>
      </c>
      <c r="S116" s="95">
        <f t="shared" si="112"/>
        <v>10600</v>
      </c>
      <c r="T116" s="94"/>
      <c r="U116" s="103"/>
      <c r="V116" s="94"/>
      <c r="W116" s="103"/>
      <c r="X116" s="94"/>
      <c r="Y116" s="103"/>
      <c r="Z116" s="94"/>
      <c r="AA116" s="103"/>
      <c r="AB116" s="94"/>
      <c r="AC116" s="103"/>
    </row>
    <row r="117">
      <c r="A117" s="127"/>
      <c r="B117" s="86" t="s">
        <v>115</v>
      </c>
      <c r="C117" s="116">
        <f>15000/12</f>
        <v>1250</v>
      </c>
      <c r="D117" s="116">
        <f t="shared" ref="D117:N117" si="125">15000/12</f>
        <v>1250</v>
      </c>
      <c r="E117" s="116">
        <f t="shared" si="125"/>
        <v>1250</v>
      </c>
      <c r="F117" s="116">
        <f t="shared" si="125"/>
        <v>1250</v>
      </c>
      <c r="G117" s="116">
        <f t="shared" si="125"/>
        <v>1250</v>
      </c>
      <c r="H117" s="116">
        <f t="shared" si="125"/>
        <v>1250</v>
      </c>
      <c r="I117" s="116">
        <f t="shared" si="125"/>
        <v>1250</v>
      </c>
      <c r="J117" s="116">
        <f t="shared" si="125"/>
        <v>1250</v>
      </c>
      <c r="K117" s="116">
        <f t="shared" si="125"/>
        <v>1250</v>
      </c>
      <c r="L117" s="116">
        <f t="shared" si="125"/>
        <v>1250</v>
      </c>
      <c r="M117" s="116">
        <f t="shared" si="125"/>
        <v>1250</v>
      </c>
      <c r="N117" s="116">
        <f t="shared" si="125"/>
        <v>1250</v>
      </c>
      <c r="O117" s="97">
        <f t="shared" si="110"/>
        <v>15000</v>
      </c>
      <c r="P117" s="128" t="s">
        <v>179</v>
      </c>
      <c r="Q117" s="65" t="str">
        <f t="shared" si="111"/>
        <v/>
      </c>
      <c r="R117" s="94" t="s">
        <v>183</v>
      </c>
      <c r="S117" s="95">
        <f t="shared" si="112"/>
        <v>15000</v>
      </c>
      <c r="T117" s="94"/>
      <c r="U117" s="96"/>
      <c r="V117" s="94"/>
      <c r="W117" s="96"/>
      <c r="X117" s="94"/>
      <c r="Y117" s="96"/>
      <c r="Z117" s="94"/>
      <c r="AA117" s="96"/>
      <c r="AB117" s="94"/>
      <c r="AC117" s="96"/>
    </row>
    <row r="118">
      <c r="A118" s="127"/>
      <c r="B118" s="86" t="s">
        <v>242</v>
      </c>
      <c r="C118" s="116">
        <f>17500/12</f>
        <v>1458.3333333333333</v>
      </c>
      <c r="D118" s="116">
        <f t="shared" ref="D118:N118" si="126">17500/12</f>
        <v>1458.3333333333333</v>
      </c>
      <c r="E118" s="116">
        <f>17500/12+6240</f>
        <v>7698.333333333333</v>
      </c>
      <c r="F118" s="116">
        <f t="shared" si="126"/>
        <v>1458.3333333333333</v>
      </c>
      <c r="G118" s="116">
        <f t="shared" si="126"/>
        <v>1458.3333333333333</v>
      </c>
      <c r="H118" s="116">
        <f t="shared" si="126"/>
        <v>1458.3333333333333</v>
      </c>
      <c r="I118" s="116">
        <f t="shared" si="126"/>
        <v>1458.3333333333333</v>
      </c>
      <c r="J118" s="116">
        <f t="shared" si="126"/>
        <v>1458.3333333333333</v>
      </c>
      <c r="K118" s="116">
        <f>17500/12+8500</f>
        <v>9958.3333333333339</v>
      </c>
      <c r="L118" s="116">
        <f t="shared" si="126"/>
        <v>1458.3333333333333</v>
      </c>
      <c r="M118" s="116">
        <f t="shared" si="126"/>
        <v>1458.3333333333333</v>
      </c>
      <c r="N118" s="116">
        <f t="shared" si="126"/>
        <v>1458.3333333333333</v>
      </c>
      <c r="O118" s="97">
        <f t="shared" si="110"/>
        <v>32239.999999999996</v>
      </c>
      <c r="P118" s="128" t="s">
        <v>191</v>
      </c>
      <c r="Q118" s="65" t="str">
        <f t="shared" si="111"/>
        <v/>
      </c>
      <c r="R118" s="94" t="s">
        <v>183</v>
      </c>
      <c r="S118" s="95">
        <f t="shared" si="112"/>
        <v>32239.999999999996</v>
      </c>
      <c r="T118" s="94"/>
      <c r="U118" s="103"/>
      <c r="V118" s="94"/>
      <c r="W118" s="103"/>
      <c r="X118" s="94"/>
      <c r="Y118" s="103"/>
      <c r="Z118" s="94"/>
      <c r="AA118" s="103"/>
      <c r="AB118" s="94"/>
      <c r="AC118" s="103"/>
    </row>
    <row r="119">
      <c r="A119" s="127"/>
      <c r="B119" s="86" t="s">
        <v>243</v>
      </c>
      <c r="C119" s="116">
        <f>15000/12</f>
        <v>1250</v>
      </c>
      <c r="D119" s="116">
        <f t="shared" ref="D119:N119" si="127">15000/12</f>
        <v>1250</v>
      </c>
      <c r="E119" s="116">
        <f t="shared" si="127"/>
        <v>1250</v>
      </c>
      <c r="F119" s="116">
        <f t="shared" si="127"/>
        <v>1250</v>
      </c>
      <c r="G119" s="116">
        <f t="shared" si="127"/>
        <v>1250</v>
      </c>
      <c r="H119" s="116">
        <f t="shared" si="127"/>
        <v>1250</v>
      </c>
      <c r="I119" s="116">
        <f t="shared" si="127"/>
        <v>1250</v>
      </c>
      <c r="J119" s="116">
        <f t="shared" si="127"/>
        <v>1250</v>
      </c>
      <c r="K119" s="116">
        <f t="shared" si="127"/>
        <v>1250</v>
      </c>
      <c r="L119" s="116">
        <f t="shared" si="127"/>
        <v>1250</v>
      </c>
      <c r="M119" s="116">
        <f t="shared" si="127"/>
        <v>1250</v>
      </c>
      <c r="N119" s="116">
        <f t="shared" si="127"/>
        <v>1250</v>
      </c>
      <c r="O119" s="97">
        <f t="shared" si="110"/>
        <v>15000</v>
      </c>
      <c r="P119" s="128" t="s">
        <v>179</v>
      </c>
      <c r="Q119" s="65" t="str">
        <f t="shared" si="111"/>
        <v/>
      </c>
      <c r="R119" s="94" t="s">
        <v>183</v>
      </c>
      <c r="S119" s="95">
        <f t="shared" si="112"/>
        <v>15000</v>
      </c>
      <c r="T119" s="94"/>
      <c r="U119" s="103"/>
      <c r="V119" s="94"/>
      <c r="W119" s="103"/>
      <c r="X119" s="94"/>
      <c r="Y119" s="103"/>
      <c r="Z119" s="94"/>
      <c r="AA119" s="103"/>
      <c r="AB119" s="94"/>
      <c r="AC119" s="103"/>
    </row>
    <row r="120">
      <c r="A120" s="127"/>
      <c r="B120" s="86" t="s">
        <v>244</v>
      </c>
      <c r="C120" s="116"/>
      <c r="D120" s="116"/>
      <c r="E120" s="116"/>
      <c r="F120" s="116"/>
      <c r="G120" s="116"/>
      <c r="H120" s="116"/>
      <c r="I120" s="116"/>
      <c r="J120" s="116"/>
      <c r="K120" s="116">
        <v>1500</v>
      </c>
      <c r="L120" s="116"/>
      <c r="M120" s="116"/>
      <c r="N120" s="116"/>
      <c r="O120" s="97">
        <f t="shared" si="110"/>
        <v>1500</v>
      </c>
      <c r="P120" s="128" t="s">
        <v>179</v>
      </c>
      <c r="Q120" s="65" t="str">
        <f t="shared" si="111"/>
        <v/>
      </c>
      <c r="R120" s="94" t="s">
        <v>183</v>
      </c>
      <c r="S120" s="95">
        <f t="shared" si="112"/>
        <v>1500</v>
      </c>
      <c r="T120" s="94"/>
      <c r="U120" s="96"/>
      <c r="V120" s="94"/>
      <c r="W120" s="96"/>
      <c r="X120" s="94"/>
      <c r="Y120" s="96"/>
      <c r="Z120" s="94"/>
      <c r="AA120" s="96"/>
      <c r="AB120" s="94"/>
      <c r="AC120" s="96"/>
    </row>
    <row r="121">
      <c r="A121" s="127"/>
      <c r="B121" s="86" t="s">
        <v>245</v>
      </c>
      <c r="C121" s="116"/>
      <c r="D121" s="116">
        <f>2500/4</f>
        <v>625</v>
      </c>
      <c r="E121" s="116"/>
      <c r="F121" s="116"/>
      <c r="G121" s="116">
        <f>2500/4</f>
        <v>625</v>
      </c>
      <c r="H121" s="116"/>
      <c r="I121" s="116"/>
      <c r="J121" s="116">
        <f>2500/4</f>
        <v>625</v>
      </c>
      <c r="K121" s="116"/>
      <c r="L121" s="116"/>
      <c r="M121" s="116">
        <f>2500/4</f>
        <v>625</v>
      </c>
      <c r="N121" s="116"/>
      <c r="O121" s="97">
        <f t="shared" si="110"/>
        <v>2500</v>
      </c>
      <c r="P121" s="128" t="s">
        <v>179</v>
      </c>
      <c r="Q121" s="65" t="str">
        <f t="shared" si="111"/>
        <v/>
      </c>
      <c r="R121" s="94" t="s">
        <v>183</v>
      </c>
      <c r="S121" s="95">
        <f t="shared" si="112"/>
        <v>2500</v>
      </c>
      <c r="T121" s="94"/>
      <c r="U121" s="103"/>
      <c r="V121" s="94"/>
      <c r="W121" s="103"/>
      <c r="X121" s="94"/>
      <c r="Y121" s="103"/>
      <c r="Z121" s="94"/>
      <c r="AA121" s="103"/>
      <c r="AB121" s="94"/>
      <c r="AC121" s="103"/>
    </row>
    <row r="122">
      <c r="A122" s="127"/>
      <c r="B122" s="86" t="s">
        <v>246</v>
      </c>
      <c r="C122" s="116">
        <f>1200/12</f>
        <v>100</v>
      </c>
      <c r="D122" s="116">
        <f t="shared" ref="D122:N122" si="128">1200/12</f>
        <v>100</v>
      </c>
      <c r="E122" s="116">
        <f t="shared" si="128"/>
        <v>100</v>
      </c>
      <c r="F122" s="116">
        <f t="shared" si="128"/>
        <v>100</v>
      </c>
      <c r="G122" s="116">
        <f t="shared" si="128"/>
        <v>100</v>
      </c>
      <c r="H122" s="116">
        <f t="shared" si="128"/>
        <v>100</v>
      </c>
      <c r="I122" s="116">
        <f t="shared" si="128"/>
        <v>100</v>
      </c>
      <c r="J122" s="116">
        <f t="shared" si="128"/>
        <v>100</v>
      </c>
      <c r="K122" s="116">
        <f t="shared" si="128"/>
        <v>100</v>
      </c>
      <c r="L122" s="116">
        <f t="shared" si="128"/>
        <v>100</v>
      </c>
      <c r="M122" s="116">
        <f t="shared" si="128"/>
        <v>100</v>
      </c>
      <c r="N122" s="116">
        <f t="shared" si="128"/>
        <v>100</v>
      </c>
      <c r="O122" s="97">
        <f t="shared" si="110"/>
        <v>1200</v>
      </c>
      <c r="P122" s="128" t="s">
        <v>179</v>
      </c>
      <c r="Q122" s="65" t="str">
        <f t="shared" si="111"/>
        <v/>
      </c>
      <c r="R122" s="94" t="s">
        <v>183</v>
      </c>
      <c r="S122" s="95">
        <f t="shared" si="112"/>
        <v>1200</v>
      </c>
      <c r="T122" s="94"/>
      <c r="U122" s="96"/>
      <c r="V122" s="94"/>
      <c r="W122" s="96"/>
      <c r="X122" s="94"/>
      <c r="Y122" s="96"/>
      <c r="Z122" s="94"/>
      <c r="AA122" s="96"/>
      <c r="AB122" s="94"/>
      <c r="AC122" s="96"/>
    </row>
    <row r="123">
      <c r="A123" s="127"/>
      <c r="B123" s="86" t="s">
        <v>247</v>
      </c>
      <c r="C123" s="116">
        <f>2300/12</f>
        <v>191.66666666666666</v>
      </c>
      <c r="D123" s="116">
        <f t="shared" ref="D123:N123" si="129">2300/12</f>
        <v>191.66666666666666</v>
      </c>
      <c r="E123" s="116">
        <f t="shared" si="129"/>
        <v>191.66666666666666</v>
      </c>
      <c r="F123" s="116">
        <f t="shared" si="129"/>
        <v>191.66666666666666</v>
      </c>
      <c r="G123" s="116">
        <f t="shared" si="129"/>
        <v>191.66666666666666</v>
      </c>
      <c r="H123" s="116">
        <f t="shared" si="129"/>
        <v>191.66666666666666</v>
      </c>
      <c r="I123" s="116">
        <f t="shared" si="129"/>
        <v>191.66666666666666</v>
      </c>
      <c r="J123" s="116">
        <f t="shared" si="129"/>
        <v>191.66666666666666</v>
      </c>
      <c r="K123" s="116">
        <f t="shared" si="129"/>
        <v>191.66666666666666</v>
      </c>
      <c r="L123" s="116">
        <f t="shared" si="129"/>
        <v>191.66666666666666</v>
      </c>
      <c r="M123" s="116">
        <f t="shared" si="129"/>
        <v>191.66666666666666</v>
      </c>
      <c r="N123" s="116">
        <f t="shared" si="129"/>
        <v>191.66666666666666</v>
      </c>
      <c r="O123" s="97">
        <f t="shared" si="110"/>
        <v>2300</v>
      </c>
      <c r="P123" s="128" t="s">
        <v>179</v>
      </c>
      <c r="Q123" s="65" t="str">
        <f t="shared" si="111"/>
        <v/>
      </c>
      <c r="R123" s="94" t="s">
        <v>108</v>
      </c>
      <c r="S123" s="95">
        <f>(2.09/4.02)*O123</f>
        <v>1195.7711442786069</v>
      </c>
      <c r="T123" s="94" t="s">
        <v>110</v>
      </c>
      <c r="U123" s="103">
        <f>(0.86/4.02)*O123</f>
        <v>492.03980099502496</v>
      </c>
      <c r="V123" s="94" t="s">
        <v>111</v>
      </c>
      <c r="W123" s="103">
        <f>(0.5/4.02)*O123</f>
        <v>286.06965174129357</v>
      </c>
      <c r="X123" s="94" t="s">
        <v>126</v>
      </c>
      <c r="Y123" s="103">
        <f>(0.57/4.02)*O123</f>
        <v>326.1194029850746</v>
      </c>
      <c r="Z123" s="94"/>
      <c r="AA123" s="103"/>
      <c r="AB123" s="94"/>
      <c r="AC123" s="103"/>
    </row>
    <row r="124">
      <c r="A124" s="127"/>
      <c r="B124" s="86" t="s">
        <v>248</v>
      </c>
      <c r="C124" s="116">
        <f>5700/12</f>
        <v>475</v>
      </c>
      <c r="D124" s="116">
        <f t="shared" ref="D124:N124" si="130">5700/12</f>
        <v>475</v>
      </c>
      <c r="E124" s="116">
        <f t="shared" si="130"/>
        <v>475</v>
      </c>
      <c r="F124" s="116">
        <f t="shared" si="130"/>
        <v>475</v>
      </c>
      <c r="G124" s="116">
        <f t="shared" si="130"/>
        <v>475</v>
      </c>
      <c r="H124" s="116">
        <f t="shared" si="130"/>
        <v>475</v>
      </c>
      <c r="I124" s="116">
        <f t="shared" si="130"/>
        <v>475</v>
      </c>
      <c r="J124" s="116">
        <f t="shared" si="130"/>
        <v>475</v>
      </c>
      <c r="K124" s="116">
        <f t="shared" si="130"/>
        <v>475</v>
      </c>
      <c r="L124" s="116">
        <f t="shared" si="130"/>
        <v>475</v>
      </c>
      <c r="M124" s="116">
        <f t="shared" si="130"/>
        <v>475</v>
      </c>
      <c r="N124" s="116">
        <f t="shared" si="130"/>
        <v>475</v>
      </c>
      <c r="O124" s="97">
        <f t="shared" si="110"/>
        <v>5700</v>
      </c>
      <c r="P124" s="128" t="s">
        <v>179</v>
      </c>
      <c r="Q124" s="65" t="str">
        <f t="shared" si="111"/>
        <v/>
      </c>
      <c r="R124" s="94" t="s">
        <v>183</v>
      </c>
      <c r="S124" s="95">
        <f t="shared" si="112"/>
        <v>5700</v>
      </c>
      <c r="T124" s="94"/>
      <c r="U124" s="96"/>
      <c r="V124" s="94"/>
      <c r="W124" s="96"/>
      <c r="X124" s="94"/>
      <c r="Y124" s="96"/>
      <c r="Z124" s="94"/>
      <c r="AA124" s="96"/>
      <c r="AB124" s="94"/>
      <c r="AC124" s="96"/>
    </row>
    <row r="125">
      <c r="A125" s="127"/>
      <c r="B125" s="86" t="s">
        <v>249</v>
      </c>
      <c r="C125" s="116">
        <f>1500/12</f>
        <v>125</v>
      </c>
      <c r="D125" s="116">
        <f t="shared" ref="D125:N125" si="131">1500/12</f>
        <v>125</v>
      </c>
      <c r="E125" s="116">
        <f t="shared" si="131"/>
        <v>125</v>
      </c>
      <c r="F125" s="116">
        <f t="shared" si="131"/>
        <v>125</v>
      </c>
      <c r="G125" s="116">
        <f t="shared" si="131"/>
        <v>125</v>
      </c>
      <c r="H125" s="116">
        <f t="shared" si="131"/>
        <v>125</v>
      </c>
      <c r="I125" s="116">
        <f t="shared" si="131"/>
        <v>125</v>
      </c>
      <c r="J125" s="116">
        <f t="shared" si="131"/>
        <v>125</v>
      </c>
      <c r="K125" s="116">
        <f t="shared" si="131"/>
        <v>125</v>
      </c>
      <c r="L125" s="116">
        <f t="shared" si="131"/>
        <v>125</v>
      </c>
      <c r="M125" s="116">
        <f t="shared" si="131"/>
        <v>125</v>
      </c>
      <c r="N125" s="116">
        <f t="shared" si="131"/>
        <v>125</v>
      </c>
      <c r="O125" s="97">
        <f t="shared" si="110"/>
        <v>1500</v>
      </c>
      <c r="P125" s="128" t="s">
        <v>179</v>
      </c>
      <c r="Q125" s="65" t="str">
        <f t="shared" si="111"/>
        <v/>
      </c>
      <c r="R125" s="94" t="s">
        <v>183</v>
      </c>
      <c r="S125" s="95">
        <f t="shared" si="112"/>
        <v>1500</v>
      </c>
      <c r="T125" s="94"/>
      <c r="U125" s="96"/>
      <c r="V125" s="94"/>
      <c r="W125" s="96"/>
      <c r="X125" s="94"/>
      <c r="Y125" s="96"/>
      <c r="Z125" s="94"/>
      <c r="AA125" s="96"/>
      <c r="AB125" s="94"/>
      <c r="AC125" s="96"/>
    </row>
    <row r="126">
      <c r="A126" s="127"/>
      <c r="B126" s="86" t="s">
        <v>250</v>
      </c>
      <c r="C126" s="116">
        <f>12000/12</f>
        <v>1000</v>
      </c>
      <c r="D126" s="116">
        <f t="shared" ref="D126:N126" si="132">12000/12</f>
        <v>1000</v>
      </c>
      <c r="E126" s="116">
        <f t="shared" si="132"/>
        <v>1000</v>
      </c>
      <c r="F126" s="116">
        <f t="shared" si="132"/>
        <v>1000</v>
      </c>
      <c r="G126" s="116">
        <f t="shared" si="132"/>
        <v>1000</v>
      </c>
      <c r="H126" s="116">
        <f t="shared" si="132"/>
        <v>1000</v>
      </c>
      <c r="I126" s="116">
        <f t="shared" si="132"/>
        <v>1000</v>
      </c>
      <c r="J126" s="116">
        <f t="shared" si="132"/>
        <v>1000</v>
      </c>
      <c r="K126" s="116">
        <f t="shared" si="132"/>
        <v>1000</v>
      </c>
      <c r="L126" s="116">
        <f t="shared" si="132"/>
        <v>1000</v>
      </c>
      <c r="M126" s="116">
        <f t="shared" si="132"/>
        <v>1000</v>
      </c>
      <c r="N126" s="116">
        <f t="shared" si="132"/>
        <v>1000</v>
      </c>
      <c r="O126" s="97">
        <f t="shared" si="110"/>
        <v>12000</v>
      </c>
      <c r="P126" s="128" t="s">
        <v>179</v>
      </c>
      <c r="Q126" s="65" t="str">
        <f t="shared" si="111"/>
        <v/>
      </c>
      <c r="R126" s="94" t="s">
        <v>183</v>
      </c>
      <c r="S126" s="95">
        <f t="shared" si="112"/>
        <v>12000</v>
      </c>
      <c r="T126" s="94"/>
      <c r="U126" s="96"/>
      <c r="V126" s="94"/>
      <c r="W126" s="96"/>
      <c r="X126" s="94"/>
      <c r="Y126" s="96"/>
      <c r="Z126" s="94"/>
      <c r="AA126" s="96"/>
      <c r="AB126" s="94"/>
      <c r="AC126" s="96"/>
    </row>
    <row r="127">
      <c r="A127" s="127"/>
      <c r="B127" s="86" t="s">
        <v>251</v>
      </c>
      <c r="C127" s="116">
        <f>850+112+7+204</f>
        <v>1173</v>
      </c>
      <c r="D127" s="116">
        <f t="shared" ref="D127:N127" si="133">850+112+7+204</f>
        <v>1173</v>
      </c>
      <c r="E127" s="116">
        <f t="shared" si="133"/>
        <v>1173</v>
      </c>
      <c r="F127" s="116">
        <f t="shared" si="133"/>
        <v>1173</v>
      </c>
      <c r="G127" s="116">
        <f t="shared" si="133"/>
        <v>1173</v>
      </c>
      <c r="H127" s="116">
        <f t="shared" si="133"/>
        <v>1173</v>
      </c>
      <c r="I127" s="116">
        <f t="shared" si="133"/>
        <v>1173</v>
      </c>
      <c r="J127" s="116">
        <f t="shared" si="133"/>
        <v>1173</v>
      </c>
      <c r="K127" s="116">
        <f t="shared" si="133"/>
        <v>1173</v>
      </c>
      <c r="L127" s="116">
        <f t="shared" si="133"/>
        <v>1173</v>
      </c>
      <c r="M127" s="116">
        <f t="shared" si="133"/>
        <v>1173</v>
      </c>
      <c r="N127" s="116">
        <f t="shared" si="133"/>
        <v>1173</v>
      </c>
      <c r="O127" s="97">
        <f t="shared" si="110"/>
        <v>14076</v>
      </c>
      <c r="P127" s="128" t="s">
        <v>179</v>
      </c>
      <c r="Q127" s="65" t="str">
        <f t="shared" si="111"/>
        <v/>
      </c>
      <c r="R127" s="94" t="s">
        <v>183</v>
      </c>
      <c r="S127" s="95">
        <f t="shared" si="112"/>
        <v>14076</v>
      </c>
      <c r="T127" s="94" t="s">
        <v>126</v>
      </c>
      <c r="U127" s="96"/>
      <c r="V127" s="94"/>
      <c r="W127" s="96"/>
      <c r="X127" s="94"/>
      <c r="Y127" s="96"/>
      <c r="Z127" s="94"/>
      <c r="AA127" s="96"/>
      <c r="AB127" s="94"/>
      <c r="AC127" s="96"/>
    </row>
    <row r="128">
      <c r="A128" s="127"/>
      <c r="B128" s="86" t="s">
        <v>252</v>
      </c>
      <c r="C128" s="116">
        <f>6000+7000/12</f>
        <v>6583.333333333333</v>
      </c>
      <c r="D128" s="116">
        <f>7000/12</f>
        <v>583.33333333333337</v>
      </c>
      <c r="E128" s="116">
        <f t="shared" ref="E128:N128" si="134">7000/12</f>
        <v>583.33333333333337</v>
      </c>
      <c r="F128" s="116">
        <f t="shared" si="134"/>
        <v>583.33333333333337</v>
      </c>
      <c r="G128" s="116">
        <f t="shared" si="134"/>
        <v>583.33333333333337</v>
      </c>
      <c r="H128" s="116">
        <f t="shared" si="134"/>
        <v>583.33333333333337</v>
      </c>
      <c r="I128" s="116">
        <f t="shared" si="134"/>
        <v>583.33333333333337</v>
      </c>
      <c r="J128" s="116">
        <f t="shared" si="134"/>
        <v>583.33333333333337</v>
      </c>
      <c r="K128" s="116">
        <f t="shared" si="134"/>
        <v>583.33333333333337</v>
      </c>
      <c r="L128" s="116">
        <f t="shared" si="134"/>
        <v>583.33333333333337</v>
      </c>
      <c r="M128" s="116">
        <f t="shared" si="134"/>
        <v>583.33333333333337</v>
      </c>
      <c r="N128" s="116">
        <f t="shared" si="134"/>
        <v>583.33333333333337</v>
      </c>
      <c r="O128" s="97">
        <f t="shared" si="110"/>
        <v>13000.000000000004</v>
      </c>
      <c r="P128" s="128" t="s">
        <v>179</v>
      </c>
      <c r="Q128" s="65" t="str">
        <f t="shared" si="111"/>
        <v/>
      </c>
      <c r="R128" s="94" t="s">
        <v>183</v>
      </c>
      <c r="S128" s="95">
        <f t="shared" si="112"/>
        <v>13000.000000000004</v>
      </c>
      <c r="T128" s="94" t="s">
        <v>126</v>
      </c>
      <c r="U128" s="103"/>
      <c r="V128" s="94"/>
      <c r="W128" s="103"/>
      <c r="X128" s="94"/>
      <c r="Y128" s="103"/>
      <c r="Z128" s="94"/>
      <c r="AA128" s="103"/>
      <c r="AB128" s="94"/>
      <c r="AC128" s="103"/>
    </row>
    <row r="129">
      <c r="A129" s="127"/>
      <c r="B129" s="86" t="s">
        <v>253</v>
      </c>
      <c r="C129" s="116">
        <f>72</f>
        <v>72</v>
      </c>
      <c r="D129" s="116">
        <f>72+230</f>
        <v>302</v>
      </c>
      <c r="E129" s="116">
        <f>72</f>
        <v>72</v>
      </c>
      <c r="F129" s="116">
        <f>72+230</f>
        <v>302</v>
      </c>
      <c r="G129" s="116">
        <f>72</f>
        <v>72</v>
      </c>
      <c r="H129" s="116">
        <f>72+230</f>
        <v>302</v>
      </c>
      <c r="I129" s="116">
        <f>72</f>
        <v>72</v>
      </c>
      <c r="J129" s="116">
        <f>72+230</f>
        <v>302</v>
      </c>
      <c r="K129" s="116">
        <f>72</f>
        <v>72</v>
      </c>
      <c r="L129" s="116">
        <f>72+230</f>
        <v>302</v>
      </c>
      <c r="M129" s="116">
        <f>72</f>
        <v>72</v>
      </c>
      <c r="N129" s="116">
        <f>72+230</f>
        <v>302</v>
      </c>
      <c r="O129" s="97">
        <f t="shared" si="110"/>
        <v>2244</v>
      </c>
      <c r="P129" s="128" t="s">
        <v>179</v>
      </c>
      <c r="Q129" s="65" t="str">
        <f t="shared" si="111"/>
        <v/>
      </c>
      <c r="R129" s="94" t="s">
        <v>183</v>
      </c>
      <c r="S129" s="95">
        <f t="shared" si="112"/>
        <v>2244</v>
      </c>
      <c r="T129" s="94" t="s">
        <v>126</v>
      </c>
      <c r="U129" s="103"/>
      <c r="V129" s="94"/>
      <c r="W129" s="103"/>
      <c r="X129" s="94"/>
      <c r="Y129" s="103"/>
      <c r="Z129" s="94"/>
      <c r="AA129" s="103"/>
      <c r="AB129" s="94"/>
      <c r="AC129" s="103"/>
    </row>
    <row r="130">
      <c r="A130" s="127"/>
      <c r="B130" s="86" t="s">
        <v>254</v>
      </c>
      <c r="C130" s="116">
        <v>8</v>
      </c>
      <c r="D130" s="116">
        <v>8</v>
      </c>
      <c r="E130" s="116">
        <v>8</v>
      </c>
      <c r="F130" s="116">
        <v>8</v>
      </c>
      <c r="G130" s="116">
        <v>8</v>
      </c>
      <c r="H130" s="116">
        <f>8+150</f>
        <v>158</v>
      </c>
      <c r="I130" s="116">
        <v>8</v>
      </c>
      <c r="J130" s="116">
        <v>8</v>
      </c>
      <c r="K130" s="116">
        <v>8</v>
      </c>
      <c r="L130" s="116">
        <f>8+150</f>
        <v>158</v>
      </c>
      <c r="M130" s="116">
        <v>8</v>
      </c>
      <c r="N130" s="116">
        <v>8</v>
      </c>
      <c r="O130" s="97">
        <f t="shared" si="110"/>
        <v>396</v>
      </c>
      <c r="P130" s="128" t="s">
        <v>179</v>
      </c>
      <c r="Q130" s="65" t="str">
        <f t="shared" si="111"/>
        <v/>
      </c>
      <c r="R130" s="94" t="s">
        <v>183</v>
      </c>
      <c r="S130" s="95">
        <f t="shared" si="112"/>
        <v>396</v>
      </c>
      <c r="T130" s="94"/>
      <c r="U130" s="103"/>
      <c r="V130" s="94"/>
      <c r="W130" s="103"/>
      <c r="X130" s="94"/>
      <c r="Y130" s="103"/>
      <c r="Z130" s="94"/>
      <c r="AA130" s="103"/>
      <c r="AB130" s="94"/>
      <c r="AC130" s="103"/>
    </row>
    <row r="131">
      <c r="A131" s="127"/>
      <c r="B131" s="86" t="s">
        <v>255</v>
      </c>
      <c r="C131" s="116"/>
      <c r="D131" s="116"/>
      <c r="E131" s="116"/>
      <c r="F131" s="116"/>
      <c r="G131" s="116"/>
      <c r="H131" s="116"/>
      <c r="I131" s="116"/>
      <c r="J131" s="116"/>
      <c r="K131" s="116"/>
      <c r="L131" s="116"/>
      <c r="M131" s="116"/>
      <c r="N131" s="116"/>
      <c r="O131" s="97">
        <f t="shared" si="110"/>
        <v>0</v>
      </c>
      <c r="P131" s="128" t="s">
        <v>179</v>
      </c>
      <c r="Q131" s="65" t="str">
        <f t="shared" si="111"/>
        <v/>
      </c>
      <c r="R131" s="94" t="s">
        <v>183</v>
      </c>
      <c r="S131" s="95">
        <f t="shared" si="112"/>
        <v>0</v>
      </c>
      <c r="T131" s="94"/>
      <c r="U131" s="96"/>
      <c r="V131" s="94"/>
      <c r="W131" s="96"/>
      <c r="X131" s="94"/>
      <c r="Y131" s="96"/>
      <c r="Z131" s="94"/>
      <c r="AA131" s="96"/>
      <c r="AB131" s="94"/>
      <c r="AC131" s="96"/>
    </row>
    <row r="132">
      <c r="A132" s="127"/>
      <c r="B132" s="86" t="s">
        <v>256</v>
      </c>
      <c r="C132" s="116"/>
      <c r="D132" s="116"/>
      <c r="E132" s="116"/>
      <c r="F132" s="116"/>
      <c r="G132" s="116"/>
      <c r="H132" s="116"/>
      <c r="I132" s="116"/>
      <c r="J132" s="116"/>
      <c r="K132" s="116"/>
      <c r="L132" s="116"/>
      <c r="M132" s="116"/>
      <c r="N132" s="116"/>
      <c r="O132" s="97">
        <f t="shared" si="110"/>
        <v>0</v>
      </c>
      <c r="P132" s="128" t="s">
        <v>179</v>
      </c>
      <c r="Q132" s="65" t="str">
        <f t="shared" si="111"/>
        <v/>
      </c>
      <c r="R132" s="94" t="s">
        <v>183</v>
      </c>
      <c r="S132" s="95">
        <f t="shared" si="112"/>
        <v>0</v>
      </c>
      <c r="T132" s="94"/>
      <c r="U132" s="96"/>
      <c r="V132" s="94"/>
      <c r="W132" s="96"/>
      <c r="X132" s="94"/>
      <c r="Y132" s="96"/>
      <c r="Z132" s="94"/>
      <c r="AA132" s="96"/>
      <c r="AB132" s="94"/>
      <c r="AC132" s="96"/>
    </row>
    <row r="133">
      <c r="A133" s="127"/>
      <c r="B133" s="86" t="s">
        <v>257</v>
      </c>
      <c r="C133" s="116"/>
      <c r="D133" s="116"/>
      <c r="E133" s="116">
        <f>15000/4</f>
        <v>3750</v>
      </c>
      <c r="F133" s="116"/>
      <c r="G133" s="116"/>
      <c r="H133" s="116">
        <f>15000/4</f>
        <v>3750</v>
      </c>
      <c r="I133" s="116"/>
      <c r="J133" s="116"/>
      <c r="K133" s="116">
        <f>15000/4</f>
        <v>3750</v>
      </c>
      <c r="L133" s="116"/>
      <c r="M133" s="116"/>
      <c r="N133" s="116"/>
      <c r="O133" s="97">
        <f t="shared" si="110"/>
        <v>11250</v>
      </c>
      <c r="P133" s="128" t="s">
        <v>179</v>
      </c>
      <c r="Q133" s="65" t="str">
        <f t="shared" si="111"/>
        <v/>
      </c>
      <c r="R133" s="94" t="s">
        <v>183</v>
      </c>
      <c r="S133" s="95">
        <f t="shared" si="112"/>
        <v>11250</v>
      </c>
      <c r="T133" s="94"/>
      <c r="U133" s="103"/>
      <c r="V133" s="94"/>
      <c r="W133" s="103"/>
      <c r="X133" s="94"/>
      <c r="Y133" s="103"/>
      <c r="Z133" s="94"/>
      <c r="AA133" s="103"/>
      <c r="AB133" s="94"/>
      <c r="AC133" s="103"/>
    </row>
    <row r="134">
      <c r="A134" s="127"/>
      <c r="B134" s="86" t="s">
        <v>258</v>
      </c>
      <c r="C134" s="116">
        <f>7500/12</f>
        <v>625</v>
      </c>
      <c r="D134" s="116">
        <f t="shared" ref="D134:N134" si="135">7500/12</f>
        <v>625</v>
      </c>
      <c r="E134" s="116">
        <f t="shared" si="135"/>
        <v>625</v>
      </c>
      <c r="F134" s="116">
        <f t="shared" si="135"/>
        <v>625</v>
      </c>
      <c r="G134" s="116">
        <f t="shared" si="135"/>
        <v>625</v>
      </c>
      <c r="H134" s="116">
        <f t="shared" si="135"/>
        <v>625</v>
      </c>
      <c r="I134" s="116">
        <f t="shared" si="135"/>
        <v>625</v>
      </c>
      <c r="J134" s="116">
        <f t="shared" si="135"/>
        <v>625</v>
      </c>
      <c r="K134" s="116">
        <f t="shared" si="135"/>
        <v>625</v>
      </c>
      <c r="L134" s="116">
        <f t="shared" si="135"/>
        <v>625</v>
      </c>
      <c r="M134" s="116">
        <f t="shared" si="135"/>
        <v>625</v>
      </c>
      <c r="N134" s="116">
        <f t="shared" si="135"/>
        <v>625</v>
      </c>
      <c r="O134" s="97">
        <f t="shared" si="110"/>
        <v>7500</v>
      </c>
      <c r="P134" s="128" t="s">
        <v>179</v>
      </c>
      <c r="Q134" s="65" t="str">
        <f t="shared" si="111"/>
        <v/>
      </c>
      <c r="R134" s="94" t="s">
        <v>183</v>
      </c>
      <c r="S134" s="95">
        <f t="shared" si="112"/>
        <v>7500</v>
      </c>
      <c r="T134" s="94"/>
      <c r="U134" s="103"/>
      <c r="V134" s="94"/>
      <c r="W134" s="103"/>
      <c r="X134" s="94"/>
      <c r="Y134" s="103"/>
      <c r="Z134" s="94"/>
      <c r="AA134" s="103"/>
      <c r="AB134" s="94"/>
      <c r="AC134" s="103"/>
    </row>
    <row r="135">
      <c r="A135" s="127"/>
      <c r="B135" s="86" t="s">
        <v>259</v>
      </c>
      <c r="C135" s="116">
        <v>2500</v>
      </c>
      <c r="D135" s="116"/>
      <c r="E135" s="116"/>
      <c r="F135" s="116">
        <v>2500</v>
      </c>
      <c r="G135" s="116"/>
      <c r="H135" s="116"/>
      <c r="I135" s="116">
        <v>2500</v>
      </c>
      <c r="J135" s="116"/>
      <c r="K135" s="116"/>
      <c r="L135" s="116">
        <v>2500</v>
      </c>
      <c r="M135" s="116"/>
      <c r="N135" s="116"/>
      <c r="O135" s="97">
        <f t="shared" si="110"/>
        <v>10000</v>
      </c>
      <c r="P135" s="128" t="s">
        <v>179</v>
      </c>
      <c r="Q135" s="65" t="str">
        <f t="shared" si="111"/>
        <v/>
      </c>
      <c r="R135" s="94" t="s">
        <v>183</v>
      </c>
      <c r="S135" s="95">
        <f t="shared" si="112"/>
        <v>10000</v>
      </c>
      <c r="T135" s="94"/>
      <c r="U135" s="96"/>
      <c r="V135" s="94"/>
      <c r="W135" s="96"/>
      <c r="X135" s="94"/>
      <c r="Y135" s="96"/>
      <c r="Z135" s="94"/>
      <c r="AA135" s="96"/>
      <c r="AB135" s="94"/>
      <c r="AC135" s="96"/>
    </row>
    <row r="136" ht="15">
      <c r="A136" s="129"/>
      <c r="B136" s="109"/>
      <c r="C136" s="120"/>
      <c r="D136" s="120"/>
      <c r="E136" s="120"/>
      <c r="F136" s="120"/>
      <c r="G136" s="120"/>
      <c r="H136" s="120"/>
      <c r="I136" s="120"/>
      <c r="J136" s="120"/>
      <c r="K136" s="120"/>
      <c r="L136" s="120"/>
      <c r="M136" s="120"/>
      <c r="N136" s="120"/>
      <c r="O136" s="111">
        <f t="shared" si="110"/>
        <v>0</v>
      </c>
      <c r="P136" s="130" t="s">
        <v>179</v>
      </c>
      <c r="Q136" s="65" t="str">
        <f t="shared" si="111"/>
        <v/>
      </c>
      <c r="R136" s="94" t="s">
        <v>183</v>
      </c>
      <c r="S136" s="95">
        <f t="shared" si="112"/>
        <v>0</v>
      </c>
      <c r="T136" s="94"/>
      <c r="U136" s="103"/>
      <c r="V136" s="94"/>
      <c r="W136" s="103"/>
      <c r="X136" s="94"/>
      <c r="Y136" s="103"/>
      <c r="Z136" s="94"/>
      <c r="AA136" s="103"/>
      <c r="AB136" s="94"/>
      <c r="AC136" s="103"/>
    </row>
    <row r="137" ht="15">
      <c r="A137" s="131" t="s">
        <v>260</v>
      </c>
      <c r="B137" s="86" t="s">
        <v>261</v>
      </c>
      <c r="C137" s="153">
        <f>0.07*SUM(C143:C145)</f>
        <v>5828.9918726199994</v>
      </c>
      <c r="D137" s="153">
        <f>0.07*SUM(D143:D145)</f>
        <v>5684.7878126200003</v>
      </c>
      <c r="E137" s="153">
        <f t="shared" ref="E137:N137" si="136">0.07*SUM(E143:E145)</f>
        <v>5831.2103966200002</v>
      </c>
      <c r="F137" s="153">
        <f t="shared" si="136"/>
        <v>5880.0179246200005</v>
      </c>
      <c r="G137" s="153">
        <f t="shared" si="136"/>
        <v>6264.9318386200002</v>
      </c>
      <c r="H137" s="153">
        <f t="shared" si="136"/>
        <v>5648.1821666200003</v>
      </c>
      <c r="I137" s="153">
        <f t="shared" si="136"/>
        <v>5216.6792486200002</v>
      </c>
      <c r="J137" s="153">
        <f t="shared" si="136"/>
        <v>5181.1828646200001</v>
      </c>
      <c r="K137" s="153">
        <f t="shared" si="136"/>
        <v>6246.0743846200003</v>
      </c>
      <c r="L137" s="153">
        <f t="shared" si="136"/>
        <v>5911.0772606199998</v>
      </c>
      <c r="M137" s="153">
        <f t="shared" si="136"/>
        <v>5957.6662646200002</v>
      </c>
      <c r="N137" s="153">
        <f t="shared" si="136"/>
        <v>5624.8876646199997</v>
      </c>
      <c r="O137" s="108">
        <f t="shared" si="110"/>
        <v>69275.689699439987</v>
      </c>
      <c r="P137" s="132" t="s">
        <v>191</v>
      </c>
      <c r="Q137" s="65" t="str">
        <f t="shared" si="111"/>
        <v>x</v>
      </c>
      <c r="R137" s="94" t="s">
        <v>108</v>
      </c>
      <c r="S137" s="95">
        <f>$O$137*SUM(S143:S145)/SUM($O$143:$O$145)</f>
        <v>18345.547048029857</v>
      </c>
      <c r="T137" s="94" t="s">
        <v>110</v>
      </c>
      <c r="U137" s="95">
        <f>$O$137*SUM(U143:U145)/SUM($O$143:$O$145)</f>
        <v>14880.190271820898</v>
      </c>
      <c r="V137" s="94" t="s">
        <v>126</v>
      </c>
      <c r="W137" s="95">
        <f>$O$137*SUM(W143:W145)/SUM($O$143:$O$145)</f>
        <v>6790.0799694626885</v>
      </c>
      <c r="X137" s="94" t="s">
        <v>111</v>
      </c>
      <c r="Y137" s="95">
        <f>$O$137*SUM(Y143:Y145)/SUM($O$143:$O$145)</f>
        <v>8931.4785626865687</v>
      </c>
      <c r="Z137" s="94" t="s">
        <v>183</v>
      </c>
      <c r="AA137" s="95">
        <f>$O$137*SUM(AA143:AA145)/SUM($O$143:$O$145)</f>
        <v>18358.756416000004</v>
      </c>
      <c r="AB137" s="94"/>
      <c r="AC137" s="96"/>
    </row>
    <row r="138">
      <c r="A138" s="133"/>
      <c r="B138" s="86" t="s">
        <v>262</v>
      </c>
      <c r="C138" s="153">
        <f>0.02*SUM(C143:C145)</f>
        <v>1665.4262493199999</v>
      </c>
      <c r="D138" s="153">
        <f>0.02*SUM(D143:D145)</f>
        <v>1624.2250893200001</v>
      </c>
      <c r="E138" s="153">
        <f t="shared" ref="E138:N138" si="137">0.02*SUM(E143:E145)</f>
        <v>1666.06011332</v>
      </c>
      <c r="F138" s="153">
        <f t="shared" si="137"/>
        <v>1680.0051213200002</v>
      </c>
      <c r="G138" s="153">
        <f t="shared" si="137"/>
        <v>1789.98052532</v>
      </c>
      <c r="H138" s="153">
        <f t="shared" si="137"/>
        <v>1613.7663333200001</v>
      </c>
      <c r="I138" s="153">
        <f t="shared" si="137"/>
        <v>1490.4797853199998</v>
      </c>
      <c r="J138" s="153">
        <f t="shared" si="137"/>
        <v>1480.33796132</v>
      </c>
      <c r="K138" s="153">
        <f t="shared" si="137"/>
        <v>1784.5926813200001</v>
      </c>
      <c r="L138" s="153">
        <f t="shared" si="137"/>
        <v>1688.87921732</v>
      </c>
      <c r="M138" s="153">
        <f t="shared" si="137"/>
        <v>1702.1903613199997</v>
      </c>
      <c r="N138" s="153">
        <f t="shared" si="137"/>
        <v>1607.1107613199999</v>
      </c>
      <c r="O138" s="97">
        <f t="shared" si="110"/>
        <v>19793.05419984</v>
      </c>
      <c r="P138" s="132" t="s">
        <v>191</v>
      </c>
      <c r="Q138" s="65" t="str">
        <f t="shared" si="111"/>
        <v>x</v>
      </c>
      <c r="R138" s="94" t="s">
        <v>108</v>
      </c>
      <c r="S138" s="95">
        <f>$O$138*SUM(S143:S145)/SUM($O$143:$O$145)</f>
        <v>5241.584870865674</v>
      </c>
      <c r="T138" s="94" t="s">
        <v>110</v>
      </c>
      <c r="U138" s="95">
        <f>$O$138*SUM(U143:U145)/SUM($O$143:$O$145)</f>
        <v>4251.482934805972</v>
      </c>
      <c r="V138" s="94" t="s">
        <v>126</v>
      </c>
      <c r="W138" s="95">
        <f>$O$138*SUM(W143:W145)/SUM($O$143:$O$145)</f>
        <v>1940.0228484179113</v>
      </c>
      <c r="X138" s="94" t="s">
        <v>111</v>
      </c>
      <c r="Y138" s="95">
        <f>$O$138*SUM(Y143:Y145)/SUM($O$143:$O$145)</f>
        <v>2551.8510179104487</v>
      </c>
      <c r="Z138" s="94" t="s">
        <v>183</v>
      </c>
      <c r="AA138" s="95">
        <f>$O$138*SUM(AA143:AA145)/SUM($O$143:$O$145)</f>
        <v>5245.3589760000023</v>
      </c>
      <c r="AB138" s="94"/>
      <c r="AC138" s="96"/>
    </row>
    <row r="139">
      <c r="A139" s="133"/>
      <c r="B139" s="86" t="s">
        <v>263</v>
      </c>
      <c r="C139" s="116"/>
      <c r="D139" s="116"/>
      <c r="E139" s="116"/>
      <c r="F139" s="116"/>
      <c r="G139" s="116"/>
      <c r="H139" s="116"/>
      <c r="I139" s="116"/>
      <c r="J139" s="116"/>
      <c r="K139" s="116"/>
      <c r="L139" s="116"/>
      <c r="M139" s="116"/>
      <c r="N139" s="116"/>
      <c r="O139" s="97">
        <f t="shared" si="110"/>
        <v>0</v>
      </c>
      <c r="P139" s="128" t="s">
        <v>179</v>
      </c>
      <c r="Q139" s="65" t="str">
        <f t="shared" si="111"/>
        <v/>
      </c>
      <c r="R139" s="94" t="s">
        <v>183</v>
      </c>
      <c r="S139" s="95">
        <f t="shared" si="112"/>
        <v>0</v>
      </c>
      <c r="T139" s="94"/>
      <c r="U139" s="103"/>
      <c r="V139" s="94"/>
      <c r="W139" s="103"/>
      <c r="X139" s="94"/>
      <c r="Y139" s="103"/>
      <c r="Z139" s="94"/>
      <c r="AA139" s="103"/>
      <c r="AB139" s="94"/>
      <c r="AC139" s="103"/>
    </row>
    <row r="140">
      <c r="A140" s="133"/>
      <c r="B140" s="86"/>
      <c r="C140" s="116"/>
      <c r="D140" s="116"/>
      <c r="E140" s="116"/>
      <c r="F140" s="116"/>
      <c r="G140" s="116"/>
      <c r="H140" s="116"/>
      <c r="I140" s="116"/>
      <c r="J140" s="116"/>
      <c r="K140" s="116"/>
      <c r="L140" s="116"/>
      <c r="M140" s="116"/>
      <c r="N140" s="116"/>
      <c r="O140" s="97">
        <f t="shared" si="110"/>
        <v>0</v>
      </c>
      <c r="P140" s="128" t="s">
        <v>179</v>
      </c>
      <c r="Q140" s="65" t="str">
        <f t="shared" si="111"/>
        <v/>
      </c>
      <c r="R140" s="94" t="s">
        <v>183</v>
      </c>
      <c r="S140" s="95">
        <f t="shared" si="112"/>
        <v>0</v>
      </c>
      <c r="T140" s="94"/>
      <c r="U140" s="95"/>
      <c r="V140" s="94"/>
      <c r="W140" s="95"/>
      <c r="X140" s="94"/>
      <c r="Y140" s="95"/>
      <c r="Z140" s="94"/>
      <c r="AA140" s="95"/>
      <c r="AB140" s="94"/>
      <c r="AC140" s="95"/>
    </row>
    <row r="141">
      <c r="A141" s="133"/>
      <c r="B141" s="86"/>
      <c r="C141" s="116"/>
      <c r="D141" s="116"/>
      <c r="E141" s="116"/>
      <c r="F141" s="116"/>
      <c r="G141" s="116"/>
      <c r="H141" s="116"/>
      <c r="I141" s="116"/>
      <c r="J141" s="116"/>
      <c r="K141" s="116"/>
      <c r="L141" s="116"/>
      <c r="M141" s="116"/>
      <c r="N141" s="116"/>
      <c r="O141" s="97">
        <f t="shared" si="110"/>
        <v>0</v>
      </c>
      <c r="P141" s="128" t="s">
        <v>179</v>
      </c>
      <c r="Q141" s="65" t="str">
        <f t="shared" si="111"/>
        <v/>
      </c>
      <c r="R141" s="94" t="s">
        <v>183</v>
      </c>
      <c r="S141" s="95">
        <f t="shared" si="112"/>
        <v>0</v>
      </c>
      <c r="T141" s="94"/>
      <c r="U141" s="103"/>
      <c r="V141" s="94"/>
      <c r="W141" s="103"/>
      <c r="X141" s="94"/>
      <c r="Y141" s="103"/>
      <c r="Z141" s="94"/>
      <c r="AA141" s="103"/>
      <c r="AB141" s="94"/>
      <c r="AC141" s="103"/>
    </row>
    <row r="142" ht="15">
      <c r="A142" s="134"/>
      <c r="B142" s="109"/>
      <c r="C142" s="120"/>
      <c r="D142" s="120"/>
      <c r="E142" s="120"/>
      <c r="F142" s="120"/>
      <c r="G142" s="120"/>
      <c r="H142" s="120"/>
      <c r="I142" s="120"/>
      <c r="J142" s="120"/>
      <c r="K142" s="120"/>
      <c r="L142" s="120"/>
      <c r="M142" s="120"/>
      <c r="N142" s="120"/>
      <c r="O142" s="111">
        <f t="shared" si="110"/>
        <v>0</v>
      </c>
      <c r="P142" s="130" t="s">
        <v>179</v>
      </c>
      <c r="Q142" s="65" t="str">
        <f t="shared" si="111"/>
        <v/>
      </c>
      <c r="R142" s="94" t="s">
        <v>183</v>
      </c>
      <c r="S142" s="95">
        <f t="shared" si="112"/>
        <v>0</v>
      </c>
      <c r="T142" s="94"/>
      <c r="U142" s="103"/>
      <c r="V142" s="94"/>
      <c r="W142" s="103"/>
      <c r="X142" s="94"/>
      <c r="Y142" s="103"/>
      <c r="Z142" s="94"/>
      <c r="AA142" s="103"/>
      <c r="AB142" s="94"/>
      <c r="AC142" s="103"/>
    </row>
    <row r="143" ht="15">
      <c r="A143" s="131" t="s">
        <v>264</v>
      </c>
      <c r="B143" s="86" t="s">
        <v>265</v>
      </c>
      <c r="C143" s="153">
        <f>+SUMIFS(MOD!$K$3:$K$33,MOD!$H$3:$H$33,"Formation",MOD!$E$3:$E$33,"&gt;="&amp;'Hypotheses expl (3,)'!C3,MOD!$D$3:$D$33,"&lt;="&amp;'Hypotheses expl (3,)'!C3)+SUMIFS(MOD!$K$3:$K$33,MOD!$H$3:$H$33,"Documentation",MOD!$E$3:$E$33,"&gt;="&amp;'Hypotheses expl (3,)'!C3,MOD!$D$3:$D$33,"&lt;="&amp;'Hypotheses expl (3,)'!C3)</f>
        <v>53523.228465999993</v>
      </c>
      <c r="D143" s="153">
        <f>+SUMIFS(MOD!$K$3:$K$33,MOD!$H$3:$H$33,"Formation",MOD!$E$3:$E$33,"&gt;="&amp;'Hypotheses expl (3,)'!D3,MOD!$D$3:$D$33,"&lt;="&amp;'Hypotheses expl (3,)'!D3)+SUMIFS(MOD!$K$3:$K$33,MOD!$H$3:$H$33,"Documentation",MOD!$E$3:$E$33,"&gt;="&amp;'Hypotheses expl (3,)'!D3,MOD!$D$3:$D$33,"&lt;="&amp;'Hypotheses expl (3,)'!D3)</f>
        <v>53523.228465999993</v>
      </c>
      <c r="E143" s="153">
        <f>+SUMIFS(MOD!$K$3:$K$33,MOD!$H$3:$H$33,"Formation",MOD!$E$3:$E$33,"&gt;="&amp;'Hypotheses expl (3,)'!E3,MOD!$D$3:$D$33,"&lt;="&amp;'Hypotheses expl (3,)'!E3)+SUMIFS(MOD!$K$3:$K$33,MOD!$H$3:$H$33,"Documentation",MOD!$E$3:$E$33,"&gt;="&amp;'Hypotheses expl (3,)'!E3,MOD!$D$3:$D$33,"&lt;="&amp;'Hypotheses expl (3,)'!E3)</f>
        <v>53523.228465999993</v>
      </c>
      <c r="F143" s="153">
        <f>+SUMIFS(MOD!$K$3:$K$33,MOD!$H$3:$H$33,"Formation",MOD!$E$3:$E$33,"&gt;="&amp;'Hypotheses expl (3,)'!F3,MOD!$D$3:$D$33,"&lt;="&amp;'Hypotheses expl (3,)'!F3)+SUMIFS(MOD!$K$3:$K$33,MOD!$H$3:$H$33,"Documentation",MOD!$E$3:$E$33,"&gt;="&amp;'Hypotheses expl (3,)'!F3,MOD!$D$3:$D$33,"&lt;="&amp;'Hypotheses expl (3,)'!F3)</f>
        <v>53523.228465999993</v>
      </c>
      <c r="G143" s="153">
        <f>+SUMIFS(MOD!$K$3:$K$33,MOD!$H$3:$H$33,"Formation",MOD!$E$3:$E$33,"&gt;="&amp;'Hypotheses expl (3,)'!G3,MOD!$D$3:$D$33,"&lt;="&amp;'Hypotheses expl (3,)'!G3)+SUMIFS(MOD!$K$3:$K$33,MOD!$H$3:$H$33,"Documentation",MOD!$E$3:$E$33,"&gt;="&amp;'Hypotheses expl (3,)'!G3,MOD!$D$3:$D$33,"&lt;="&amp;'Hypotheses expl (3,)'!G3)</f>
        <v>53523.228465999993</v>
      </c>
      <c r="H143" s="153">
        <f>+SUMIFS(MOD!$K$3:$K$33,MOD!$H$3:$H$33,"Formation",MOD!$E$3:$E$33,"&gt;="&amp;'Hypotheses expl (3,)'!H3,MOD!$D$3:$D$33,"&lt;="&amp;'Hypotheses expl (3,)'!H3)+SUMIFS(MOD!$K$3:$K$33,MOD!$H$3:$H$33,"Documentation",MOD!$E$3:$E$33,"&gt;="&amp;'Hypotheses expl (3,)'!H3,MOD!$D$3:$D$33,"&lt;="&amp;'Hypotheses expl (3,)'!H3)</f>
        <v>53523.228465999993</v>
      </c>
      <c r="I143" s="153">
        <f>+SUMIFS(MOD!$K$3:$K$33,MOD!$H$3:$H$33,"Formation",MOD!$E$3:$E$33,"&gt;="&amp;'Hypotheses expl (3,)'!I3,MOD!$D$3:$D$33,"&lt;="&amp;'Hypotheses expl (3,)'!I3)+SUMIFS(MOD!$K$3:$K$33,MOD!$H$3:$H$33,"Documentation",MOD!$E$3:$E$33,"&gt;="&amp;'Hypotheses expl (3,)'!I3,MOD!$D$3:$D$33,"&lt;="&amp;'Hypotheses expl (3,)'!I3)</f>
        <v>53523.228465999993</v>
      </c>
      <c r="J143" s="153">
        <f>+SUMIFS(MOD!$K$3:$K$33,MOD!$H$3:$H$33,"Formation",MOD!$E$3:$E$33,"&gt;="&amp;'Hypotheses expl (3,)'!J3,MOD!$D$3:$D$33,"&lt;="&amp;'Hypotheses expl (3,)'!J3)+SUMIFS(MOD!$K$3:$K$33,MOD!$H$3:$H$33,"Documentation",MOD!$E$3:$E$33,"&gt;="&amp;'Hypotheses expl (3,)'!J3,MOD!$D$3:$D$33,"&lt;="&amp;'Hypotheses expl (3,)'!J3)</f>
        <v>53523.228465999993</v>
      </c>
      <c r="K143" s="153">
        <f>+SUMIFS(MOD!$K$3:$K$33,MOD!$H$3:$H$33,"Formation",MOD!$E$3:$E$33,"&gt;="&amp;'Hypotheses expl (3,)'!K3,MOD!$D$3:$D$33,"&lt;="&amp;'Hypotheses expl (3,)'!K3)+SUMIFS(MOD!$K$3:$K$33,MOD!$H$3:$H$33,"Documentation",MOD!$E$3:$E$33,"&gt;="&amp;'Hypotheses expl (3,)'!K3,MOD!$D$3:$D$33,"&lt;="&amp;'Hypotheses expl (3,)'!K3)</f>
        <v>53523.228465999993</v>
      </c>
      <c r="L143" s="153">
        <f>+SUMIFS(MOD!$K$3:$K$33,MOD!$H$3:$H$33,"Formation",MOD!$E$3:$E$33,"&gt;="&amp;'Hypotheses expl (3,)'!L3,MOD!$D$3:$D$33,"&lt;="&amp;'Hypotheses expl (3,)'!L3)+SUMIFS(MOD!$K$3:$K$33,MOD!$H$3:$H$33,"Documentation",MOD!$E$3:$E$33,"&gt;="&amp;'Hypotheses expl (3,)'!L3,MOD!$D$3:$D$33,"&lt;="&amp;'Hypotheses expl (3,)'!L3)</f>
        <v>53523.228465999993</v>
      </c>
      <c r="M143" s="153">
        <f>+SUMIFS(MOD!$K$3:$K$33,MOD!$H$3:$H$33,"Formation",MOD!$E$3:$E$33,"&gt;="&amp;'Hypotheses expl (3,)'!M3,MOD!$D$3:$D$33,"&lt;="&amp;'Hypotheses expl (3,)'!M3)+SUMIFS(MOD!$K$3:$K$33,MOD!$H$3:$H$33,"Documentation",MOD!$E$3:$E$33,"&gt;="&amp;'Hypotheses expl (3,)'!M3,MOD!$D$3:$D$33,"&lt;="&amp;'Hypotheses expl (3,)'!M3)</f>
        <v>53523.228465999993</v>
      </c>
      <c r="N143" s="153">
        <f>+SUMIFS(MOD!$K$3:$K$33,MOD!$H$3:$H$33,"Formation",MOD!$E$3:$E$33,"&gt;="&amp;'Hypotheses expl (3,)'!N3,MOD!$D$3:$D$33,"&lt;="&amp;'Hypotheses expl (3,)'!N3)+SUMIFS(MOD!$K$3:$K$33,MOD!$H$3:$H$33,"Documentation",MOD!$E$3:$E$33,"&gt;="&amp;'Hypotheses expl (3,)'!N3,MOD!$D$3:$D$33,"&lt;="&amp;'Hypotheses expl (3,)'!N3)</f>
        <v>53523.228465999993</v>
      </c>
      <c r="O143" s="135">
        <f t="shared" si="110"/>
        <v>642278.74159199977</v>
      </c>
      <c r="P143" s="132" t="s">
        <v>179</v>
      </c>
      <c r="Q143" s="65" t="str">
        <f t="shared" si="111"/>
        <v>x</v>
      </c>
      <c r="R143" s="94" t="s">
        <v>108</v>
      </c>
      <c r="S143" s="95">
        <v>184002</v>
      </c>
      <c r="T143" s="94" t="s">
        <v>110</v>
      </c>
      <c r="U143" s="95">
        <f>160694.28*1.02</f>
        <v>163908.16560000001</v>
      </c>
      <c r="V143" s="94" t="s">
        <v>126</v>
      </c>
      <c r="W143" s="95">
        <f>80996.52*1.02</f>
        <v>82616.450400000002</v>
      </c>
      <c r="X143" s="94" t="s">
        <v>111</v>
      </c>
      <c r="Y143" s="95">
        <f>112720*1.02</f>
        <v>114974.40000000001</v>
      </c>
      <c r="Z143" s="94" t="s">
        <v>183</v>
      </c>
      <c r="AA143" s="95">
        <f>22377.6*1.02</f>
        <v>22825.151999999998</v>
      </c>
      <c r="AB143" s="136"/>
      <c r="AC143" s="137"/>
    </row>
    <row r="144">
      <c r="A144" s="133"/>
      <c r="B144" s="86" t="s">
        <v>266</v>
      </c>
      <c r="C144" s="153">
        <f>+SUMIFS(MOD!$K$3:$K$33,MOD!$H$3:$H$33,"Administratif",MOD!$E$3:$E$33,"&gt;"&amp;'Hypotheses expl (3,)'!C3,MOD!$D$3:$D$33,"&lt;="&amp;'Hypotheses expl (3,)'!C3)</f>
        <v>20493.669600000001</v>
      </c>
      <c r="D144" s="153">
        <f>+SUMIFS(MOD!$K$3:$K$33,MOD!$H$3:$H$33,"Administratif",MOD!$E$3:$E$33,"&gt;"&amp;'Hypotheses expl (3,)'!D3,MOD!$D$3:$D$33,"&lt;="&amp;'Hypotheses expl (3,)'!D3)</f>
        <v>20493.669600000001</v>
      </c>
      <c r="E144" s="153">
        <f>+SUMIFS(MOD!$K$3:$K$33,MOD!$H$3:$H$33,"Administratif",MOD!$E$3:$E$33,"&gt;"&amp;'Hypotheses expl (3,)'!E3,MOD!$D$3:$D$33,"&lt;="&amp;'Hypotheses expl (3,)'!E3)</f>
        <v>20493.669600000001</v>
      </c>
      <c r="F144" s="153">
        <f>+SUMIFS(MOD!$K$3:$K$33,MOD!$H$3:$H$33,"Administratif",MOD!$E$3:$E$33,"&gt;"&amp;'Hypotheses expl (3,)'!F3,MOD!$D$3:$D$33,"&lt;="&amp;'Hypotheses expl (3,)'!F3)</f>
        <v>20493.669600000001</v>
      </c>
      <c r="G144" s="153">
        <f>+SUMIFS(MOD!$K$3:$K$33,MOD!$H$3:$H$33,"Administratif",MOD!$E$3:$E$33,"&gt;"&amp;'Hypotheses expl (3,)'!G3,MOD!$D$3:$D$33,"&lt;="&amp;'Hypotheses expl (3,)'!G3)</f>
        <v>20493.669600000001</v>
      </c>
      <c r="H144" s="153">
        <f>+SUMIFS(MOD!$K$3:$K$33,MOD!$H$3:$H$33,"Administratif",MOD!$E$3:$E$33,"&gt;"&amp;'Hypotheses expl (3,)'!H3,MOD!$D$3:$D$33,"&lt;="&amp;'Hypotheses expl (3,)'!H3)</f>
        <v>20493.669600000001</v>
      </c>
      <c r="I144" s="153">
        <f>+SUMIFS(MOD!$K$3:$K$33,MOD!$H$3:$H$33,"Administratif",MOD!$E$3:$E$33,"&gt;"&amp;'Hypotheses expl (3,)'!I3,MOD!$D$3:$D$33,"&lt;="&amp;'Hypotheses expl (3,)'!I3)</f>
        <v>20493.669600000001</v>
      </c>
      <c r="J144" s="153">
        <f>+SUMIFS(MOD!$K$3:$K$33,MOD!$H$3:$H$33,"Administratif",MOD!$E$3:$E$33,"&gt;"&amp;'Hypotheses expl (3,)'!J3,MOD!$D$3:$D$33,"&lt;="&amp;'Hypotheses expl (3,)'!J3)</f>
        <v>20493.669600000001</v>
      </c>
      <c r="K144" s="153">
        <f>+SUMIFS(MOD!$K$3:$K$33,MOD!$H$3:$H$33,"Administratif",MOD!$E$3:$E$33,"&gt;"&amp;'Hypotheses expl (3,)'!K3,MOD!$D$3:$D$33,"&lt;="&amp;'Hypotheses expl (3,)'!K3)</f>
        <v>20493.669600000001</v>
      </c>
      <c r="L144" s="153">
        <f>+SUMIFS(MOD!$K$3:$K$33,MOD!$H$3:$H$33,"Administratif",MOD!$E$3:$E$33,"&gt;"&amp;'Hypotheses expl (3,)'!L3,MOD!$D$3:$D$33,"&lt;="&amp;'Hypotheses expl (3,)'!L3)</f>
        <v>20493.669600000001</v>
      </c>
      <c r="M144" s="153">
        <f>+SUMIFS(MOD!$K$3:$K$33,MOD!$H$3:$H$33,"Administratif",MOD!$E$3:$E$33,"&gt;"&amp;'Hypotheses expl (3,)'!M3,MOD!$D$3:$D$33,"&lt;="&amp;'Hypotheses expl (3,)'!M3)</f>
        <v>20493.669600000001</v>
      </c>
      <c r="N144" s="153">
        <f>+SUMIFS(MOD!$K$3:$K$33,MOD!$H$3:$H$33,"Administratif",MOD!$E$3:$E$33,"&gt;"&amp;'Hypotheses expl (3,)'!N3,MOD!$D$3:$D$33,"&lt;="&amp;'Hypotheses expl (3,)'!N3)</f>
        <v>20493.669600000001</v>
      </c>
      <c r="O144" s="138">
        <f t="shared" si="110"/>
        <v>245924.03519999995</v>
      </c>
      <c r="P144" s="128" t="s">
        <v>179</v>
      </c>
      <c r="Q144" s="65" t="str">
        <f t="shared" si="111"/>
        <v>x</v>
      </c>
      <c r="R144" s="94" t="s">
        <v>108</v>
      </c>
      <c r="S144" s="95">
        <f>24836.64*1.02</f>
        <v>25333.372800000001</v>
      </c>
      <c r="T144" s="94" t="s">
        <v>110</v>
      </c>
      <c r="U144" s="95">
        <f>26434.08*1.02</f>
        <v>26962.761600000002</v>
      </c>
      <c r="V144" s="94" t="s">
        <v>126</v>
      </c>
      <c r="W144" s="95">
        <v>0</v>
      </c>
      <c r="X144" s="94" t="s">
        <v>111</v>
      </c>
      <c r="Y144" s="95">
        <v>0</v>
      </c>
      <c r="Z144" s="94" t="s">
        <v>183</v>
      </c>
      <c r="AA144" s="137">
        <f>234747.84*1.02</f>
        <v>239442.79680000001</v>
      </c>
      <c r="AB144" s="136"/>
      <c r="AC144" s="137"/>
    </row>
    <row r="145" ht="15">
      <c r="A145" s="133"/>
      <c r="B145" s="109" t="s">
        <v>267</v>
      </c>
      <c r="C145" s="120">
        <v>9254.4143999999997</v>
      </c>
      <c r="D145" s="120">
        <v>7194.3563999999997</v>
      </c>
      <c r="E145" s="120">
        <v>9286.1076000000012</v>
      </c>
      <c r="F145" s="120">
        <v>9983.3580000000002</v>
      </c>
      <c r="G145" s="120">
        <v>15482.128199999999</v>
      </c>
      <c r="H145" s="120">
        <v>6671.4186</v>
      </c>
      <c r="I145" s="120">
        <v>507.09120000000001</v>
      </c>
      <c r="J145" s="120">
        <v>0</v>
      </c>
      <c r="K145" s="120">
        <v>15212.735999999999</v>
      </c>
      <c r="L145" s="120">
        <v>10427.0628</v>
      </c>
      <c r="M145" s="120">
        <v>11092.619999999999</v>
      </c>
      <c r="N145" s="120">
        <v>6338.6399999999994</v>
      </c>
      <c r="O145" s="139">
        <f t="shared" si="110"/>
        <v>101449.9332</v>
      </c>
      <c r="P145" s="130" t="s">
        <v>179</v>
      </c>
      <c r="Q145" s="65" t="str">
        <f t="shared" si="111"/>
        <v/>
      </c>
      <c r="R145" s="94" t="s">
        <v>108</v>
      </c>
      <c r="S145" s="95">
        <f>(2.09/4.02)*O145</f>
        <v>52743.870743283587</v>
      </c>
      <c r="T145" s="94" t="s">
        <v>110</v>
      </c>
      <c r="U145" s="103">
        <f>(0.86/4.02)*O145</f>
        <v>21703.219540298509</v>
      </c>
      <c r="V145" s="94" t="s">
        <v>126</v>
      </c>
      <c r="W145" s="103">
        <f>(0.57/4.02)*O145</f>
        <v>14384.692020895522</v>
      </c>
      <c r="X145" s="94" t="s">
        <v>111</v>
      </c>
      <c r="Y145" s="103">
        <f>(0.5/4.02)*O145</f>
        <v>12618.150895522389</v>
      </c>
      <c r="Z145" s="94" t="s">
        <v>183</v>
      </c>
      <c r="AA145" s="137"/>
      <c r="AB145" s="136"/>
      <c r="AC145" s="137"/>
    </row>
    <row r="146" ht="15">
      <c r="A146" s="133"/>
      <c r="B146" s="86" t="s">
        <v>268</v>
      </c>
      <c r="C146" s="153">
        <f>MOD!$M$35*C143</f>
        <v>16576.206932824967</v>
      </c>
      <c r="D146" s="153">
        <f>MOD!$M$35*D143</f>
        <v>16576.206932824967</v>
      </c>
      <c r="E146" s="153">
        <f>MOD!$M$35*E143</f>
        <v>16576.206932824967</v>
      </c>
      <c r="F146" s="153">
        <f>MOD!$M$35*F143</f>
        <v>16576.206932824967</v>
      </c>
      <c r="G146" s="153">
        <f>MOD!$M$35*G143</f>
        <v>16576.206932824967</v>
      </c>
      <c r="H146" s="153">
        <f>MOD!$M$35*H143</f>
        <v>16576.206932824967</v>
      </c>
      <c r="I146" s="153">
        <f>MOD!$M$35*I143</f>
        <v>16576.206932824967</v>
      </c>
      <c r="J146" s="153">
        <f>MOD!$M$35*J143</f>
        <v>16576.206932824967</v>
      </c>
      <c r="K146" s="153">
        <f>MOD!$M$35*K143</f>
        <v>16576.206932824967</v>
      </c>
      <c r="L146" s="153">
        <f>MOD!$M$35*L143</f>
        <v>16576.206932824967</v>
      </c>
      <c r="M146" s="153">
        <f>MOD!$M$35*M143</f>
        <v>16576.206932824967</v>
      </c>
      <c r="N146" s="153">
        <f>MOD!$M$35*N143</f>
        <v>16576.206932824967</v>
      </c>
      <c r="O146" s="135">
        <f t="shared" si="110"/>
        <v>198914.48319389965</v>
      </c>
      <c r="P146" s="132" t="s">
        <v>191</v>
      </c>
      <c r="Q146" s="65" t="str">
        <f t="shared" si="111"/>
        <v>x</v>
      </c>
      <c r="R146" s="94" t="s">
        <v>108</v>
      </c>
      <c r="S146" s="95">
        <f>MOD!$M$35*S143</f>
        <v>56985.636245600763</v>
      </c>
      <c r="T146" s="94" t="s">
        <v>110</v>
      </c>
      <c r="U146" s="95">
        <f>MOD!$M$35*U143</f>
        <v>50762.552051419509</v>
      </c>
      <c r="V146" s="94" t="s">
        <v>126</v>
      </c>
      <c r="W146" s="95">
        <f>MOD!$M$35*W143</f>
        <v>25586.412052027248</v>
      </c>
      <c r="X146" s="94" t="s">
        <v>111</v>
      </c>
      <c r="Y146" s="95">
        <f>MOD!$M$35*Y143</f>
        <v>35607.707176857868</v>
      </c>
      <c r="Z146" s="94" t="s">
        <v>183</v>
      </c>
      <c r="AA146" s="95">
        <f>MOD!$M$35*AA143</f>
        <v>7068.9764737478217</v>
      </c>
      <c r="AB146" s="136"/>
      <c r="AC146" s="137"/>
    </row>
    <row r="147">
      <c r="A147" s="133"/>
      <c r="B147" s="86" t="s">
        <v>269</v>
      </c>
      <c r="C147" s="153">
        <f>MOD!$M$36*C144</f>
        <v>8439.4312979044425</v>
      </c>
      <c r="D147" s="153">
        <f>MOD!$M$36*D144</f>
        <v>8439.4312979044425</v>
      </c>
      <c r="E147" s="153">
        <f>MOD!$M$36*E144</f>
        <v>8439.4312979044425</v>
      </c>
      <c r="F147" s="153">
        <f>MOD!$M$36*F144</f>
        <v>8439.4312979044425</v>
      </c>
      <c r="G147" s="153">
        <f>MOD!$M$36*G144</f>
        <v>8439.4312979044425</v>
      </c>
      <c r="H147" s="153">
        <f>MOD!$M$36*H144</f>
        <v>8439.4312979044425</v>
      </c>
      <c r="I147" s="153">
        <f>MOD!$M$36*I144</f>
        <v>8439.4312979044425</v>
      </c>
      <c r="J147" s="153">
        <f>MOD!$M$36*J144</f>
        <v>8439.4312979044425</v>
      </c>
      <c r="K147" s="153">
        <f>MOD!$M$36*K144</f>
        <v>8439.4312979044425</v>
      </c>
      <c r="L147" s="153">
        <f>MOD!$M$36*L144</f>
        <v>8439.4312979044425</v>
      </c>
      <c r="M147" s="153">
        <f>MOD!$M$36*M144</f>
        <v>8439.4312979044425</v>
      </c>
      <c r="N147" s="153">
        <f>MOD!$M$36*N144</f>
        <v>8439.4312979044425</v>
      </c>
      <c r="O147" s="138">
        <f t="shared" si="110"/>
        <v>101273.17557485333</v>
      </c>
      <c r="P147" s="132" t="s">
        <v>191</v>
      </c>
      <c r="Q147" s="65" t="str">
        <f t="shared" si="111"/>
        <v>x</v>
      </c>
      <c r="R147" s="94" t="s">
        <v>108</v>
      </c>
      <c r="S147" s="95">
        <f>MOD!$M$36*S144</f>
        <v>10432.453702181336</v>
      </c>
      <c r="T147" s="94" t="s">
        <v>110</v>
      </c>
      <c r="U147" s="95">
        <f>MOD!$M$36*U144</f>
        <v>11103.446994430711</v>
      </c>
      <c r="V147" s="94" t="s">
        <v>126</v>
      </c>
      <c r="W147" s="95">
        <f>MOD!$M$36*W144</f>
        <v>0</v>
      </c>
      <c r="X147" s="94" t="s">
        <v>111</v>
      </c>
      <c r="Y147" s="95">
        <f>MOD!$M$36*Y144</f>
        <v>0</v>
      </c>
      <c r="Z147" s="94" t="s">
        <v>183</v>
      </c>
      <c r="AA147" s="95">
        <f>MOD!$M$36*AA144</f>
        <v>98604.157908922934</v>
      </c>
      <c r="AB147" s="136"/>
      <c r="AC147" s="137"/>
    </row>
    <row r="148">
      <c r="A148" s="133"/>
      <c r="B148" s="86" t="s">
        <v>270</v>
      </c>
      <c r="C148" s="140">
        <f>C145*0.4</f>
        <v>3701.7657600000002</v>
      </c>
      <c r="D148" s="140">
        <f t="shared" ref="D148:N148" si="138">D145*0.4</f>
        <v>2877.7425600000001</v>
      </c>
      <c r="E148" s="140">
        <f t="shared" si="138"/>
        <v>3714.4430400000006</v>
      </c>
      <c r="F148" s="140">
        <f t="shared" si="138"/>
        <v>3993.3432000000003</v>
      </c>
      <c r="G148" s="140">
        <f t="shared" si="138"/>
        <v>6192.8512799999999</v>
      </c>
      <c r="H148" s="140">
        <f t="shared" si="138"/>
        <v>2668.5674400000003</v>
      </c>
      <c r="I148" s="140">
        <f t="shared" si="138"/>
        <v>202.83648000000002</v>
      </c>
      <c r="J148" s="140">
        <f t="shared" si="138"/>
        <v>0</v>
      </c>
      <c r="K148" s="140">
        <f t="shared" si="138"/>
        <v>6085.0944</v>
      </c>
      <c r="L148" s="140">
        <f t="shared" si="138"/>
        <v>4170.8251200000004</v>
      </c>
      <c r="M148" s="140">
        <f t="shared" si="138"/>
        <v>4437.0479999999998</v>
      </c>
      <c r="N148" s="140">
        <f t="shared" si="138"/>
        <v>2535.4560000000001</v>
      </c>
      <c r="O148" s="138">
        <f t="shared" si="110"/>
        <v>40579.973280000006</v>
      </c>
      <c r="P148" s="132" t="s">
        <v>191</v>
      </c>
      <c r="Q148" s="65" t="str">
        <f t="shared" si="111"/>
        <v/>
      </c>
      <c r="R148" s="94" t="s">
        <v>108</v>
      </c>
      <c r="S148" s="95">
        <f>(2.09/4.02)*O148</f>
        <v>21097.548297313435</v>
      </c>
      <c r="T148" s="94" t="s">
        <v>110</v>
      </c>
      <c r="U148" s="103">
        <f>(0.86/4.02)*O148</f>
        <v>8681.2878161194058</v>
      </c>
      <c r="V148" s="94" t="s">
        <v>111</v>
      </c>
      <c r="W148" s="103">
        <f>(0.5/4.02)*O148</f>
        <v>5047.2603582089569</v>
      </c>
      <c r="X148" s="94" t="s">
        <v>126</v>
      </c>
      <c r="Y148" s="103">
        <f>(0.57/4.02)*O148</f>
        <v>5753.876808358209</v>
      </c>
      <c r="Z148" s="136"/>
      <c r="AA148" s="141"/>
      <c r="AB148" s="136"/>
      <c r="AC148" s="137"/>
    </row>
    <row r="149">
      <c r="A149" s="133"/>
      <c r="B149" s="86" t="s">
        <v>271</v>
      </c>
      <c r="C149" s="140">
        <v>2900</v>
      </c>
      <c r="D149" s="140">
        <v>2900</v>
      </c>
      <c r="E149" s="140">
        <v>2900</v>
      </c>
      <c r="F149" s="140">
        <v>2900</v>
      </c>
      <c r="G149" s="140">
        <v>2900</v>
      </c>
      <c r="H149" s="140">
        <v>2900</v>
      </c>
      <c r="I149" s="140">
        <v>2900</v>
      </c>
      <c r="J149" s="140">
        <v>2900</v>
      </c>
      <c r="K149" s="140">
        <v>2900</v>
      </c>
      <c r="L149" s="140">
        <v>2900</v>
      </c>
      <c r="M149" s="140">
        <v>2900</v>
      </c>
      <c r="N149" s="140">
        <v>2900</v>
      </c>
      <c r="O149" s="138">
        <f t="shared" si="110"/>
        <v>34800</v>
      </c>
      <c r="P149" s="132" t="s">
        <v>191</v>
      </c>
      <c r="Q149" s="65" t="str">
        <f t="shared" si="111"/>
        <v/>
      </c>
      <c r="R149" s="94" t="s">
        <v>183</v>
      </c>
      <c r="S149" s="95">
        <f t="shared" si="112"/>
        <v>34800</v>
      </c>
      <c r="T149" s="136"/>
      <c r="U149" s="137"/>
      <c r="V149" s="136"/>
      <c r="W149" s="137"/>
      <c r="X149" s="136"/>
      <c r="Y149" s="137"/>
      <c r="Z149" s="136"/>
      <c r="AA149" s="137"/>
      <c r="AB149" s="136"/>
      <c r="AC149" s="137"/>
    </row>
    <row r="150">
      <c r="A150" s="133"/>
      <c r="B150" s="86" t="s">
        <v>272</v>
      </c>
      <c r="C150" s="140"/>
      <c r="D150" s="140"/>
      <c r="E150" s="140"/>
      <c r="F150" s="140"/>
      <c r="G150" s="140"/>
      <c r="H150" s="140"/>
      <c r="I150" s="140"/>
      <c r="J150" s="140"/>
      <c r="K150" s="140"/>
      <c r="L150" s="140"/>
      <c r="M150" s="140"/>
      <c r="N150" s="140"/>
      <c r="O150" s="138">
        <f t="shared" si="110"/>
        <v>0</v>
      </c>
      <c r="P150" s="128" t="s">
        <v>179</v>
      </c>
      <c r="Q150" s="65" t="str">
        <f t="shared" si="111"/>
        <v/>
      </c>
      <c r="R150" s="94"/>
      <c r="S150" s="95"/>
      <c r="T150" s="136"/>
      <c r="U150" s="137"/>
      <c r="V150" s="136"/>
      <c r="W150" s="137"/>
      <c r="X150" s="136"/>
      <c r="Y150" s="137"/>
      <c r="Z150" s="136"/>
      <c r="AA150" s="137"/>
      <c r="AB150" s="136"/>
      <c r="AC150" s="137"/>
    </row>
    <row r="151">
      <c r="A151" s="133"/>
      <c r="B151" s="86" t="s">
        <v>273</v>
      </c>
      <c r="C151" s="154"/>
      <c r="D151" s="140"/>
      <c r="E151" s="154"/>
      <c r="F151" s="140"/>
      <c r="G151" s="140"/>
      <c r="H151" s="140"/>
      <c r="I151" s="140"/>
      <c r="J151" s="140"/>
      <c r="K151" s="140"/>
      <c r="L151" s="140"/>
      <c r="M151" s="140"/>
      <c r="N151" s="140"/>
      <c r="O151" s="138">
        <f t="shared" si="110"/>
        <v>0</v>
      </c>
      <c r="P151" s="128" t="s">
        <v>191</v>
      </c>
      <c r="Q151" s="65" t="str">
        <f t="shared" si="111"/>
        <v/>
      </c>
      <c r="R151" s="94" t="s">
        <v>126</v>
      </c>
      <c r="S151" s="95">
        <f t="shared" si="112"/>
        <v>0</v>
      </c>
      <c r="T151" s="136"/>
      <c r="U151" s="137"/>
      <c r="V151" s="136"/>
      <c r="W151" s="137"/>
      <c r="X151" s="136"/>
      <c r="Y151" s="137"/>
      <c r="Z151" s="136"/>
      <c r="AA151" s="137"/>
      <c r="AB151" s="136"/>
      <c r="AC151" s="137"/>
    </row>
    <row r="152">
      <c r="A152" s="133"/>
      <c r="B152" s="86" t="s">
        <v>274</v>
      </c>
      <c r="C152" s="140"/>
      <c r="D152" s="140"/>
      <c r="E152" s="140"/>
      <c r="F152" s="140"/>
      <c r="G152" s="140"/>
      <c r="H152" s="140"/>
      <c r="I152" s="140"/>
      <c r="J152" s="140"/>
      <c r="K152" s="140">
        <v>10800</v>
      </c>
      <c r="L152" s="140"/>
      <c r="M152" s="140"/>
      <c r="N152" s="140"/>
      <c r="O152" s="138">
        <f t="shared" si="110"/>
        <v>10800</v>
      </c>
      <c r="P152" s="128" t="s">
        <v>179</v>
      </c>
      <c r="Q152" s="65" t="str">
        <f t="shared" si="111"/>
        <v/>
      </c>
      <c r="R152" s="94" t="s">
        <v>183</v>
      </c>
      <c r="S152" s="95">
        <f t="shared" si="112"/>
        <v>10800</v>
      </c>
      <c r="T152" s="136"/>
      <c r="U152" s="137"/>
      <c r="V152" s="136"/>
      <c r="W152" s="137"/>
      <c r="X152" s="136"/>
      <c r="Y152" s="137"/>
      <c r="Z152" s="136"/>
      <c r="AA152" s="137"/>
      <c r="AB152" s="136"/>
      <c r="AC152" s="137"/>
    </row>
    <row r="153" ht="15">
      <c r="A153" s="134"/>
      <c r="B153" s="109" t="s">
        <v>275</v>
      </c>
      <c r="C153" s="142">
        <f>25200/12</f>
        <v>2100</v>
      </c>
      <c r="D153" s="142">
        <f t="shared" ref="D153:N153" si="139">25200/12</f>
        <v>2100</v>
      </c>
      <c r="E153" s="142">
        <f t="shared" si="139"/>
        <v>2100</v>
      </c>
      <c r="F153" s="142">
        <f t="shared" si="139"/>
        <v>2100</v>
      </c>
      <c r="G153" s="142">
        <f t="shared" si="139"/>
        <v>2100</v>
      </c>
      <c r="H153" s="142">
        <f t="shared" si="139"/>
        <v>2100</v>
      </c>
      <c r="I153" s="142">
        <f t="shared" si="139"/>
        <v>2100</v>
      </c>
      <c r="J153" s="142">
        <f t="shared" si="139"/>
        <v>2100</v>
      </c>
      <c r="K153" s="142">
        <f t="shared" si="139"/>
        <v>2100</v>
      </c>
      <c r="L153" s="142">
        <f t="shared" si="139"/>
        <v>2100</v>
      </c>
      <c r="M153" s="142">
        <f t="shared" si="139"/>
        <v>2100</v>
      </c>
      <c r="N153" s="142">
        <f t="shared" si="139"/>
        <v>2100</v>
      </c>
      <c r="O153" s="139">
        <f t="shared" si="110"/>
        <v>25200</v>
      </c>
      <c r="P153" s="130" t="s">
        <v>179</v>
      </c>
      <c r="Q153" s="65" t="str">
        <f t="shared" si="111"/>
        <v/>
      </c>
      <c r="R153" s="94" t="s">
        <v>183</v>
      </c>
      <c r="S153" s="95">
        <f t="shared" si="112"/>
        <v>25200</v>
      </c>
      <c r="T153" s="136"/>
      <c r="U153" s="137"/>
      <c r="V153" s="136"/>
      <c r="W153" s="137"/>
      <c r="X153" s="136"/>
      <c r="Y153" s="137"/>
      <c r="Z153" s="136"/>
      <c r="AA153" s="137"/>
      <c r="AB153" s="136"/>
      <c r="AC153" s="137"/>
    </row>
    <row r="154" ht="15">
      <c r="A154" s="125" t="s">
        <v>276</v>
      </c>
      <c r="B154" s="86" t="s">
        <v>277</v>
      </c>
      <c r="C154" s="116"/>
      <c r="D154" s="116"/>
      <c r="E154" s="116"/>
      <c r="F154" s="116"/>
      <c r="G154" s="116"/>
      <c r="H154" s="116"/>
      <c r="I154" s="116"/>
      <c r="J154" s="116"/>
      <c r="K154" s="116"/>
      <c r="L154" s="116"/>
      <c r="M154" s="116"/>
      <c r="N154" s="116">
        <v>25000</v>
      </c>
      <c r="O154" s="135">
        <f t="shared" si="110"/>
        <v>25000</v>
      </c>
      <c r="P154" s="143" t="s">
        <v>278</v>
      </c>
      <c r="Q154" s="65" t="str">
        <f t="shared" si="111"/>
        <v/>
      </c>
      <c r="R154" s="94" t="s">
        <v>183</v>
      </c>
      <c r="S154" s="95">
        <f t="shared" si="112"/>
        <v>25000</v>
      </c>
      <c r="T154" s="94"/>
      <c r="U154" s="96"/>
      <c r="V154" s="94"/>
      <c r="W154" s="96"/>
      <c r="X154" s="94"/>
      <c r="Y154" s="96"/>
      <c r="Z154" s="94"/>
      <c r="AA154" s="96"/>
      <c r="AB154" s="94"/>
      <c r="AC154" s="96"/>
    </row>
    <row r="155">
      <c r="A155" s="127"/>
      <c r="B155" s="86" t="s">
        <v>279</v>
      </c>
      <c r="C155" s="116"/>
      <c r="D155" s="116"/>
      <c r="E155" s="116"/>
      <c r="F155" s="116"/>
      <c r="G155" s="116"/>
      <c r="H155" s="116"/>
      <c r="I155" s="116"/>
      <c r="J155" s="116"/>
      <c r="K155" s="116"/>
      <c r="L155" s="116"/>
      <c r="M155" s="116"/>
      <c r="N155" s="116">
        <v>6900</v>
      </c>
      <c r="O155" s="97">
        <f t="shared" si="110"/>
        <v>6900</v>
      </c>
      <c r="P155" s="128" t="s">
        <v>179</v>
      </c>
      <c r="Q155" s="65" t="str">
        <f t="shared" si="111"/>
        <v/>
      </c>
      <c r="R155" s="94" t="s">
        <v>183</v>
      </c>
      <c r="S155" s="95">
        <f t="shared" si="112"/>
        <v>6900</v>
      </c>
      <c r="T155" s="94"/>
      <c r="U155" s="96"/>
      <c r="V155" s="94"/>
      <c r="W155" s="96"/>
      <c r="X155" s="94"/>
      <c r="Y155" s="96"/>
      <c r="Z155" s="94"/>
      <c r="AA155" s="96"/>
      <c r="AB155" s="94"/>
      <c r="AC155" s="96"/>
    </row>
    <row r="156" ht="15">
      <c r="A156" s="129"/>
      <c r="B156" s="109" t="s">
        <v>280</v>
      </c>
      <c r="C156" s="120"/>
      <c r="D156" s="120"/>
      <c r="E156" s="120"/>
      <c r="F156" s="120"/>
      <c r="G156" s="120"/>
      <c r="H156" s="120"/>
      <c r="I156" s="120"/>
      <c r="J156" s="120"/>
      <c r="K156" s="120"/>
      <c r="L156" s="120"/>
      <c r="M156" s="120"/>
      <c r="N156" s="120"/>
      <c r="O156" s="111">
        <f t="shared" si="110"/>
        <v>0</v>
      </c>
      <c r="P156" s="130" t="s">
        <v>179</v>
      </c>
      <c r="Q156" s="65" t="str">
        <f t="shared" si="111"/>
        <v/>
      </c>
      <c r="R156" s="94"/>
      <c r="S156" s="95"/>
      <c r="T156" s="94"/>
      <c r="U156" s="96"/>
      <c r="V156" s="94"/>
      <c r="W156" s="96"/>
      <c r="X156" s="94"/>
      <c r="Y156" s="96"/>
      <c r="Z156" s="94"/>
      <c r="AA156" s="96"/>
      <c r="AB156" s="94"/>
      <c r="AC156" s="96"/>
    </row>
    <row r="157" ht="15">
      <c r="A157" s="131" t="s">
        <v>281</v>
      </c>
      <c r="B157" s="86" t="s">
        <v>282</v>
      </c>
      <c r="C157" s="116">
        <f>200000*(0.06/12)</f>
        <v>1000</v>
      </c>
      <c r="D157" s="116"/>
      <c r="E157" s="116"/>
      <c r="F157" s="116"/>
      <c r="G157" s="116"/>
      <c r="H157" s="116"/>
      <c r="I157" s="116"/>
      <c r="J157" s="116"/>
      <c r="K157" s="116"/>
      <c r="L157" s="116">
        <f>200000*(0.06/12)</f>
        <v>1000</v>
      </c>
      <c r="M157" s="116">
        <f>200000*(0.06/12)</f>
        <v>1000</v>
      </c>
      <c r="N157" s="116">
        <f>200000*(0.06/12)</f>
        <v>1000</v>
      </c>
      <c r="O157" s="108">
        <f t="shared" si="110"/>
        <v>4000</v>
      </c>
      <c r="P157" s="132" t="s">
        <v>179</v>
      </c>
      <c r="Q157" s="65" t="str">
        <f t="shared" si="111"/>
        <v/>
      </c>
      <c r="R157" s="94" t="s">
        <v>183</v>
      </c>
      <c r="S157" s="95">
        <f t="shared" si="112"/>
        <v>4000</v>
      </c>
      <c r="T157" s="94"/>
      <c r="U157" s="96"/>
      <c r="V157" s="94"/>
      <c r="W157" s="96"/>
      <c r="X157" s="94"/>
      <c r="Y157" s="96"/>
      <c r="Z157" s="94"/>
      <c r="AA157" s="96"/>
      <c r="AB157" s="94"/>
      <c r="AC157" s="96"/>
    </row>
    <row r="158" ht="15">
      <c r="A158" s="134"/>
      <c r="B158" s="109"/>
      <c r="C158" s="120"/>
      <c r="D158" s="120"/>
      <c r="E158" s="120"/>
      <c r="F158" s="120"/>
      <c r="G158" s="120"/>
      <c r="H158" s="120"/>
      <c r="I158" s="120"/>
      <c r="J158" s="120"/>
      <c r="K158" s="120"/>
      <c r="L158" s="120"/>
      <c r="M158" s="120"/>
      <c r="N158" s="120"/>
      <c r="O158" s="111">
        <f t="shared" si="110"/>
        <v>0</v>
      </c>
      <c r="P158" s="130" t="s">
        <v>179</v>
      </c>
      <c r="Q158" s="65" t="str">
        <f t="shared" si="111"/>
        <v/>
      </c>
      <c r="R158" s="94"/>
      <c r="S158" s="95"/>
      <c r="T158" s="94"/>
      <c r="U158" s="96"/>
      <c r="V158" s="94"/>
      <c r="W158" s="96"/>
      <c r="X158" s="94"/>
      <c r="Y158" s="96"/>
      <c r="Z158" s="94"/>
      <c r="AA158" s="96"/>
      <c r="AB158" s="94"/>
      <c r="AC158" s="96"/>
    </row>
    <row r="159" ht="15">
      <c r="A159" s="131" t="s">
        <v>283</v>
      </c>
      <c r="B159" s="86" t="s">
        <v>284</v>
      </c>
      <c r="C159" s="116"/>
      <c r="D159" s="116"/>
      <c r="E159" s="116"/>
      <c r="F159" s="116"/>
      <c r="G159" s="116"/>
      <c r="H159" s="116"/>
      <c r="I159" s="116"/>
      <c r="J159" s="116"/>
      <c r="K159" s="116"/>
      <c r="L159" s="116"/>
      <c r="M159" s="116"/>
      <c r="N159" s="116"/>
      <c r="O159" s="108">
        <f t="shared" si="110"/>
        <v>0</v>
      </c>
      <c r="P159" s="132" t="s">
        <v>179</v>
      </c>
      <c r="Q159" s="65" t="str">
        <f t="shared" si="111"/>
        <v/>
      </c>
      <c r="R159" s="94"/>
      <c r="S159" s="95"/>
      <c r="T159" s="94"/>
      <c r="U159" s="103"/>
      <c r="V159" s="94"/>
      <c r="W159" s="103"/>
      <c r="X159" s="94"/>
      <c r="Y159" s="103"/>
      <c r="Z159" s="94"/>
      <c r="AA159" s="103"/>
      <c r="AB159" s="94"/>
      <c r="AC159" s="103"/>
    </row>
    <row r="160" ht="15">
      <c r="A160" s="134"/>
      <c r="B160" s="109" t="s">
        <v>285</v>
      </c>
      <c r="C160" s="120"/>
      <c r="D160" s="120"/>
      <c r="E160" s="120"/>
      <c r="F160" s="120"/>
      <c r="G160" s="120"/>
      <c r="H160" s="120"/>
      <c r="I160" s="120"/>
      <c r="J160" s="120"/>
      <c r="K160" s="120"/>
      <c r="L160" s="120"/>
      <c r="M160" s="120"/>
      <c r="N160" s="120"/>
      <c r="O160" s="111">
        <f t="shared" si="110"/>
        <v>0</v>
      </c>
      <c r="P160" s="130" t="s">
        <v>179</v>
      </c>
      <c r="Q160" s="65" t="str">
        <f t="shared" si="111"/>
        <v/>
      </c>
      <c r="R160" s="94"/>
      <c r="S160" s="95"/>
      <c r="T160" s="94"/>
      <c r="U160" s="96"/>
      <c r="V160" s="94"/>
      <c r="W160" s="96"/>
      <c r="X160" s="94"/>
      <c r="Y160" s="96"/>
      <c r="Z160" s="94"/>
      <c r="AA160" s="96"/>
      <c r="AB160" s="94"/>
      <c r="AC160" s="96"/>
    </row>
    <row r="161" ht="15">
      <c r="A161" s="131" t="s">
        <v>286</v>
      </c>
      <c r="B161" s="144" t="s">
        <v>287</v>
      </c>
      <c r="C161" s="116"/>
      <c r="D161" s="116"/>
      <c r="E161" s="116"/>
      <c r="F161" s="116"/>
      <c r="G161" s="116"/>
      <c r="H161" s="116"/>
      <c r="I161" s="116"/>
      <c r="J161" s="116"/>
      <c r="K161" s="116"/>
      <c r="L161" s="116"/>
      <c r="M161" s="116"/>
      <c r="N161" s="116">
        <v>33500</v>
      </c>
      <c r="O161" s="108">
        <f t="shared" si="110"/>
        <v>33500</v>
      </c>
      <c r="P161" s="145"/>
      <c r="Q161" s="65" t="str">
        <f t="shared" si="111"/>
        <v/>
      </c>
      <c r="R161" s="94" t="s">
        <v>183</v>
      </c>
      <c r="S161" s="95">
        <f t="shared" si="112"/>
        <v>33500</v>
      </c>
      <c r="T161" s="94"/>
      <c r="U161" s="103"/>
      <c r="V161" s="94"/>
      <c r="W161" s="103"/>
      <c r="X161" s="94"/>
      <c r="Y161" s="103"/>
      <c r="Z161" s="94"/>
      <c r="AA161" s="103"/>
      <c r="AB161" s="94"/>
      <c r="AC161" s="103"/>
    </row>
    <row r="162" ht="15">
      <c r="A162" s="134"/>
      <c r="B162" s="144" t="s">
        <v>288</v>
      </c>
      <c r="C162" s="116"/>
      <c r="D162" s="116"/>
      <c r="E162" s="116"/>
      <c r="F162" s="116"/>
      <c r="G162" s="116"/>
      <c r="H162" s="116"/>
      <c r="I162" s="116"/>
      <c r="J162" s="116"/>
      <c r="K162" s="116"/>
      <c r="L162" s="116"/>
      <c r="M162" s="116"/>
      <c r="N162" s="116"/>
      <c r="O162" s="97">
        <f t="shared" si="110"/>
        <v>0</v>
      </c>
      <c r="P162" s="146"/>
      <c r="Q162" s="65" t="str">
        <f t="shared" si="111"/>
        <v/>
      </c>
      <c r="R162" s="94"/>
      <c r="S162" s="95"/>
      <c r="T162" s="94"/>
      <c r="U162" s="103"/>
      <c r="V162" s="94"/>
      <c r="W162" s="103"/>
      <c r="X162" s="94"/>
      <c r="Y162" s="103"/>
      <c r="Z162" s="94"/>
      <c r="AA162" s="103"/>
      <c r="AB162" s="94"/>
      <c r="AC162" s="103"/>
    </row>
    <row r="163" ht="15.6">
      <c r="A163" s="147" t="s">
        <v>289</v>
      </c>
      <c r="B163" s="148"/>
      <c r="C163" s="149">
        <f t="shared" ref="C163:O163" si="140">SUM(C101:C162)</f>
        <v>220626.8345786694</v>
      </c>
      <c r="D163" s="149">
        <f t="shared" si="140"/>
        <v>140500.8481586694</v>
      </c>
      <c r="E163" s="149">
        <f t="shared" si="140"/>
        <v>154777.15744666941</v>
      </c>
      <c r="F163" s="149">
        <f t="shared" si="140"/>
        <v>215474.26054266939</v>
      </c>
      <c r="G163" s="149">
        <f t="shared" si="140"/>
        <v>161660.2781406694</v>
      </c>
      <c r="H163" s="149">
        <f t="shared" si="140"/>
        <v>142615.52083666943</v>
      </c>
      <c r="I163" s="149">
        <f t="shared" si="140"/>
        <v>194217.72301066938</v>
      </c>
      <c r="J163" s="149">
        <f t="shared" si="140"/>
        <v>124537.55712266942</v>
      </c>
      <c r="K163" s="149">
        <f t="shared" si="140"/>
        <v>182487.53376266942</v>
      </c>
      <c r="L163" s="149">
        <f t="shared" si="140"/>
        <v>162518.78069466937</v>
      </c>
      <c r="M163" s="149">
        <f t="shared" si="140"/>
        <v>205010.56092266939</v>
      </c>
      <c r="N163" s="149">
        <f t="shared" si="140"/>
        <v>204377.13072266939</v>
      </c>
      <c r="O163" s="149">
        <f t="shared" si="140"/>
        <v>2108804.1859400328</v>
      </c>
      <c r="P163" s="150"/>
      <c r="Q163" s="151"/>
    </row>
    <row r="164" ht="15.6"/>
    <row r="165" ht="15.6">
      <c r="A165" s="147" t="s">
        <v>290</v>
      </c>
      <c r="B165" s="148"/>
      <c r="C165" s="149">
        <f>C10+C14+C18+C22+C26+C30+C34+C38+C42+C46+C50+C54+C58+C62+C66+SUM(C70:C89)+SUM(C93:C97)</f>
        <v>1164.5250000000001</v>
      </c>
      <c r="D165" s="149">
        <f t="shared" ref="D165:O165" si="141">D10+D14+D18+D22+D26+D30+D34+D38+D42+D46+D50+D54+D58+D62+D66+SUM(D70:D89)+SUM(D93:D97)</f>
        <v>1474164.5249999999</v>
      </c>
      <c r="E165" s="149">
        <f t="shared" si="141"/>
        <v>1164.5250000000001</v>
      </c>
      <c r="F165" s="149">
        <f t="shared" si="141"/>
        <v>500</v>
      </c>
      <c r="G165" s="149">
        <f t="shared" si="141"/>
        <v>10500</v>
      </c>
      <c r="H165" s="149">
        <f t="shared" si="141"/>
        <v>52180</v>
      </c>
      <c r="I165" s="149">
        <f t="shared" si="141"/>
        <v>81500</v>
      </c>
      <c r="J165" s="149">
        <f t="shared" si="141"/>
        <v>500</v>
      </c>
      <c r="K165" s="149">
        <f t="shared" si="141"/>
        <v>112910</v>
      </c>
      <c r="L165" s="149">
        <f t="shared" si="141"/>
        <v>64260</v>
      </c>
      <c r="M165" s="149">
        <f t="shared" si="141"/>
        <v>31130</v>
      </c>
      <c r="N165" s="149">
        <f t="shared" si="141"/>
        <v>344635</v>
      </c>
      <c r="O165" s="149">
        <f t="shared" si="141"/>
        <v>2175358.5750000002</v>
      </c>
      <c r="P165" s="150"/>
      <c r="Q165" s="151"/>
    </row>
    <row r="166" ht="15.6"/>
    <row r="167" ht="15.6">
      <c r="A167" s="147" t="s">
        <v>291</v>
      </c>
      <c r="B167" s="148"/>
      <c r="C167" s="149">
        <f>C165-C163</f>
        <v>-219462.3095786694</v>
      </c>
      <c r="D167" s="149">
        <f t="shared" ref="D167:N167" si="142">D165-D163</f>
        <v>1333663.6768413305</v>
      </c>
      <c r="E167" s="149">
        <f t="shared" si="142"/>
        <v>-153612.63244666942</v>
      </c>
      <c r="F167" s="149">
        <f>F165-F163</f>
        <v>-214974.26054266939</v>
      </c>
      <c r="G167" s="149">
        <f t="shared" si="142"/>
        <v>-151160.2781406694</v>
      </c>
      <c r="H167" s="149">
        <f t="shared" si="142"/>
        <v>-90435.520836669428</v>
      </c>
      <c r="I167" s="149">
        <f>I165-I163</f>
        <v>-112717.72301066938</v>
      </c>
      <c r="J167" s="149">
        <f t="shared" si="142"/>
        <v>-124037.55712266942</v>
      </c>
      <c r="K167" s="149">
        <f t="shared" si="142"/>
        <v>-69577.533762669424</v>
      </c>
      <c r="L167" s="149">
        <f t="shared" si="142"/>
        <v>-98258.780694669374</v>
      </c>
      <c r="M167" s="149">
        <f t="shared" si="142"/>
        <v>-173880.56092266939</v>
      </c>
      <c r="N167" s="149">
        <f t="shared" si="142"/>
        <v>140257.86927733061</v>
      </c>
      <c r="O167" s="149">
        <f>O165-O163</f>
        <v>66554.389059967361</v>
      </c>
      <c r="P167" s="150"/>
      <c r="Q167" s="151"/>
    </row>
    <row r="168" ht="15"/>
    <row r="169">
      <c r="O169" s="152"/>
    </row>
  </sheetData>
  <mergeCells count="27">
    <mergeCell ref="A22:B22"/>
    <mergeCell ref="A2:B2"/>
    <mergeCell ref="C5:N5"/>
    <mergeCell ref="A10:B10"/>
    <mergeCell ref="A14:B14"/>
    <mergeCell ref="A18:B18"/>
    <mergeCell ref="C68:N68"/>
    <mergeCell ref="A26:B26"/>
    <mergeCell ref="A30:B30"/>
    <mergeCell ref="A34:B34"/>
    <mergeCell ref="A38:B38"/>
    <mergeCell ref="A42:B42"/>
    <mergeCell ref="A46:B46"/>
    <mergeCell ref="A50:B50"/>
    <mergeCell ref="A54:B54"/>
    <mergeCell ref="A58:B58"/>
    <mergeCell ref="A62:B62"/>
    <mergeCell ref="A66:B66"/>
    <mergeCell ref="A157:A158"/>
    <mergeCell ref="A159:A160"/>
    <mergeCell ref="A161:A162"/>
    <mergeCell ref="C91:N91"/>
    <mergeCell ref="C99:N99"/>
    <mergeCell ref="A101:A136"/>
    <mergeCell ref="A137:A142"/>
    <mergeCell ref="A143:A153"/>
    <mergeCell ref="A154:A156"/>
  </mergeCells>
  <dataValidations count="1" disablePrompts="0">
    <dataValidation sqref="AB:AB Z:Z X:X V:V T2:T1048576 R:R" type="list" allowBlank="1" errorStyle="stop" imeMode="noControl" operator="between" showDropDown="0" showErrorMessage="1" showInputMessage="1">
      <formula1>BDD!$A$2:$A$6</formula1>
    </dataValidation>
  </dataValidations>
  <printOptions headings="0" gridLines="0"/>
  <pageMargins left="0.69999999999999996" right="0.69999999999999996" top="0.75" bottom="0.75" header="0.29999999999999999" footer="0.29999999999999999"/>
  <pageSetup paperSize="9" scale="100" fitToWidth="1" fitToHeight="1" pageOrder="downThenOver" orientation="portrait" usePrinterDefaults="1" blackAndWhite="0" draft="0" cellComments="none" useFirstPageNumber="0" errors="displayed" horizontalDpi="600" verticalDpi="300" copies="1"/>
  <headerFooter/>
  <drawing r:id="rId3"/>
  <legacyDrawing r:id="rId4"/>
  <extLst>
    <ext xmlns:x14="http://schemas.microsoft.com/office/spreadsheetml/2009/9/main" uri="{78C0D931-6437-407d-A8EE-F0AAD7539E65}">
      <x14:conditionalFormattings>
        <x14:conditionalFormatting xmlns:xm="http://schemas.microsoft.com/office/excel/2006/main">
          <x14:cfRule type="cellIs" priority="5" operator="equal" id="{007800A1-00E2-42D4-8A3D-0001004D0063}">
            <xm:f>"x"</xm:f>
            <x14:dxf>
              <font>
                <color rgb="FFC00000"/>
              </font>
              <fill>
                <patternFill patternType="solid">
                  <fgColor rgb="FFC00000"/>
                  <bgColor rgb="FFC00000"/>
                </patternFill>
              </fill>
            </x14:dxf>
          </x14:cfRule>
          <xm:sqref>Q1:Q2</xm:sqref>
        </x14:conditionalFormatting>
        <x14:conditionalFormatting xmlns:xm="http://schemas.microsoft.com/office/excel/2006/main">
          <x14:cfRule type="cellIs" priority="1" operator="equal" id="{0050005B-00A6-4F54-A999-00AC00270054}">
            <xm:f>"x"</xm:f>
            <x14:dxf>
              <font>
                <color rgb="FFC00000"/>
              </font>
              <fill>
                <patternFill patternType="solid">
                  <fgColor rgb="FFC00000"/>
                  <bgColor rgb="FFC00000"/>
                </patternFill>
              </fill>
            </x14:dxf>
          </x14:cfRule>
          <xm:sqref>Q4:Q1048576</xm:sqref>
        </x14:conditionalFormatting>
      </x14:conditionalFormattings>
    </ext>
    <ext xmlns:x14="http://schemas.microsoft.com/office/spreadsheetml/2009/9/main" uri="{CCE6A557-97BC-4b89-ADB6-D9C93CAAB3DF}">
      <x14:dataValidations xmlns:xm="http://schemas.microsoft.com/office/excel/2006/main" count="1" disablePrompts="0">
        <x14:dataValidation xr:uid="{00E8000A-0072-4341-80B7-008600F40059}" type="list" allowBlank="1" errorStyle="stop" imeMode="noControl" operator="between" showDropDown="0" showErrorMessage="1" showInputMessage="1">
          <x14:formula1>
            <xm:f>"0j,30j,60j"</xm:f>
          </x14:formula1>
          <xm:sqref>P:P</xm:sqref>
        </x14:dataValidation>
      </x14:dataValidations>
    </ext>
  </extLst>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sheetViews>
    <sheetView topLeftCell="A4" zoomScale="70" workbookViewId="0">
      <selection activeCell="G33" activeCellId="0" sqref="G33"/>
    </sheetView>
  </sheetViews>
  <sheetFormatPr baseColWidth="10" defaultColWidth="10.6640625" defaultRowHeight="14.4"/>
  <cols>
    <col customWidth="1" min="1" max="1" style="36" width="39"/>
    <col bestFit="1" customWidth="1" min="2" max="2" style="36" width="51.33203125"/>
    <col bestFit="1" customWidth="1" min="3" max="3" style="36" width="16.6640625"/>
    <col bestFit="1" customWidth="1" min="4" max="4" style="36" width="18.6640625"/>
    <col bestFit="1" customWidth="1" min="5" max="9" style="36" width="16.6640625"/>
    <col bestFit="1" customWidth="1" min="10" max="10" style="36" width="16.33203125"/>
    <col bestFit="1" customWidth="1" min="11" max="11" style="36" width="17.33203125"/>
    <col bestFit="1" customWidth="1" min="12" max="13" style="36" width="16.6640625"/>
    <col bestFit="1" customWidth="1" min="14" max="14" style="36" width="17.33203125"/>
    <col bestFit="1" customWidth="1" min="15" max="15" style="63" width="19.109375"/>
    <col customWidth="1" min="16" max="16" style="64" width="9.6640625"/>
    <col customWidth="1" min="17" max="17" style="65" width="6.44140625"/>
    <col bestFit="1" customWidth="1" min="18" max="18" style="66" width="20"/>
    <col customWidth="1" min="19" max="19" style="67" width="15.6640625"/>
    <col bestFit="1" customWidth="1" min="20" max="20" style="66" width="20"/>
    <col customWidth="1" min="21" max="21" style="67" width="17.33203125"/>
    <col bestFit="1" customWidth="1" min="22" max="22" style="66" width="20"/>
    <col customWidth="1" min="23" max="23" style="67" width="14.5546875"/>
    <col bestFit="1" customWidth="1" min="24" max="24" style="66" width="20"/>
    <col customWidth="1" min="25" max="25" style="67" width="16.44140625"/>
    <col bestFit="1" customWidth="1" min="26" max="26" style="66" width="20"/>
    <col customWidth="1" min="27" max="27" style="67" width="16.44140625"/>
    <col bestFit="1" customWidth="1" min="28" max="28" style="66" width="20"/>
    <col customWidth="1" min="29" max="29" style="67" width="18.88671875"/>
    <col min="30" max="16384" style="36" width="10.6640625"/>
  </cols>
  <sheetData>
    <row r="1" ht="21">
      <c r="A1" s="68" t="s">
        <v>161</v>
      </c>
      <c r="B1" s="69">
        <v>45292</v>
      </c>
      <c r="Q1" s="65" t="s">
        <v>162</v>
      </c>
      <c r="R1" s="70" t="s">
        <v>163</v>
      </c>
      <c r="S1" s="71" t="s">
        <v>164</v>
      </c>
      <c r="T1" s="70" t="s">
        <v>165</v>
      </c>
      <c r="U1" s="71" t="s">
        <v>164</v>
      </c>
      <c r="V1" s="70" t="s">
        <v>166</v>
      </c>
      <c r="W1" s="71" t="s">
        <v>164</v>
      </c>
      <c r="X1" s="70" t="s">
        <v>167</v>
      </c>
      <c r="Y1" s="71" t="s">
        <v>164</v>
      </c>
      <c r="Z1" s="70" t="s">
        <v>168</v>
      </c>
      <c r="AA1" s="71" t="s">
        <v>164</v>
      </c>
      <c r="AB1" s="70" t="s">
        <v>169</v>
      </c>
      <c r="AC1" s="71" t="s">
        <v>164</v>
      </c>
    </row>
    <row r="2" ht="21">
      <c r="A2" s="72" t="s">
        <v>170</v>
      </c>
      <c r="B2" s="72"/>
    </row>
    <row r="3" ht="28.800000000000001">
      <c r="C3" s="73">
        <f>B1</f>
        <v>45292</v>
      </c>
      <c r="D3" s="74">
        <f>DATE(YEAR(C3),MONTH(C3)+1,DAY(C3))</f>
        <v>45323</v>
      </c>
      <c r="E3" s="74">
        <f t="shared" ref="E3:N3" si="143">DATE(YEAR(D3),MONTH(D3)+1,DAY(D3))</f>
        <v>45352</v>
      </c>
      <c r="F3" s="74">
        <f t="shared" si="143"/>
        <v>45383</v>
      </c>
      <c r="G3" s="74">
        <f t="shared" si="143"/>
        <v>45413</v>
      </c>
      <c r="H3" s="74">
        <f t="shared" si="143"/>
        <v>45444</v>
      </c>
      <c r="I3" s="74">
        <f t="shared" si="143"/>
        <v>45474</v>
      </c>
      <c r="J3" s="74">
        <f t="shared" si="143"/>
        <v>45505</v>
      </c>
      <c r="K3" s="74">
        <f t="shared" si="143"/>
        <v>45536</v>
      </c>
      <c r="L3" s="74">
        <f t="shared" si="143"/>
        <v>45566</v>
      </c>
      <c r="M3" s="74">
        <f t="shared" si="143"/>
        <v>45597</v>
      </c>
      <c r="N3" s="74">
        <f t="shared" si="143"/>
        <v>45627</v>
      </c>
      <c r="O3" s="75" t="s">
        <v>171</v>
      </c>
      <c r="P3" s="76" t="s">
        <v>172</v>
      </c>
      <c r="Q3" s="77" t="s">
        <v>173</v>
      </c>
    </row>
    <row r="4" ht="18">
      <c r="C4" s="78"/>
      <c r="D4" s="78"/>
      <c r="E4" s="78"/>
      <c r="F4" s="78"/>
      <c r="G4" s="78"/>
      <c r="H4" s="78"/>
      <c r="I4" s="78"/>
      <c r="J4" s="78"/>
      <c r="K4" s="78"/>
      <c r="L4" s="78"/>
      <c r="M4" s="78"/>
      <c r="N4" s="78"/>
      <c r="O4" s="79"/>
    </row>
    <row r="5" ht="18">
      <c r="C5" s="80" t="s">
        <v>174</v>
      </c>
      <c r="D5" s="80"/>
      <c r="E5" s="80"/>
      <c r="F5" s="80"/>
      <c r="G5" s="80"/>
      <c r="H5" s="80"/>
      <c r="I5" s="80"/>
      <c r="J5" s="80"/>
      <c r="K5" s="80"/>
      <c r="L5" s="80"/>
      <c r="M5" s="80"/>
      <c r="N5" s="80"/>
    </row>
    <row r="6" ht="18.600000000000001">
      <c r="A6" s="81" t="s">
        <v>175</v>
      </c>
      <c r="B6" s="82"/>
      <c r="C6" s="83">
        <f>C3</f>
        <v>45292</v>
      </c>
      <c r="D6" s="83">
        <f t="shared" ref="D6:N6" si="144">D3</f>
        <v>45323</v>
      </c>
      <c r="E6" s="83">
        <f t="shared" si="144"/>
        <v>45352</v>
      </c>
      <c r="F6" s="83">
        <f t="shared" si="144"/>
        <v>45383</v>
      </c>
      <c r="G6" s="83">
        <f t="shared" si="144"/>
        <v>45413</v>
      </c>
      <c r="H6" s="83">
        <f t="shared" si="144"/>
        <v>45444</v>
      </c>
      <c r="I6" s="83">
        <f t="shared" si="144"/>
        <v>45474</v>
      </c>
      <c r="J6" s="83">
        <f t="shared" si="144"/>
        <v>45505</v>
      </c>
      <c r="K6" s="83">
        <f t="shared" si="144"/>
        <v>45536</v>
      </c>
      <c r="L6" s="83">
        <f t="shared" si="144"/>
        <v>45566</v>
      </c>
      <c r="M6" s="83">
        <f t="shared" si="144"/>
        <v>45597</v>
      </c>
      <c r="N6" s="83">
        <f t="shared" si="144"/>
        <v>45627</v>
      </c>
      <c r="O6" s="84" t="s">
        <v>171</v>
      </c>
      <c r="P6" s="85"/>
    </row>
    <row r="7" ht="15">
      <c r="A7" s="86" t="s">
        <v>176</v>
      </c>
    </row>
    <row r="8">
      <c r="A8" s="87" t="s">
        <v>177</v>
      </c>
      <c r="B8" s="87" t="s">
        <v>178</v>
      </c>
    </row>
    <row r="9" ht="15">
      <c r="A9" s="88">
        <v>1</v>
      </c>
      <c r="B9" s="88">
        <v>1</v>
      </c>
      <c r="C9" s="89"/>
      <c r="D9" s="89"/>
      <c r="E9" s="89"/>
      <c r="F9" s="89"/>
      <c r="G9" s="89"/>
      <c r="H9" s="89"/>
      <c r="I9" s="89"/>
      <c r="J9" s="89"/>
      <c r="K9" s="89">
        <f>146300*0.7</f>
        <v>102410</v>
      </c>
      <c r="L9" s="89">
        <f>146300*0.2</f>
        <v>29260</v>
      </c>
      <c r="M9" s="89">
        <f>146300*0.1</f>
        <v>14630</v>
      </c>
      <c r="N9" s="89"/>
      <c r="O9" s="90">
        <f>SUM(C9:N9)-40000</f>
        <v>106300</v>
      </c>
    </row>
    <row r="10" ht="15.6">
      <c r="A10" s="91"/>
      <c r="B10" s="91"/>
      <c r="C10" s="92">
        <f>$A$9*C9</f>
        <v>0</v>
      </c>
      <c r="D10" s="92">
        <f t="shared" ref="D10:N10" si="145">$A$9*D9</f>
        <v>0</v>
      </c>
      <c r="E10" s="92">
        <f t="shared" si="145"/>
        <v>0</v>
      </c>
      <c r="F10" s="92">
        <f t="shared" si="145"/>
        <v>0</v>
      </c>
      <c r="G10" s="92">
        <f t="shared" si="145"/>
        <v>0</v>
      </c>
      <c r="H10" s="92">
        <f t="shared" si="145"/>
        <v>0</v>
      </c>
      <c r="I10" s="92">
        <f t="shared" si="145"/>
        <v>0</v>
      </c>
      <c r="J10" s="92">
        <f t="shared" si="145"/>
        <v>0</v>
      </c>
      <c r="K10" s="92">
        <f t="shared" si="145"/>
        <v>102410</v>
      </c>
      <c r="L10" s="92">
        <f t="shared" si="145"/>
        <v>29260</v>
      </c>
      <c r="M10" s="92">
        <f t="shared" si="145"/>
        <v>14630</v>
      </c>
      <c r="N10" s="92">
        <f t="shared" si="145"/>
        <v>0</v>
      </c>
      <c r="O10" s="92">
        <f>SUM(C10:N10)-40000</f>
        <v>106300</v>
      </c>
      <c r="P10" s="93" t="s">
        <v>179</v>
      </c>
      <c r="Q10" s="65" t="str">
        <f>IF(ROUND(O10,0)&lt;&gt;ROUND(SUM(S10,U10,W10,Y10,AA10,AC10),0),"x","")</f>
        <v/>
      </c>
      <c r="R10" s="94" t="s">
        <v>108</v>
      </c>
      <c r="S10" s="95">
        <f>42*(190*3)+42*(410*3)-20669</f>
        <v>54931</v>
      </c>
      <c r="T10" s="94" t="s">
        <v>110</v>
      </c>
      <c r="U10" s="95">
        <f>100*(190*2)-10390</f>
        <v>27610</v>
      </c>
      <c r="V10" s="94" t="s">
        <v>126</v>
      </c>
      <c r="W10" s="95">
        <f>15*(190*2)+15*(190*3)+15*(410*3)-8941</f>
        <v>23759</v>
      </c>
      <c r="X10" s="94"/>
      <c r="Y10" s="96"/>
      <c r="Z10" s="94"/>
      <c r="AA10" s="96"/>
      <c r="AB10" s="94"/>
      <c r="AC10" s="96"/>
    </row>
    <row r="11" ht="15">
      <c r="A11" s="86" t="s">
        <v>180</v>
      </c>
    </row>
    <row r="12">
      <c r="A12" s="87" t="s">
        <v>177</v>
      </c>
      <c r="B12" s="87" t="s">
        <v>178</v>
      </c>
    </row>
    <row r="13" ht="15">
      <c r="A13" s="88">
        <v>1</v>
      </c>
      <c r="B13" s="88"/>
      <c r="C13" s="89"/>
      <c r="D13" s="89"/>
      <c r="E13" s="89"/>
      <c r="F13" s="89"/>
      <c r="G13" s="89">
        <f>42800*0.6</f>
        <v>25680</v>
      </c>
      <c r="H13" s="89"/>
      <c r="I13" s="89"/>
      <c r="J13" s="89"/>
      <c r="K13" s="89"/>
      <c r="L13" s="89"/>
      <c r="M13" s="89"/>
      <c r="N13" s="89"/>
      <c r="O13" s="97">
        <f t="shared" ref="O13:O33" si="146">SUM(C13:N13)</f>
        <v>25680</v>
      </c>
    </row>
    <row r="14" ht="15.6">
      <c r="A14" s="91"/>
      <c r="B14" s="91"/>
      <c r="C14" s="92">
        <f t="shared" ref="C14:N14" si="147">+$A$13*C13</f>
        <v>0</v>
      </c>
      <c r="D14" s="92">
        <f t="shared" si="147"/>
        <v>0</v>
      </c>
      <c r="E14" s="92">
        <f t="shared" si="147"/>
        <v>0</v>
      </c>
      <c r="F14" s="92">
        <f t="shared" si="147"/>
        <v>0</v>
      </c>
      <c r="G14" s="92">
        <f t="shared" si="147"/>
        <v>25680</v>
      </c>
      <c r="H14" s="92">
        <f t="shared" si="147"/>
        <v>0</v>
      </c>
      <c r="I14" s="92">
        <f t="shared" si="147"/>
        <v>0</v>
      </c>
      <c r="J14" s="92">
        <f t="shared" si="147"/>
        <v>0</v>
      </c>
      <c r="K14" s="92">
        <f t="shared" si="147"/>
        <v>0</v>
      </c>
      <c r="L14" s="92">
        <f t="shared" si="147"/>
        <v>0</v>
      </c>
      <c r="M14" s="92">
        <f t="shared" si="147"/>
        <v>0</v>
      </c>
      <c r="N14" s="92">
        <f t="shared" si="147"/>
        <v>0</v>
      </c>
      <c r="O14" s="92">
        <f t="shared" si="146"/>
        <v>25680</v>
      </c>
      <c r="P14" s="93" t="s">
        <v>179</v>
      </c>
      <c r="Q14" s="65" t="str">
        <f>IF(O14&lt;&gt;SUM(S14,U14,W14,Y14,AA14,AC14),"x","")</f>
        <v/>
      </c>
      <c r="R14" s="94" t="s">
        <v>108</v>
      </c>
      <c r="S14" s="95">
        <f>42*(80)/0.4</f>
        <v>8400</v>
      </c>
      <c r="T14" s="94" t="s">
        <v>110</v>
      </c>
      <c r="U14" s="95">
        <v>10380</v>
      </c>
      <c r="V14" s="94" t="s">
        <v>126</v>
      </c>
      <c r="W14" s="95">
        <f>(15*(80)+15*0.4*(60+80)+15*0.6*(80))/0.4</f>
        <v>6900</v>
      </c>
      <c r="X14" s="94"/>
      <c r="Y14" s="95"/>
      <c r="Z14" s="94"/>
      <c r="AA14" s="96"/>
      <c r="AB14" s="94"/>
      <c r="AC14" s="96"/>
    </row>
    <row r="15" ht="15">
      <c r="A15" s="86" t="s">
        <v>181</v>
      </c>
    </row>
    <row r="16">
      <c r="A16" s="87" t="s">
        <v>177</v>
      </c>
      <c r="B16" s="87" t="s">
        <v>178</v>
      </c>
    </row>
    <row r="17" ht="15">
      <c r="A17" s="88">
        <v>1</v>
      </c>
      <c r="B17" s="88">
        <v>1</v>
      </c>
      <c r="C17" s="89"/>
      <c r="D17" s="89"/>
      <c r="E17" s="89"/>
      <c r="F17" s="89"/>
      <c r="G17" s="89"/>
      <c r="H17" s="89"/>
      <c r="I17" s="89"/>
      <c r="J17" s="89"/>
      <c r="K17" s="89"/>
      <c r="L17" s="89">
        <v>50000</v>
      </c>
      <c r="M17" s="89"/>
      <c r="N17" s="89">
        <f>218021-L17</f>
        <v>168021</v>
      </c>
      <c r="O17" s="97">
        <f t="shared" si="146"/>
        <v>218021</v>
      </c>
    </row>
    <row r="18" ht="15.6">
      <c r="A18" s="91"/>
      <c r="B18" s="91"/>
      <c r="C18" s="92">
        <f t="shared" ref="C18:N18" si="148">+$A$17*C17</f>
        <v>0</v>
      </c>
      <c r="D18" s="92">
        <f t="shared" si="148"/>
        <v>0</v>
      </c>
      <c r="E18" s="92">
        <f t="shared" si="148"/>
        <v>0</v>
      </c>
      <c r="F18" s="92">
        <f t="shared" si="148"/>
        <v>0</v>
      </c>
      <c r="G18" s="92">
        <f t="shared" si="148"/>
        <v>0</v>
      </c>
      <c r="H18" s="92">
        <f t="shared" si="148"/>
        <v>0</v>
      </c>
      <c r="I18" s="92">
        <f t="shared" si="148"/>
        <v>0</v>
      </c>
      <c r="J18" s="92">
        <f t="shared" si="148"/>
        <v>0</v>
      </c>
      <c r="K18" s="92">
        <f t="shared" si="148"/>
        <v>0</v>
      </c>
      <c r="L18" s="92">
        <f t="shared" si="148"/>
        <v>50000</v>
      </c>
      <c r="M18" s="92">
        <f t="shared" si="148"/>
        <v>0</v>
      </c>
      <c r="N18" s="92">
        <f t="shared" si="148"/>
        <v>168021</v>
      </c>
      <c r="O18" s="92">
        <f t="shared" si="146"/>
        <v>218021</v>
      </c>
      <c r="P18" s="93" t="s">
        <v>179</v>
      </c>
      <c r="Q18" s="65" t="str">
        <f>IF(O18&lt;&gt;SUM(S18,U18,W18,Y18,AA18,AC18),"x","")</f>
        <v/>
      </c>
      <c r="R18" s="94" t="s">
        <v>111</v>
      </c>
      <c r="S18" s="95">
        <f>O18</f>
        <v>218021</v>
      </c>
      <c r="T18" s="94"/>
      <c r="U18" s="96"/>
      <c r="V18" s="94"/>
      <c r="W18" s="96"/>
      <c r="X18" s="94"/>
      <c r="Y18" s="96"/>
      <c r="Z18" s="94"/>
      <c r="AA18" s="96"/>
      <c r="AB18" s="94"/>
      <c r="AC18" s="96"/>
    </row>
    <row r="19" ht="15">
      <c r="A19" s="86" t="s">
        <v>182</v>
      </c>
    </row>
    <row r="20">
      <c r="A20" s="87" t="s">
        <v>177</v>
      </c>
      <c r="B20" s="87" t="s">
        <v>178</v>
      </c>
    </row>
    <row r="21" ht="15">
      <c r="A21" s="88"/>
      <c r="B21" s="88"/>
      <c r="C21" s="89"/>
      <c r="D21" s="89"/>
      <c r="E21" s="89"/>
      <c r="F21" s="89"/>
      <c r="G21" s="89"/>
      <c r="H21" s="89"/>
      <c r="I21" s="89"/>
      <c r="J21" s="89"/>
      <c r="K21" s="89"/>
      <c r="L21" s="89"/>
      <c r="M21" s="89"/>
      <c r="N21" s="89"/>
      <c r="O21" s="97">
        <f t="shared" si="146"/>
        <v>0</v>
      </c>
    </row>
    <row r="22" ht="15.6">
      <c r="A22" s="91"/>
      <c r="B22" s="91"/>
      <c r="C22" s="92">
        <f t="shared" ref="C22:N22" si="149">$A$21*C21</f>
        <v>0</v>
      </c>
      <c r="D22" s="92">
        <f t="shared" si="149"/>
        <v>0</v>
      </c>
      <c r="E22" s="92">
        <f t="shared" si="149"/>
        <v>0</v>
      </c>
      <c r="F22" s="92">
        <f t="shared" si="149"/>
        <v>0</v>
      </c>
      <c r="G22" s="92">
        <f t="shared" si="149"/>
        <v>0</v>
      </c>
      <c r="H22" s="92">
        <f t="shared" si="149"/>
        <v>0</v>
      </c>
      <c r="I22" s="92">
        <f t="shared" si="149"/>
        <v>0</v>
      </c>
      <c r="J22" s="92">
        <f t="shared" si="149"/>
        <v>0</v>
      </c>
      <c r="K22" s="92">
        <f t="shared" si="149"/>
        <v>0</v>
      </c>
      <c r="L22" s="92">
        <f t="shared" si="149"/>
        <v>0</v>
      </c>
      <c r="M22" s="92">
        <f t="shared" si="149"/>
        <v>0</v>
      </c>
      <c r="N22" s="92">
        <f t="shared" si="149"/>
        <v>0</v>
      </c>
      <c r="O22" s="92">
        <f t="shared" si="146"/>
        <v>0</v>
      </c>
      <c r="P22" s="93" t="s">
        <v>179</v>
      </c>
      <c r="Q22" s="65" t="str">
        <f>IF(O22&lt;&gt;SUM(S22,U22,W22,Y22,AA22,AC22),"x","")</f>
        <v/>
      </c>
      <c r="R22" s="94" t="s">
        <v>183</v>
      </c>
      <c r="S22" s="95">
        <f>O22</f>
        <v>0</v>
      </c>
      <c r="T22" s="94"/>
      <c r="U22" s="96"/>
      <c r="V22" s="94"/>
      <c r="W22" s="96"/>
      <c r="X22" s="94"/>
      <c r="Y22" s="96"/>
      <c r="Z22" s="94"/>
      <c r="AA22" s="96"/>
      <c r="AB22" s="94"/>
      <c r="AC22" s="96"/>
    </row>
    <row r="23" ht="15">
      <c r="A23" s="86" t="s">
        <v>184</v>
      </c>
    </row>
    <row r="24">
      <c r="A24" s="87" t="s">
        <v>177</v>
      </c>
      <c r="B24" s="87" t="s">
        <v>178</v>
      </c>
    </row>
    <row r="25" ht="15">
      <c r="A25" s="88">
        <v>1</v>
      </c>
      <c r="B25" s="88">
        <v>1</v>
      </c>
      <c r="C25" s="89"/>
      <c r="D25" s="89">
        <v>20000</v>
      </c>
      <c r="E25" s="89"/>
      <c r="F25" s="89"/>
      <c r="G25" s="89"/>
      <c r="H25" s="89">
        <v>45000</v>
      </c>
      <c r="I25" s="89"/>
      <c r="J25" s="89"/>
      <c r="K25" s="89"/>
      <c r="L25" s="89">
        <v>5000</v>
      </c>
      <c r="M25" s="89"/>
      <c r="N25" s="89">
        <v>60000</v>
      </c>
      <c r="O25" s="97">
        <f t="shared" si="146"/>
        <v>130000</v>
      </c>
    </row>
    <row r="26" ht="15.6">
      <c r="A26" s="91"/>
      <c r="B26" s="91"/>
      <c r="C26" s="92">
        <f>C25*$A$25</f>
        <v>0</v>
      </c>
      <c r="D26" s="92">
        <f t="shared" ref="D26:N26" si="150">D25*$A$25</f>
        <v>20000</v>
      </c>
      <c r="E26" s="92">
        <f t="shared" si="150"/>
        <v>0</v>
      </c>
      <c r="F26" s="92">
        <f t="shared" si="150"/>
        <v>0</v>
      </c>
      <c r="G26" s="92">
        <f t="shared" si="150"/>
        <v>0</v>
      </c>
      <c r="H26" s="92">
        <f t="shared" si="150"/>
        <v>45000</v>
      </c>
      <c r="I26" s="92">
        <f t="shared" si="150"/>
        <v>0</v>
      </c>
      <c r="J26" s="92">
        <f t="shared" si="150"/>
        <v>0</v>
      </c>
      <c r="K26" s="92">
        <f t="shared" si="150"/>
        <v>0</v>
      </c>
      <c r="L26" s="92">
        <f t="shared" si="150"/>
        <v>5000</v>
      </c>
      <c r="M26" s="92">
        <f t="shared" si="150"/>
        <v>0</v>
      </c>
      <c r="N26" s="92">
        <f t="shared" si="150"/>
        <v>60000</v>
      </c>
      <c r="O26" s="92">
        <f t="shared" si="146"/>
        <v>130000</v>
      </c>
      <c r="P26" s="93" t="s">
        <v>179</v>
      </c>
      <c r="Q26" s="65" t="str">
        <f>IF(O26&lt;&gt;SUM(S26,U26,W26,Y26,AA26,AC26),"x","")</f>
        <v/>
      </c>
      <c r="R26" s="94" t="s">
        <v>111</v>
      </c>
      <c r="S26" s="95">
        <f>O26</f>
        <v>130000</v>
      </c>
      <c r="T26" s="94"/>
      <c r="U26" s="96"/>
      <c r="V26" s="94"/>
      <c r="W26" s="96"/>
      <c r="X26" s="94"/>
      <c r="Y26" s="96"/>
      <c r="Z26" s="94"/>
      <c r="AA26" s="96"/>
      <c r="AB26" s="94"/>
      <c r="AC26" s="96"/>
    </row>
    <row r="27" ht="15">
      <c r="A27" s="86" t="s">
        <v>185</v>
      </c>
    </row>
    <row r="28">
      <c r="A28" s="87" t="s">
        <v>177</v>
      </c>
      <c r="B28" s="87" t="s">
        <v>178</v>
      </c>
    </row>
    <row r="29" ht="15">
      <c r="A29" s="88">
        <v>1</v>
      </c>
      <c r="B29" s="88">
        <v>1</v>
      </c>
      <c r="C29" s="89"/>
      <c r="D29" s="89"/>
      <c r="E29" s="89"/>
      <c r="F29" s="89"/>
      <c r="G29" s="89"/>
      <c r="H29" s="89"/>
      <c r="I29" s="89"/>
      <c r="J29" s="89"/>
      <c r="K29" s="89"/>
      <c r="L29" s="89"/>
      <c r="M29" s="89"/>
      <c r="N29" s="89">
        <v>38864</v>
      </c>
      <c r="O29" s="97">
        <f t="shared" si="146"/>
        <v>38864</v>
      </c>
    </row>
    <row r="30" ht="15.6">
      <c r="A30" s="91"/>
      <c r="B30" s="91"/>
      <c r="C30" s="92">
        <f>+C29*$A$29</f>
        <v>0</v>
      </c>
      <c r="D30" s="92">
        <f t="shared" ref="D30:N30" si="151">+D29*$A$29</f>
        <v>0</v>
      </c>
      <c r="E30" s="92">
        <f t="shared" si="151"/>
        <v>0</v>
      </c>
      <c r="F30" s="92">
        <f t="shared" si="151"/>
        <v>0</v>
      </c>
      <c r="G30" s="92">
        <f t="shared" si="151"/>
        <v>0</v>
      </c>
      <c r="H30" s="92">
        <f t="shared" si="151"/>
        <v>0</v>
      </c>
      <c r="I30" s="92">
        <f t="shared" si="151"/>
        <v>0</v>
      </c>
      <c r="J30" s="92">
        <f t="shared" si="151"/>
        <v>0</v>
      </c>
      <c r="K30" s="92">
        <f t="shared" si="151"/>
        <v>0</v>
      </c>
      <c r="L30" s="92">
        <f t="shared" si="151"/>
        <v>0</v>
      </c>
      <c r="M30" s="92">
        <f t="shared" si="151"/>
        <v>0</v>
      </c>
      <c r="N30" s="92">
        <f t="shared" si="151"/>
        <v>38864</v>
      </c>
      <c r="O30" s="92">
        <f t="shared" si="146"/>
        <v>38864</v>
      </c>
      <c r="P30" s="93" t="s">
        <v>179</v>
      </c>
      <c r="Q30" s="65" t="str">
        <f>IF(O30&lt;&gt;SUM(S30,U30,W30,Y30,AA30,AC30),"x","")</f>
        <v/>
      </c>
      <c r="R30" s="94" t="s">
        <v>111</v>
      </c>
      <c r="S30" s="95">
        <f>O30</f>
        <v>38864</v>
      </c>
      <c r="T30" s="94"/>
      <c r="U30" s="96"/>
      <c r="V30" s="94"/>
      <c r="W30" s="96"/>
      <c r="X30" s="94"/>
      <c r="Y30" s="96"/>
      <c r="Z30" s="94"/>
      <c r="AA30" s="96"/>
      <c r="AB30" s="94"/>
      <c r="AC30" s="96"/>
    </row>
    <row r="31" ht="15">
      <c r="A31" s="86" t="s">
        <v>186</v>
      </c>
    </row>
    <row r="32">
      <c r="A32" s="87" t="s">
        <v>177</v>
      </c>
      <c r="B32" s="87" t="s">
        <v>178</v>
      </c>
    </row>
    <row r="33" ht="15">
      <c r="A33" s="88"/>
      <c r="B33" s="88"/>
      <c r="C33" s="89"/>
      <c r="D33" s="89"/>
      <c r="E33" s="89"/>
      <c r="F33" s="89"/>
      <c r="G33" s="89">
        <f>120000/4</f>
        <v>30000</v>
      </c>
      <c r="H33" s="89"/>
      <c r="I33" s="89"/>
      <c r="J33" s="89">
        <f>120000/4</f>
        <v>30000</v>
      </c>
      <c r="K33" s="89"/>
      <c r="L33" s="89">
        <f>120000/4</f>
        <v>30000</v>
      </c>
      <c r="M33" s="89"/>
      <c r="N33" s="89">
        <f>120000/4</f>
        <v>30000</v>
      </c>
      <c r="O33" s="97">
        <f t="shared" si="146"/>
        <v>120000</v>
      </c>
    </row>
    <row r="34" ht="15.6">
      <c r="A34" s="91"/>
      <c r="B34" s="91"/>
      <c r="C34" s="92">
        <f>$A$33*C33</f>
        <v>0</v>
      </c>
      <c r="D34" s="92">
        <f t="shared" ref="D34:M34" si="152">$A$33*D33</f>
        <v>0</v>
      </c>
      <c r="E34" s="92">
        <f t="shared" si="152"/>
        <v>0</v>
      </c>
      <c r="F34" s="92">
        <f t="shared" si="152"/>
        <v>0</v>
      </c>
      <c r="G34" s="92">
        <f t="shared" si="152"/>
        <v>0</v>
      </c>
      <c r="H34" s="92">
        <f t="shared" si="152"/>
        <v>0</v>
      </c>
      <c r="I34" s="92">
        <f t="shared" si="152"/>
        <v>0</v>
      </c>
      <c r="J34" s="92">
        <f t="shared" si="152"/>
        <v>0</v>
      </c>
      <c r="K34" s="92">
        <f t="shared" si="152"/>
        <v>0</v>
      </c>
      <c r="L34" s="92">
        <f t="shared" si="152"/>
        <v>0</v>
      </c>
      <c r="M34" s="92">
        <f t="shared" si="152"/>
        <v>0</v>
      </c>
      <c r="N34" s="92">
        <f>N33</f>
        <v>30000</v>
      </c>
      <c r="O34" s="92">
        <f>O33</f>
        <v>120000</v>
      </c>
      <c r="P34" s="93" t="s">
        <v>179</v>
      </c>
      <c r="Q34" s="65" t="str">
        <f>IF(O34&lt;&gt;SUM(S34,U34,W34,Y34,AA34,AC34),"x","")</f>
        <v/>
      </c>
      <c r="R34" s="94" t="s">
        <v>183</v>
      </c>
      <c r="S34" s="95">
        <f>O34</f>
        <v>120000</v>
      </c>
      <c r="T34" s="94"/>
      <c r="U34" s="96"/>
      <c r="V34" s="94"/>
      <c r="W34" s="96"/>
      <c r="X34" s="94"/>
      <c r="Y34" s="96"/>
      <c r="Z34" s="94"/>
      <c r="AA34" s="96"/>
      <c r="AB34" s="94"/>
      <c r="AC34" s="96"/>
    </row>
    <row r="35" ht="15">
      <c r="A35" s="86" t="s">
        <v>187</v>
      </c>
    </row>
    <row r="36">
      <c r="A36" s="87" t="s">
        <v>177</v>
      </c>
      <c r="B36" s="87" t="s">
        <v>178</v>
      </c>
    </row>
    <row r="37" ht="15">
      <c r="A37" s="88">
        <v>1</v>
      </c>
      <c r="B37" s="88">
        <v>1</v>
      </c>
      <c r="C37" s="89"/>
      <c r="D37" s="89"/>
      <c r="E37" s="89"/>
      <c r="F37" s="89"/>
      <c r="G37" s="89"/>
      <c r="H37" s="89"/>
      <c r="I37" s="89"/>
      <c r="J37" s="89"/>
      <c r="K37" s="89"/>
      <c r="L37" s="89"/>
      <c r="M37" s="89"/>
      <c r="N37" s="89"/>
      <c r="O37" s="97">
        <f>SUM(C37:N37)</f>
        <v>0</v>
      </c>
    </row>
    <row r="38" ht="15.6">
      <c r="A38" s="91"/>
      <c r="B38" s="91"/>
      <c r="C38" s="92">
        <f>+$A$37*C37</f>
        <v>0</v>
      </c>
      <c r="D38" s="92">
        <f t="shared" ref="D38:N38" si="153">+$A$37*D37</f>
        <v>0</v>
      </c>
      <c r="E38" s="92">
        <f t="shared" si="153"/>
        <v>0</v>
      </c>
      <c r="F38" s="92">
        <f t="shared" si="153"/>
        <v>0</v>
      </c>
      <c r="G38" s="92">
        <f t="shared" si="153"/>
        <v>0</v>
      </c>
      <c r="H38" s="92">
        <f t="shared" si="153"/>
        <v>0</v>
      </c>
      <c r="I38" s="92">
        <f t="shared" si="153"/>
        <v>0</v>
      </c>
      <c r="J38" s="92">
        <f t="shared" si="153"/>
        <v>0</v>
      </c>
      <c r="K38" s="92">
        <f t="shared" si="153"/>
        <v>0</v>
      </c>
      <c r="L38" s="92">
        <f t="shared" si="153"/>
        <v>0</v>
      </c>
      <c r="M38" s="92">
        <f t="shared" si="153"/>
        <v>0</v>
      </c>
      <c r="N38" s="92">
        <f t="shared" si="153"/>
        <v>0</v>
      </c>
      <c r="O38" s="92">
        <f>+$A$37*O37</f>
        <v>0</v>
      </c>
      <c r="P38" s="93" t="s">
        <v>179</v>
      </c>
      <c r="Q38" s="65" t="str">
        <f>IF(O38&lt;&gt;SUM(S38,U38,W38,Y38,AA38,AC38),"x","")</f>
        <v/>
      </c>
      <c r="R38" s="94" t="s">
        <v>111</v>
      </c>
      <c r="S38" s="95">
        <f>O38</f>
        <v>0</v>
      </c>
      <c r="T38" s="94"/>
      <c r="U38" s="96"/>
      <c r="V38" s="94"/>
      <c r="W38" s="96"/>
      <c r="X38" s="94"/>
      <c r="Y38" s="96"/>
      <c r="Z38" s="94"/>
      <c r="AA38" s="96"/>
      <c r="AB38" s="94"/>
      <c r="AC38" s="96"/>
    </row>
    <row r="39" ht="15">
      <c r="A39" s="86" t="s">
        <v>188</v>
      </c>
    </row>
    <row r="40">
      <c r="A40" s="87" t="s">
        <v>177</v>
      </c>
      <c r="B40" s="87" t="s">
        <v>178</v>
      </c>
    </row>
    <row r="41" ht="15">
      <c r="A41" s="88"/>
      <c r="B41" s="88"/>
      <c r="C41" s="89"/>
      <c r="D41" s="89"/>
      <c r="E41" s="89"/>
      <c r="F41" s="89"/>
      <c r="G41" s="89"/>
      <c r="H41" s="89"/>
      <c r="I41" s="89"/>
      <c r="J41" s="89"/>
      <c r="K41" s="89"/>
      <c r="L41" s="89"/>
      <c r="M41" s="89"/>
      <c r="N41" s="89"/>
      <c r="O41" s="97">
        <f>SUM(C41:N41)</f>
        <v>0</v>
      </c>
    </row>
    <row r="42" ht="15.6">
      <c r="A42" s="91"/>
      <c r="B42" s="91"/>
      <c r="C42" s="92">
        <f>+$A$41*C41</f>
        <v>0</v>
      </c>
      <c r="D42" s="92">
        <f t="shared" ref="D42:O42" si="154">+$A$41*D41</f>
        <v>0</v>
      </c>
      <c r="E42" s="92">
        <f t="shared" si="154"/>
        <v>0</v>
      </c>
      <c r="F42" s="92">
        <f t="shared" si="154"/>
        <v>0</v>
      </c>
      <c r="G42" s="92">
        <f t="shared" si="154"/>
        <v>0</v>
      </c>
      <c r="H42" s="92">
        <f t="shared" si="154"/>
        <v>0</v>
      </c>
      <c r="I42" s="92">
        <f t="shared" si="154"/>
        <v>0</v>
      </c>
      <c r="J42" s="92">
        <f t="shared" si="154"/>
        <v>0</v>
      </c>
      <c r="K42" s="92">
        <f t="shared" si="154"/>
        <v>0</v>
      </c>
      <c r="L42" s="92">
        <f t="shared" si="154"/>
        <v>0</v>
      </c>
      <c r="M42" s="92">
        <f t="shared" si="154"/>
        <v>0</v>
      </c>
      <c r="N42" s="92">
        <f t="shared" si="154"/>
        <v>0</v>
      </c>
      <c r="O42" s="92">
        <f t="shared" si="154"/>
        <v>0</v>
      </c>
      <c r="P42" s="93" t="s">
        <v>179</v>
      </c>
      <c r="Q42" s="65" t="str">
        <f>IF(O42&lt;&gt;SUM(S42,U42,W42,Y42,AA42,AC42),"x","")</f>
        <v/>
      </c>
      <c r="R42" s="94" t="s">
        <v>183</v>
      </c>
      <c r="S42" s="95">
        <f>O42</f>
        <v>0</v>
      </c>
      <c r="T42" s="94"/>
      <c r="U42" s="96"/>
      <c r="V42" s="94"/>
      <c r="W42" s="96"/>
      <c r="X42" s="94"/>
      <c r="Y42" s="96"/>
      <c r="Z42" s="94"/>
      <c r="AA42" s="96"/>
      <c r="AB42" s="94"/>
      <c r="AC42" s="96"/>
    </row>
    <row r="43" ht="15">
      <c r="A43" s="86" t="s">
        <v>189</v>
      </c>
    </row>
    <row r="44">
      <c r="A44" s="87" t="s">
        <v>177</v>
      </c>
      <c r="B44" s="87" t="s">
        <v>178</v>
      </c>
    </row>
    <row r="45" ht="15">
      <c r="A45" s="88"/>
      <c r="B45" s="88"/>
      <c r="C45" s="89"/>
      <c r="D45" s="89"/>
      <c r="E45" s="89"/>
      <c r="F45" s="89"/>
      <c r="G45" s="89"/>
      <c r="H45" s="89"/>
      <c r="I45" s="89"/>
      <c r="J45" s="89"/>
      <c r="K45" s="89"/>
      <c r="L45" s="89"/>
      <c r="M45" s="89"/>
      <c r="N45" s="89"/>
      <c r="O45" s="97">
        <f>SUM(C45:N45)</f>
        <v>0</v>
      </c>
    </row>
    <row r="46" ht="15.6">
      <c r="A46" s="91"/>
      <c r="B46" s="91"/>
      <c r="C46" s="92">
        <f>$A$45*C45</f>
        <v>0</v>
      </c>
      <c r="D46" s="92">
        <f t="shared" ref="D46:O46" si="155">$A$45*D45</f>
        <v>0</v>
      </c>
      <c r="E46" s="92">
        <f t="shared" si="155"/>
        <v>0</v>
      </c>
      <c r="F46" s="92">
        <f t="shared" si="155"/>
        <v>0</v>
      </c>
      <c r="G46" s="92">
        <f t="shared" si="155"/>
        <v>0</v>
      </c>
      <c r="H46" s="92">
        <f t="shared" si="155"/>
        <v>0</v>
      </c>
      <c r="I46" s="92">
        <f t="shared" si="155"/>
        <v>0</v>
      </c>
      <c r="J46" s="92">
        <f t="shared" si="155"/>
        <v>0</v>
      </c>
      <c r="K46" s="92">
        <f t="shared" si="155"/>
        <v>0</v>
      </c>
      <c r="L46" s="92">
        <f t="shared" si="155"/>
        <v>0</v>
      </c>
      <c r="M46" s="92">
        <f t="shared" si="155"/>
        <v>0</v>
      </c>
      <c r="N46" s="92">
        <f t="shared" si="155"/>
        <v>0</v>
      </c>
      <c r="O46" s="92">
        <f t="shared" si="155"/>
        <v>0</v>
      </c>
      <c r="P46" s="93" t="s">
        <v>179</v>
      </c>
      <c r="Q46" s="65" t="str">
        <f>IF(O46&lt;&gt;SUM(S46,U46,W46,Y46,AA46,AC46),"x","")</f>
        <v/>
      </c>
      <c r="R46" s="94" t="s">
        <v>183</v>
      </c>
      <c r="S46" s="95">
        <f>O46</f>
        <v>0</v>
      </c>
      <c r="T46" s="94"/>
      <c r="U46" s="96"/>
      <c r="V46" s="94"/>
      <c r="W46" s="96"/>
      <c r="X46" s="94"/>
      <c r="Y46" s="96"/>
      <c r="Z46" s="94"/>
      <c r="AA46" s="96"/>
      <c r="AB46" s="94"/>
      <c r="AC46" s="96"/>
    </row>
    <row r="47" ht="15">
      <c r="A47" s="86" t="s">
        <v>190</v>
      </c>
    </row>
    <row r="48">
      <c r="A48" s="87" t="s">
        <v>177</v>
      </c>
      <c r="B48" s="87" t="s">
        <v>178</v>
      </c>
    </row>
    <row r="49" ht="15">
      <c r="A49" s="88">
        <v>1</v>
      </c>
      <c r="B49" s="88">
        <v>1</v>
      </c>
      <c r="C49" s="89"/>
      <c r="D49" s="89"/>
      <c r="E49" s="89"/>
      <c r="F49" s="89"/>
      <c r="G49" s="89">
        <v>10000</v>
      </c>
      <c r="H49" s="89">
        <v>11000</v>
      </c>
      <c r="I49" s="89"/>
      <c r="J49" s="89"/>
      <c r="K49" s="89"/>
      <c r="L49" s="89"/>
      <c r="M49" s="89">
        <v>11000</v>
      </c>
      <c r="N49" s="89"/>
      <c r="O49" s="97">
        <f>SUM(C49:N49)</f>
        <v>32000</v>
      </c>
    </row>
    <row r="50" ht="15.6">
      <c r="A50" s="91"/>
      <c r="B50" s="91"/>
      <c r="C50" s="92">
        <f>C49*$A$49</f>
        <v>0</v>
      </c>
      <c r="D50" s="92">
        <f t="shared" ref="D50:O50" si="156">D49*$A$49</f>
        <v>0</v>
      </c>
      <c r="E50" s="92">
        <f t="shared" si="156"/>
        <v>0</v>
      </c>
      <c r="F50" s="92">
        <f t="shared" si="156"/>
        <v>0</v>
      </c>
      <c r="G50" s="92">
        <f t="shared" si="156"/>
        <v>10000</v>
      </c>
      <c r="H50" s="92">
        <f t="shared" si="156"/>
        <v>11000</v>
      </c>
      <c r="I50" s="92">
        <f t="shared" si="156"/>
        <v>0</v>
      </c>
      <c r="J50" s="92">
        <f t="shared" si="156"/>
        <v>0</v>
      </c>
      <c r="K50" s="92">
        <f t="shared" si="156"/>
        <v>0</v>
      </c>
      <c r="L50" s="92">
        <f t="shared" si="156"/>
        <v>0</v>
      </c>
      <c r="M50" s="92">
        <f t="shared" si="156"/>
        <v>11000</v>
      </c>
      <c r="N50" s="92">
        <f t="shared" si="156"/>
        <v>0</v>
      </c>
      <c r="O50" s="92">
        <f t="shared" si="156"/>
        <v>32000</v>
      </c>
      <c r="P50" s="93" t="s">
        <v>191</v>
      </c>
      <c r="Q50" s="65" t="str">
        <f>IF(O50&lt;&gt;SUM(S50,U50,W50,Y50,AA50,AC50),"x","")</f>
        <v/>
      </c>
      <c r="R50" s="94" t="s">
        <v>126</v>
      </c>
      <c r="S50" s="95">
        <f>O50</f>
        <v>32000</v>
      </c>
      <c r="T50" s="94"/>
      <c r="U50" s="96"/>
      <c r="V50" s="94"/>
      <c r="W50" s="96"/>
      <c r="X50" s="94"/>
      <c r="Y50" s="96"/>
      <c r="Z50" s="94"/>
      <c r="AA50" s="96"/>
      <c r="AB50" s="94"/>
      <c r="AC50" s="96"/>
    </row>
    <row r="51" ht="15">
      <c r="A51" s="86" t="s">
        <v>192</v>
      </c>
    </row>
    <row r="52">
      <c r="A52" s="87" t="s">
        <v>177</v>
      </c>
      <c r="B52" s="87" t="s">
        <v>178</v>
      </c>
    </row>
    <row r="53" ht="15">
      <c r="A53" s="88"/>
      <c r="B53" s="88"/>
      <c r="C53" s="89"/>
      <c r="D53" s="89"/>
      <c r="E53" s="89"/>
      <c r="F53" s="89"/>
      <c r="G53" s="89"/>
      <c r="H53" s="89"/>
      <c r="I53" s="89"/>
      <c r="J53" s="89"/>
      <c r="K53" s="89"/>
      <c r="L53" s="89"/>
      <c r="M53" s="89"/>
      <c r="N53" s="89"/>
      <c r="O53" s="97">
        <f>SUM(C53:N53)</f>
        <v>0</v>
      </c>
    </row>
    <row r="54" ht="15.6">
      <c r="A54" s="91"/>
      <c r="B54" s="91"/>
      <c r="C54" s="92">
        <f>C53*$A$53</f>
        <v>0</v>
      </c>
      <c r="D54" s="92">
        <f t="shared" ref="D54:O54" si="157">D53*$A$53</f>
        <v>0</v>
      </c>
      <c r="E54" s="92">
        <f t="shared" si="157"/>
        <v>0</v>
      </c>
      <c r="F54" s="92">
        <f t="shared" si="157"/>
        <v>0</v>
      </c>
      <c r="G54" s="92">
        <f t="shared" si="157"/>
        <v>0</v>
      </c>
      <c r="H54" s="92">
        <f t="shared" si="157"/>
        <v>0</v>
      </c>
      <c r="I54" s="92">
        <f t="shared" si="157"/>
        <v>0</v>
      </c>
      <c r="J54" s="92">
        <f t="shared" si="157"/>
        <v>0</v>
      </c>
      <c r="K54" s="92">
        <f t="shared" si="157"/>
        <v>0</v>
      </c>
      <c r="L54" s="92">
        <f t="shared" si="157"/>
        <v>0</v>
      </c>
      <c r="M54" s="92">
        <f t="shared" si="157"/>
        <v>0</v>
      </c>
      <c r="N54" s="92">
        <f t="shared" si="157"/>
        <v>0</v>
      </c>
      <c r="O54" s="92">
        <f t="shared" si="157"/>
        <v>0</v>
      </c>
      <c r="P54" s="93" t="s">
        <v>179</v>
      </c>
      <c r="Q54" s="65" t="str">
        <f>IF(O54&lt;&gt;SUM(S54,U54,W54,Y54,AA54,AC54),"x","")</f>
        <v/>
      </c>
      <c r="R54" s="94"/>
      <c r="S54" s="95"/>
      <c r="T54" s="94"/>
      <c r="U54" s="96"/>
      <c r="V54" s="94"/>
      <c r="W54" s="96"/>
      <c r="X54" s="94"/>
      <c r="Y54" s="96"/>
      <c r="Z54" s="94"/>
      <c r="AA54" s="96"/>
      <c r="AB54" s="94"/>
      <c r="AC54" s="96"/>
    </row>
    <row r="55" ht="15">
      <c r="A55" s="86" t="s">
        <v>193</v>
      </c>
    </row>
    <row r="56">
      <c r="A56" s="87" t="s">
        <v>177</v>
      </c>
      <c r="B56" s="87" t="s">
        <v>178</v>
      </c>
    </row>
    <row r="57" ht="15">
      <c r="A57" s="88"/>
      <c r="B57" s="88"/>
      <c r="C57" s="89"/>
      <c r="D57" s="89"/>
      <c r="E57" s="89"/>
      <c r="F57" s="89"/>
      <c r="G57" s="89"/>
      <c r="H57" s="89"/>
      <c r="I57" s="89"/>
      <c r="J57" s="89"/>
      <c r="K57" s="89"/>
      <c r="L57" s="89"/>
      <c r="M57" s="89"/>
      <c r="N57" s="89"/>
      <c r="O57" s="97">
        <f t="shared" ref="O57:O61" si="158">SUM(C57:N57)</f>
        <v>0</v>
      </c>
    </row>
    <row r="58" ht="15.6">
      <c r="A58" s="91"/>
      <c r="B58" s="91"/>
      <c r="C58" s="92">
        <f>$A$57*C57</f>
        <v>0</v>
      </c>
      <c r="D58" s="92">
        <f t="shared" ref="D58:N58" si="159">$A$57*D57</f>
        <v>0</v>
      </c>
      <c r="E58" s="92">
        <f t="shared" si="159"/>
        <v>0</v>
      </c>
      <c r="F58" s="92">
        <f t="shared" si="159"/>
        <v>0</v>
      </c>
      <c r="G58" s="92">
        <f t="shared" si="159"/>
        <v>0</v>
      </c>
      <c r="H58" s="92">
        <f t="shared" si="159"/>
        <v>0</v>
      </c>
      <c r="I58" s="92">
        <f t="shared" si="159"/>
        <v>0</v>
      </c>
      <c r="J58" s="92">
        <f t="shared" si="159"/>
        <v>0</v>
      </c>
      <c r="K58" s="92">
        <f t="shared" si="159"/>
        <v>0</v>
      </c>
      <c r="L58" s="92">
        <f t="shared" si="159"/>
        <v>0</v>
      </c>
      <c r="M58" s="92">
        <f t="shared" si="159"/>
        <v>0</v>
      </c>
      <c r="N58" s="92">
        <f t="shared" si="159"/>
        <v>0</v>
      </c>
      <c r="O58" s="92">
        <f t="shared" si="158"/>
        <v>0</v>
      </c>
      <c r="P58" s="93" t="s">
        <v>179</v>
      </c>
      <c r="Q58" s="65" t="str">
        <f>IF(O58&lt;&gt;SUM(S58,U58,W58,Y58,AA58,AC58),"x","")</f>
        <v/>
      </c>
      <c r="R58" s="94"/>
      <c r="S58" s="95"/>
      <c r="T58" s="94"/>
      <c r="U58" s="96"/>
      <c r="V58" s="94"/>
      <c r="W58" s="96"/>
      <c r="X58" s="94"/>
      <c r="Y58" s="96"/>
      <c r="Z58" s="94"/>
      <c r="AA58" s="96"/>
      <c r="AB58" s="94"/>
      <c r="AC58" s="96"/>
    </row>
    <row r="59" ht="15">
      <c r="A59" s="86" t="s">
        <v>194</v>
      </c>
    </row>
    <row r="60">
      <c r="A60" s="87" t="s">
        <v>177</v>
      </c>
      <c r="B60" s="87" t="s">
        <v>178</v>
      </c>
    </row>
    <row r="61" ht="15">
      <c r="A61" s="88"/>
      <c r="B61" s="88"/>
      <c r="C61" s="89"/>
      <c r="D61" s="89"/>
      <c r="E61" s="89"/>
      <c r="F61" s="89"/>
      <c r="G61" s="89"/>
      <c r="H61" s="89"/>
      <c r="I61" s="89"/>
      <c r="J61" s="89"/>
      <c r="K61" s="89"/>
      <c r="L61" s="89"/>
      <c r="M61" s="89"/>
      <c r="N61" s="89"/>
      <c r="O61" s="97">
        <f t="shared" si="158"/>
        <v>0</v>
      </c>
    </row>
    <row r="62" ht="15.6">
      <c r="A62" s="91"/>
      <c r="B62" s="91"/>
      <c r="C62" s="92">
        <f>+$A$61*C61</f>
        <v>0</v>
      </c>
      <c r="D62" s="92">
        <f t="shared" ref="D62:O62" si="160">+$A$61*D61</f>
        <v>0</v>
      </c>
      <c r="E62" s="92">
        <f t="shared" si="160"/>
        <v>0</v>
      </c>
      <c r="F62" s="92">
        <f t="shared" si="160"/>
        <v>0</v>
      </c>
      <c r="G62" s="92">
        <f t="shared" si="160"/>
        <v>0</v>
      </c>
      <c r="H62" s="92">
        <f t="shared" si="160"/>
        <v>0</v>
      </c>
      <c r="I62" s="92">
        <f t="shared" si="160"/>
        <v>0</v>
      </c>
      <c r="J62" s="92">
        <f t="shared" si="160"/>
        <v>0</v>
      </c>
      <c r="K62" s="92">
        <f t="shared" si="160"/>
        <v>0</v>
      </c>
      <c r="L62" s="92">
        <f t="shared" si="160"/>
        <v>0</v>
      </c>
      <c r="M62" s="92">
        <f t="shared" si="160"/>
        <v>0</v>
      </c>
      <c r="N62" s="92">
        <f t="shared" si="160"/>
        <v>0</v>
      </c>
      <c r="O62" s="92">
        <f t="shared" si="160"/>
        <v>0</v>
      </c>
      <c r="P62" s="93" t="s">
        <v>179</v>
      </c>
      <c r="Q62" s="65" t="str">
        <f>IF(O62&lt;&gt;SUM(S62,U62,W62,Y62,AA62,AC62),"x","")</f>
        <v/>
      </c>
      <c r="R62" s="94"/>
      <c r="S62" s="95"/>
      <c r="T62" s="94"/>
      <c r="U62" s="96"/>
      <c r="V62" s="94"/>
      <c r="W62" s="96"/>
      <c r="X62" s="94"/>
      <c r="Y62" s="96"/>
      <c r="Z62" s="94"/>
      <c r="AA62" s="96"/>
      <c r="AB62" s="94"/>
      <c r="AC62" s="96"/>
    </row>
    <row r="63" ht="15">
      <c r="A63" s="86" t="s">
        <v>195</v>
      </c>
    </row>
    <row r="64">
      <c r="A64" s="87" t="s">
        <v>177</v>
      </c>
      <c r="B64" s="87" t="s">
        <v>178</v>
      </c>
    </row>
    <row r="65" ht="15">
      <c r="A65" s="88"/>
      <c r="B65" s="88"/>
      <c r="C65" s="89"/>
      <c r="D65" s="89"/>
      <c r="E65" s="89"/>
      <c r="F65" s="89"/>
      <c r="G65" s="89"/>
      <c r="H65" s="89"/>
      <c r="I65" s="89"/>
      <c r="J65" s="89"/>
      <c r="K65" s="89"/>
      <c r="L65" s="89"/>
      <c r="M65" s="89"/>
      <c r="N65" s="89"/>
      <c r="O65" s="97">
        <f>SUM(C65:N65)</f>
        <v>0</v>
      </c>
    </row>
    <row r="66" ht="15.6">
      <c r="A66" s="91"/>
      <c r="B66" s="91"/>
      <c r="C66" s="92">
        <f>+$A$65*C65</f>
        <v>0</v>
      </c>
      <c r="D66" s="92">
        <f t="shared" ref="D66:O66" si="161">+$A$65*D65</f>
        <v>0</v>
      </c>
      <c r="E66" s="92">
        <f t="shared" si="161"/>
        <v>0</v>
      </c>
      <c r="F66" s="92">
        <f t="shared" si="161"/>
        <v>0</v>
      </c>
      <c r="G66" s="92">
        <f t="shared" si="161"/>
        <v>0</v>
      </c>
      <c r="H66" s="92">
        <f t="shared" si="161"/>
        <v>0</v>
      </c>
      <c r="I66" s="92">
        <f t="shared" si="161"/>
        <v>0</v>
      </c>
      <c r="J66" s="92">
        <f t="shared" si="161"/>
        <v>0</v>
      </c>
      <c r="K66" s="92">
        <f t="shared" si="161"/>
        <v>0</v>
      </c>
      <c r="L66" s="92">
        <f t="shared" si="161"/>
        <v>0</v>
      </c>
      <c r="M66" s="92">
        <f t="shared" si="161"/>
        <v>0</v>
      </c>
      <c r="N66" s="92">
        <f t="shared" si="161"/>
        <v>0</v>
      </c>
      <c r="O66" s="92">
        <f t="shared" si="161"/>
        <v>0</v>
      </c>
      <c r="P66" s="93" t="s">
        <v>179</v>
      </c>
      <c r="Q66" s="65" t="str">
        <f>IF(O66&lt;&gt;SUM(S66,U66,W66,Y66,AA66,AC66),"x","")</f>
        <v/>
      </c>
      <c r="R66" s="94"/>
      <c r="S66" s="95"/>
      <c r="T66" s="94"/>
      <c r="U66" s="96"/>
      <c r="V66" s="94"/>
      <c r="W66" s="96"/>
      <c r="X66" s="94"/>
      <c r="Y66" s="96"/>
      <c r="Z66" s="94"/>
      <c r="AA66" s="96"/>
      <c r="AB66" s="94"/>
      <c r="AC66" s="96"/>
    </row>
    <row r="67" ht="15"/>
    <row r="68" ht="18">
      <c r="C68" s="80" t="s">
        <v>196</v>
      </c>
      <c r="D68" s="80"/>
      <c r="E68" s="80"/>
      <c r="F68" s="80"/>
      <c r="G68" s="80"/>
      <c r="H68" s="80"/>
      <c r="I68" s="80"/>
      <c r="J68" s="80"/>
      <c r="K68" s="80"/>
      <c r="L68" s="80"/>
      <c r="M68" s="80"/>
      <c r="N68" s="80"/>
    </row>
    <row r="69" ht="18.600000000000001">
      <c r="A69" s="81" t="s">
        <v>197</v>
      </c>
      <c r="B69" s="82" t="s">
        <v>198</v>
      </c>
      <c r="C69" s="83">
        <f>C3</f>
        <v>45292</v>
      </c>
      <c r="D69" s="83">
        <f t="shared" ref="D69:N69" si="162">D3</f>
        <v>45323</v>
      </c>
      <c r="E69" s="83">
        <f t="shared" si="162"/>
        <v>45352</v>
      </c>
      <c r="F69" s="83">
        <f t="shared" si="162"/>
        <v>45383</v>
      </c>
      <c r="G69" s="83">
        <f t="shared" si="162"/>
        <v>45413</v>
      </c>
      <c r="H69" s="83">
        <f t="shared" si="162"/>
        <v>45444</v>
      </c>
      <c r="I69" s="83">
        <f t="shared" si="162"/>
        <v>45474</v>
      </c>
      <c r="J69" s="83">
        <f t="shared" si="162"/>
        <v>45505</v>
      </c>
      <c r="K69" s="83">
        <f t="shared" si="162"/>
        <v>45536</v>
      </c>
      <c r="L69" s="83">
        <f t="shared" si="162"/>
        <v>45566</v>
      </c>
      <c r="M69" s="83">
        <f t="shared" si="162"/>
        <v>45597</v>
      </c>
      <c r="N69" s="83">
        <f t="shared" si="162"/>
        <v>45627</v>
      </c>
      <c r="O69" s="79" t="s">
        <v>171</v>
      </c>
    </row>
    <row r="70" ht="15">
      <c r="A70" s="86" t="s">
        <v>199</v>
      </c>
      <c r="B70" s="98">
        <v>1620000</v>
      </c>
      <c r="C70" s="99"/>
      <c r="D70" s="99">
        <v>1215000</v>
      </c>
      <c r="E70" s="86"/>
      <c r="F70" s="86"/>
      <c r="G70" s="86"/>
      <c r="H70" s="98"/>
      <c r="I70" s="98">
        <v>334000</v>
      </c>
      <c r="J70" s="98"/>
      <c r="K70" s="98"/>
      <c r="L70" s="98"/>
      <c r="M70" s="98"/>
      <c r="N70" s="98">
        <v>71000</v>
      </c>
      <c r="O70" s="100">
        <f t="shared" ref="O70:O97" si="163">SUM(C70:N70)</f>
        <v>1620000</v>
      </c>
      <c r="P70" s="101"/>
      <c r="Q70" s="65" t="str">
        <f t="shared" ref="Q70:Q89" si="164">IF(B70&lt;&gt;SUM(S70,U70,W70,Y70,AA70,AC70),"x","")</f>
        <v/>
      </c>
      <c r="R70" s="94" t="s">
        <v>108</v>
      </c>
      <c r="S70" s="95">
        <f>(126/401)*B70</f>
        <v>509027.43142144644</v>
      </c>
      <c r="T70" s="94" t="s">
        <v>110</v>
      </c>
      <c r="U70" s="95">
        <f>(200/401)*B70</f>
        <v>807980.04987531179</v>
      </c>
      <c r="V70" s="94" t="s">
        <v>126</v>
      </c>
      <c r="W70" s="95">
        <f>(75/401)*B70</f>
        <v>302992.51870324189</v>
      </c>
      <c r="X70" s="94"/>
      <c r="Y70" s="96"/>
      <c r="Z70" s="94"/>
      <c r="AA70" s="96"/>
      <c r="AB70" s="94"/>
      <c r="AC70" s="96"/>
    </row>
    <row r="71">
      <c r="A71" s="86" t="s">
        <v>200</v>
      </c>
      <c r="B71" s="98">
        <v>0</v>
      </c>
      <c r="C71" s="86"/>
      <c r="D71" s="86"/>
      <c r="E71" s="86"/>
      <c r="F71" s="86"/>
      <c r="G71" s="86"/>
      <c r="H71" s="98">
        <v>0</v>
      </c>
      <c r="I71" s="98"/>
      <c r="J71" s="98"/>
      <c r="K71" s="98"/>
      <c r="L71" s="98"/>
      <c r="M71" s="98"/>
      <c r="N71" s="98"/>
      <c r="O71" s="97">
        <f t="shared" si="163"/>
        <v>0</v>
      </c>
      <c r="P71" s="101"/>
      <c r="Q71" s="65" t="str">
        <f t="shared" si="164"/>
        <v/>
      </c>
      <c r="R71" s="94" t="s">
        <v>108</v>
      </c>
      <c r="S71" s="95">
        <f>B71/4</f>
        <v>0</v>
      </c>
      <c r="T71" s="94" t="s">
        <v>110</v>
      </c>
      <c r="U71" s="95">
        <f>B71/4</f>
        <v>0</v>
      </c>
      <c r="V71" s="94" t="s">
        <v>126</v>
      </c>
      <c r="W71" s="95">
        <f>B71/4</f>
        <v>0</v>
      </c>
      <c r="X71" s="94" t="s">
        <v>111</v>
      </c>
      <c r="Y71" s="95">
        <f>B71/4</f>
        <v>0</v>
      </c>
      <c r="Z71" s="94"/>
      <c r="AA71" s="96"/>
      <c r="AB71" s="94"/>
      <c r="AC71" s="96"/>
    </row>
    <row r="72">
      <c r="A72" s="86" t="s">
        <v>201</v>
      </c>
      <c r="B72" s="98">
        <f>30000</f>
        <v>30000</v>
      </c>
      <c r="C72" s="86"/>
      <c r="D72" s="86"/>
      <c r="E72" s="86"/>
      <c r="F72" s="86"/>
      <c r="G72" s="86"/>
      <c r="H72" s="98"/>
      <c r="I72" s="98"/>
      <c r="J72" s="98"/>
      <c r="K72" s="98">
        <v>30000</v>
      </c>
      <c r="L72" s="98"/>
      <c r="M72" s="98"/>
      <c r="N72" s="98"/>
      <c r="O72" s="97">
        <f t="shared" si="163"/>
        <v>30000</v>
      </c>
      <c r="P72" s="101"/>
      <c r="Q72" s="65" t="str">
        <f t="shared" si="164"/>
        <v/>
      </c>
      <c r="R72" s="94" t="s">
        <v>126</v>
      </c>
      <c r="S72" s="95">
        <f t="shared" ref="S72:S73" si="165">B72</f>
        <v>30000</v>
      </c>
      <c r="T72" s="94"/>
      <c r="U72" s="96"/>
      <c r="V72" s="94"/>
      <c r="W72" s="96"/>
      <c r="X72" s="94"/>
      <c r="Y72" s="96"/>
      <c r="Z72" s="94"/>
      <c r="AA72" s="96"/>
      <c r="AB72" s="94"/>
      <c r="AC72" s="96"/>
    </row>
    <row r="73">
      <c r="A73" s="86" t="s">
        <v>202</v>
      </c>
      <c r="B73" s="98">
        <f>5000+11000</f>
        <v>16000</v>
      </c>
      <c r="C73" s="99"/>
      <c r="D73" s="86"/>
      <c r="E73" s="86"/>
      <c r="F73" s="99"/>
      <c r="G73" s="86"/>
      <c r="H73" s="98"/>
      <c r="I73" s="98">
        <v>11000</v>
      </c>
      <c r="J73" s="98"/>
      <c r="K73" s="98"/>
      <c r="L73" s="98"/>
      <c r="M73" s="98">
        <v>5000</v>
      </c>
      <c r="N73" s="98"/>
      <c r="O73" s="97">
        <f t="shared" si="163"/>
        <v>16000</v>
      </c>
      <c r="P73" s="101"/>
      <c r="Q73" s="65" t="str">
        <f t="shared" si="164"/>
        <v/>
      </c>
      <c r="R73" s="94" t="s">
        <v>126</v>
      </c>
      <c r="S73" s="95">
        <f t="shared" si="165"/>
        <v>16000</v>
      </c>
      <c r="T73" s="94"/>
      <c r="U73" s="96"/>
      <c r="V73" s="94"/>
      <c r="W73" s="96"/>
      <c r="X73" s="94"/>
      <c r="Y73" s="96"/>
      <c r="Z73" s="94"/>
      <c r="AA73" s="96"/>
      <c r="AB73" s="94"/>
      <c r="AC73" s="96"/>
    </row>
    <row r="74">
      <c r="A74" s="86" t="s">
        <v>203</v>
      </c>
      <c r="B74" s="98">
        <v>0</v>
      </c>
      <c r="C74" s="102"/>
      <c r="D74" s="102"/>
      <c r="E74" s="102"/>
      <c r="F74" s="86"/>
      <c r="G74" s="86"/>
      <c r="H74" s="98"/>
      <c r="I74" s="98"/>
      <c r="J74" s="98"/>
      <c r="K74" s="98"/>
      <c r="L74" s="98"/>
      <c r="M74" s="98"/>
      <c r="N74" s="98"/>
      <c r="O74" s="97">
        <f t="shared" si="163"/>
        <v>0</v>
      </c>
      <c r="P74" s="101"/>
      <c r="Q74" s="65" t="str">
        <f t="shared" si="164"/>
        <v/>
      </c>
      <c r="R74" s="94" t="s">
        <v>108</v>
      </c>
      <c r="S74" s="95">
        <f>B74/3</f>
        <v>0</v>
      </c>
      <c r="T74" s="94" t="s">
        <v>110</v>
      </c>
      <c r="U74" s="95">
        <f>B74/3</f>
        <v>0</v>
      </c>
      <c r="V74" s="94" t="s">
        <v>126</v>
      </c>
      <c r="W74" s="95">
        <f>B74/3</f>
        <v>0</v>
      </c>
      <c r="X74" s="94"/>
      <c r="Y74" s="96"/>
      <c r="Z74" s="94"/>
      <c r="AA74" s="96"/>
      <c r="AB74" s="94"/>
      <c r="AC74" s="96"/>
    </row>
    <row r="75">
      <c r="A75" s="86" t="s">
        <v>204</v>
      </c>
      <c r="B75" s="98">
        <v>6000</v>
      </c>
      <c r="C75" s="102">
        <f>6000/12</f>
        <v>500</v>
      </c>
      <c r="D75" s="102">
        <f t="shared" ref="D75:N75" si="166">6000/12</f>
        <v>500</v>
      </c>
      <c r="E75" s="102">
        <f t="shared" si="166"/>
        <v>500</v>
      </c>
      <c r="F75" s="102">
        <f t="shared" si="166"/>
        <v>500</v>
      </c>
      <c r="G75" s="102">
        <f t="shared" si="166"/>
        <v>500</v>
      </c>
      <c r="H75" s="102">
        <f t="shared" si="166"/>
        <v>500</v>
      </c>
      <c r="I75" s="102">
        <f t="shared" si="166"/>
        <v>500</v>
      </c>
      <c r="J75" s="102">
        <f t="shared" si="166"/>
        <v>500</v>
      </c>
      <c r="K75" s="102">
        <f t="shared" si="166"/>
        <v>500</v>
      </c>
      <c r="L75" s="102">
        <f t="shared" si="166"/>
        <v>500</v>
      </c>
      <c r="M75" s="102">
        <f t="shared" si="166"/>
        <v>500</v>
      </c>
      <c r="N75" s="102">
        <f t="shared" si="166"/>
        <v>500</v>
      </c>
      <c r="O75" s="97">
        <f t="shared" si="163"/>
        <v>6000</v>
      </c>
      <c r="P75" s="101"/>
      <c r="Q75" s="65" t="str">
        <f t="shared" si="164"/>
        <v/>
      </c>
      <c r="R75" s="94" t="s">
        <v>108</v>
      </c>
      <c r="S75" s="95">
        <f>B75/4</f>
        <v>1500</v>
      </c>
      <c r="T75" s="94" t="s">
        <v>110</v>
      </c>
      <c r="U75" s="95">
        <f>B75/4</f>
        <v>1500</v>
      </c>
      <c r="V75" s="94" t="s">
        <v>126</v>
      </c>
      <c r="W75" s="95">
        <f>B75/4</f>
        <v>1500</v>
      </c>
      <c r="X75" s="94" t="s">
        <v>111</v>
      </c>
      <c r="Y75" s="95">
        <f>B75/4</f>
        <v>1500</v>
      </c>
      <c r="Z75" s="94"/>
      <c r="AA75" s="96"/>
      <c r="AB75" s="94"/>
      <c r="AC75" s="96"/>
    </row>
    <row r="76">
      <c r="A76" s="86" t="s">
        <v>205</v>
      </c>
      <c r="B76" s="98"/>
      <c r="C76" s="86"/>
      <c r="D76" s="86"/>
      <c r="E76" s="86"/>
      <c r="F76" s="86"/>
      <c r="G76" s="86"/>
      <c r="H76" s="98"/>
      <c r="I76" s="98"/>
      <c r="J76" s="98"/>
      <c r="K76" s="98"/>
      <c r="L76" s="98"/>
      <c r="M76" s="98"/>
      <c r="N76" s="98"/>
      <c r="O76" s="97">
        <f t="shared" si="163"/>
        <v>0</v>
      </c>
      <c r="P76" s="101"/>
      <c r="Q76" s="65" t="str">
        <f t="shared" si="164"/>
        <v/>
      </c>
      <c r="R76" s="94"/>
      <c r="S76" s="103"/>
      <c r="T76" s="94"/>
      <c r="U76" s="96"/>
      <c r="V76" s="94"/>
      <c r="W76" s="96"/>
      <c r="X76" s="94"/>
      <c r="Y76" s="96"/>
      <c r="Z76" s="94"/>
      <c r="AA76" s="96"/>
      <c r="AB76" s="94"/>
      <c r="AC76" s="96"/>
    </row>
    <row r="77">
      <c r="A77" s="86" t="s">
        <v>206</v>
      </c>
      <c r="B77" s="98"/>
      <c r="C77" s="86"/>
      <c r="D77" s="86"/>
      <c r="E77" s="86"/>
      <c r="F77" s="86"/>
      <c r="G77" s="86"/>
      <c r="H77" s="98"/>
      <c r="I77" s="98"/>
      <c r="J77" s="98"/>
      <c r="K77" s="98"/>
      <c r="L77" s="98"/>
      <c r="M77" s="98"/>
      <c r="N77" s="98"/>
      <c r="O77" s="97">
        <f t="shared" si="163"/>
        <v>0</v>
      </c>
      <c r="P77" s="101"/>
      <c r="Q77" s="65" t="str">
        <f t="shared" si="164"/>
        <v/>
      </c>
      <c r="R77" s="94"/>
      <c r="S77" s="103"/>
      <c r="T77" s="94"/>
      <c r="U77" s="96"/>
      <c r="V77" s="94"/>
      <c r="W77" s="96"/>
      <c r="X77" s="94"/>
      <c r="Y77" s="96"/>
      <c r="Z77" s="94"/>
      <c r="AA77" s="96"/>
      <c r="AB77" s="94"/>
      <c r="AC77" s="96"/>
    </row>
    <row r="78">
      <c r="A78" s="86" t="s">
        <v>207</v>
      </c>
      <c r="B78" s="98"/>
      <c r="C78" s="86"/>
      <c r="D78" s="86"/>
      <c r="E78" s="86"/>
      <c r="F78" s="86"/>
      <c r="G78" s="86"/>
      <c r="H78" s="98"/>
      <c r="I78" s="98"/>
      <c r="J78" s="98"/>
      <c r="K78" s="98"/>
      <c r="L78" s="98"/>
      <c r="M78" s="98"/>
      <c r="N78" s="98"/>
      <c r="O78" s="97">
        <f t="shared" si="163"/>
        <v>0</v>
      </c>
      <c r="P78" s="101"/>
      <c r="Q78" s="65" t="str">
        <f t="shared" si="164"/>
        <v/>
      </c>
      <c r="R78" s="94"/>
      <c r="S78" s="103"/>
      <c r="T78" s="94"/>
      <c r="U78" s="96"/>
      <c r="V78" s="94"/>
      <c r="W78" s="96"/>
      <c r="X78" s="94"/>
      <c r="Y78" s="96"/>
      <c r="Z78" s="94"/>
      <c r="AA78" s="96"/>
      <c r="AB78" s="94"/>
      <c r="AC78" s="96"/>
    </row>
    <row r="79">
      <c r="A79" s="86" t="s">
        <v>208</v>
      </c>
      <c r="B79" s="98"/>
      <c r="C79" s="86"/>
      <c r="D79" s="86"/>
      <c r="E79" s="86"/>
      <c r="F79" s="86"/>
      <c r="G79" s="86"/>
      <c r="H79" s="98"/>
      <c r="I79" s="98"/>
      <c r="J79" s="98"/>
      <c r="K79" s="98"/>
      <c r="L79" s="98"/>
      <c r="M79" s="98"/>
      <c r="N79" s="98"/>
      <c r="O79" s="97">
        <f t="shared" si="163"/>
        <v>0</v>
      </c>
      <c r="P79" s="101"/>
      <c r="Q79" s="65" t="str">
        <f t="shared" si="164"/>
        <v/>
      </c>
      <c r="R79" s="94"/>
      <c r="S79" s="103"/>
      <c r="T79" s="94"/>
      <c r="U79" s="96"/>
      <c r="V79" s="94"/>
      <c r="W79" s="96"/>
      <c r="X79" s="94"/>
      <c r="Y79" s="96"/>
      <c r="Z79" s="94"/>
      <c r="AA79" s="96"/>
      <c r="AB79" s="94"/>
      <c r="AC79" s="96"/>
    </row>
    <row r="80">
      <c r="A80" s="86" t="s">
        <v>209</v>
      </c>
      <c r="B80" s="98"/>
      <c r="C80" s="86"/>
      <c r="D80" s="86"/>
      <c r="E80" s="86"/>
      <c r="F80" s="86"/>
      <c r="G80" s="86"/>
      <c r="H80" s="98"/>
      <c r="I80" s="98"/>
      <c r="J80" s="98"/>
      <c r="K80" s="98"/>
      <c r="L80" s="98"/>
      <c r="M80" s="98"/>
      <c r="N80" s="98"/>
      <c r="O80" s="97">
        <f t="shared" si="163"/>
        <v>0</v>
      </c>
      <c r="P80" s="101"/>
      <c r="Q80" s="65" t="str">
        <f t="shared" si="164"/>
        <v/>
      </c>
      <c r="R80" s="94"/>
      <c r="S80" s="103"/>
      <c r="T80" s="94"/>
      <c r="U80" s="96"/>
      <c r="V80" s="94"/>
      <c r="W80" s="96"/>
      <c r="X80" s="94"/>
      <c r="Y80" s="96"/>
      <c r="Z80" s="94"/>
      <c r="AA80" s="96"/>
      <c r="AB80" s="94"/>
      <c r="AC80" s="96"/>
    </row>
    <row r="81">
      <c r="A81" s="86" t="s">
        <v>210</v>
      </c>
      <c r="B81" s="98"/>
      <c r="C81" s="86"/>
      <c r="D81" s="86"/>
      <c r="E81" s="86"/>
      <c r="F81" s="86"/>
      <c r="G81" s="86"/>
      <c r="H81" s="98"/>
      <c r="I81" s="98"/>
      <c r="J81" s="98"/>
      <c r="K81" s="98"/>
      <c r="L81" s="98"/>
      <c r="M81" s="98"/>
      <c r="N81" s="98"/>
      <c r="O81" s="97">
        <f t="shared" si="163"/>
        <v>0</v>
      </c>
      <c r="P81" s="101"/>
      <c r="Q81" s="65" t="str">
        <f t="shared" si="164"/>
        <v/>
      </c>
      <c r="R81" s="94"/>
      <c r="S81" s="103"/>
      <c r="T81" s="94"/>
      <c r="U81" s="96"/>
      <c r="V81" s="94"/>
      <c r="W81" s="96"/>
      <c r="X81" s="94"/>
      <c r="Y81" s="96"/>
      <c r="Z81" s="94"/>
      <c r="AA81" s="96"/>
      <c r="AB81" s="94"/>
      <c r="AC81" s="96"/>
    </row>
    <row r="82">
      <c r="A82" s="86" t="s">
        <v>211</v>
      </c>
      <c r="B82" s="98"/>
      <c r="C82" s="86"/>
      <c r="D82" s="86"/>
      <c r="E82" s="86"/>
      <c r="F82" s="86"/>
      <c r="G82" s="86"/>
      <c r="H82" s="98"/>
      <c r="I82" s="98"/>
      <c r="J82" s="98"/>
      <c r="K82" s="98"/>
      <c r="L82" s="98"/>
      <c r="M82" s="98"/>
      <c r="N82" s="98"/>
      <c r="O82" s="97">
        <f t="shared" si="163"/>
        <v>0</v>
      </c>
      <c r="P82" s="101"/>
      <c r="Q82" s="65" t="str">
        <f t="shared" si="164"/>
        <v/>
      </c>
      <c r="R82" s="94"/>
      <c r="S82" s="103"/>
      <c r="T82" s="94"/>
      <c r="U82" s="96"/>
      <c r="V82" s="94"/>
      <c r="W82" s="96"/>
      <c r="X82" s="94"/>
      <c r="Y82" s="96"/>
      <c r="Z82" s="94"/>
      <c r="AA82" s="96"/>
      <c r="AB82" s="94"/>
      <c r="AC82" s="96"/>
    </row>
    <row r="83" s="104" customFormat="1">
      <c r="A83" s="86" t="s">
        <v>212</v>
      </c>
      <c r="B83" s="98"/>
      <c r="C83" s="98"/>
      <c r="D83" s="98"/>
      <c r="E83" s="98"/>
      <c r="F83" s="98"/>
      <c r="G83" s="98"/>
      <c r="H83" s="98"/>
      <c r="I83" s="98"/>
      <c r="J83" s="98"/>
      <c r="K83" s="98"/>
      <c r="L83" s="98"/>
      <c r="M83" s="98"/>
      <c r="N83" s="98"/>
      <c r="O83" s="97">
        <f t="shared" si="163"/>
        <v>0</v>
      </c>
      <c r="P83" s="105"/>
      <c r="Q83" s="65" t="str">
        <f t="shared" si="164"/>
        <v/>
      </c>
      <c r="R83" s="94"/>
      <c r="S83" s="103"/>
      <c r="T83" s="106"/>
      <c r="U83" s="107"/>
      <c r="V83" s="106"/>
      <c r="W83" s="107"/>
      <c r="X83" s="106"/>
      <c r="Y83" s="107"/>
      <c r="Z83" s="106"/>
      <c r="AA83" s="107"/>
      <c r="AB83" s="106"/>
      <c r="AC83" s="107"/>
    </row>
    <row r="84">
      <c r="A84" s="86" t="s">
        <v>213</v>
      </c>
      <c r="B84" s="98"/>
      <c r="C84" s="86"/>
      <c r="D84" s="86"/>
      <c r="E84" s="86"/>
      <c r="F84" s="86"/>
      <c r="G84" s="86"/>
      <c r="H84" s="98"/>
      <c r="I84" s="98"/>
      <c r="J84" s="98"/>
      <c r="K84" s="98"/>
      <c r="L84" s="98"/>
      <c r="M84" s="98"/>
      <c r="N84" s="98"/>
      <c r="O84" s="97">
        <f t="shared" si="163"/>
        <v>0</v>
      </c>
      <c r="P84" s="101"/>
      <c r="Q84" s="65" t="str">
        <f t="shared" si="164"/>
        <v/>
      </c>
      <c r="R84" s="94"/>
      <c r="S84" s="103"/>
      <c r="T84" s="94"/>
      <c r="U84" s="96"/>
      <c r="V84" s="94"/>
      <c r="W84" s="96"/>
      <c r="X84" s="94"/>
      <c r="Y84" s="96"/>
      <c r="Z84" s="94"/>
      <c r="AA84" s="96"/>
      <c r="AB84" s="94"/>
      <c r="AC84" s="96"/>
    </row>
    <row r="85">
      <c r="A85" s="86" t="s">
        <v>214</v>
      </c>
      <c r="B85" s="98"/>
      <c r="C85" s="86"/>
      <c r="D85" s="86"/>
      <c r="E85" s="86"/>
      <c r="F85" s="86"/>
      <c r="G85" s="86"/>
      <c r="H85" s="98"/>
      <c r="I85" s="98"/>
      <c r="J85" s="98"/>
      <c r="K85" s="98"/>
      <c r="L85" s="98"/>
      <c r="M85" s="98"/>
      <c r="N85" s="98"/>
      <c r="O85" s="108">
        <f t="shared" si="163"/>
        <v>0</v>
      </c>
      <c r="P85" s="101"/>
      <c r="Q85" s="65" t="str">
        <f t="shared" si="164"/>
        <v/>
      </c>
      <c r="R85" s="94"/>
      <c r="S85" s="103"/>
      <c r="T85" s="94"/>
      <c r="U85" s="96"/>
      <c r="V85" s="94"/>
      <c r="W85" s="96"/>
      <c r="X85" s="94"/>
      <c r="Y85" s="96"/>
      <c r="Z85" s="94"/>
      <c r="AA85" s="96"/>
      <c r="AB85" s="94"/>
      <c r="AC85" s="96"/>
    </row>
    <row r="86">
      <c r="A86" s="86" t="s">
        <v>215</v>
      </c>
      <c r="B86" s="98"/>
      <c r="C86" s="86"/>
      <c r="D86" s="86"/>
      <c r="E86" s="86"/>
      <c r="F86" s="86"/>
      <c r="G86" s="86"/>
      <c r="H86" s="98"/>
      <c r="I86" s="98"/>
      <c r="J86" s="98"/>
      <c r="K86" s="98"/>
      <c r="L86" s="98"/>
      <c r="M86" s="98"/>
      <c r="N86" s="98"/>
      <c r="O86" s="97">
        <f t="shared" si="163"/>
        <v>0</v>
      </c>
      <c r="P86" s="101"/>
      <c r="Q86" s="65" t="str">
        <f t="shared" si="164"/>
        <v/>
      </c>
      <c r="R86" s="94"/>
      <c r="S86" s="103"/>
      <c r="T86" s="94"/>
      <c r="U86" s="96"/>
      <c r="V86" s="94"/>
      <c r="W86" s="96"/>
      <c r="X86" s="94"/>
      <c r="Y86" s="96"/>
      <c r="Z86" s="94"/>
      <c r="AA86" s="96"/>
      <c r="AB86" s="94"/>
      <c r="AC86" s="96"/>
    </row>
    <row r="87">
      <c r="A87" s="86" t="s">
        <v>216</v>
      </c>
      <c r="B87" s="98"/>
      <c r="C87" s="86"/>
      <c r="D87" s="86"/>
      <c r="E87" s="86"/>
      <c r="F87" s="86"/>
      <c r="G87" s="86"/>
      <c r="H87" s="98"/>
      <c r="I87" s="98"/>
      <c r="J87" s="98"/>
      <c r="K87" s="98"/>
      <c r="L87" s="98"/>
      <c r="M87" s="98"/>
      <c r="N87" s="98"/>
      <c r="O87" s="97">
        <f t="shared" si="163"/>
        <v>0</v>
      </c>
      <c r="P87" s="101"/>
      <c r="Q87" s="65" t="str">
        <f t="shared" si="164"/>
        <v/>
      </c>
      <c r="R87" s="94"/>
      <c r="S87" s="103"/>
      <c r="T87" s="94"/>
      <c r="U87" s="96"/>
      <c r="V87" s="94"/>
      <c r="W87" s="96"/>
      <c r="X87" s="94"/>
      <c r="Y87" s="96"/>
      <c r="Z87" s="94"/>
      <c r="AA87" s="96"/>
      <c r="AB87" s="94"/>
      <c r="AC87" s="96"/>
    </row>
    <row r="88" s="104" customFormat="1">
      <c r="A88" s="86" t="s">
        <v>217</v>
      </c>
      <c r="B88" s="98"/>
      <c r="C88" s="98"/>
      <c r="D88" s="98"/>
      <c r="E88" s="98"/>
      <c r="F88" s="98"/>
      <c r="G88" s="98"/>
      <c r="H88" s="98"/>
      <c r="I88" s="98"/>
      <c r="J88" s="98"/>
      <c r="K88" s="98"/>
      <c r="L88" s="98"/>
      <c r="M88" s="98"/>
      <c r="N88" s="98"/>
      <c r="O88" s="108">
        <f t="shared" si="163"/>
        <v>0</v>
      </c>
      <c r="P88" s="105"/>
      <c r="Q88" s="65" t="str">
        <f t="shared" si="164"/>
        <v/>
      </c>
      <c r="R88" s="94"/>
      <c r="S88" s="103"/>
      <c r="T88" s="106"/>
      <c r="U88" s="107"/>
      <c r="V88" s="106"/>
      <c r="W88" s="107"/>
      <c r="X88" s="106"/>
      <c r="Y88" s="107"/>
      <c r="Z88" s="106"/>
      <c r="AA88" s="107"/>
      <c r="AB88" s="106"/>
      <c r="AC88" s="107"/>
    </row>
    <row r="89" ht="15">
      <c r="A89" s="109" t="s">
        <v>218</v>
      </c>
      <c r="B89" s="110"/>
      <c r="C89" s="109"/>
      <c r="D89" s="109"/>
      <c r="E89" s="109"/>
      <c r="F89" s="109"/>
      <c r="G89" s="109"/>
      <c r="H89" s="110"/>
      <c r="I89" s="110"/>
      <c r="J89" s="110"/>
      <c r="K89" s="110"/>
      <c r="L89" s="110"/>
      <c r="M89" s="110"/>
      <c r="N89" s="110"/>
      <c r="O89" s="111">
        <f t="shared" si="163"/>
        <v>0</v>
      </c>
      <c r="P89" s="101"/>
      <c r="Q89" s="65" t="str">
        <f t="shared" si="164"/>
        <v/>
      </c>
      <c r="R89" s="94"/>
      <c r="S89" s="103"/>
      <c r="T89" s="94"/>
      <c r="U89" s="96"/>
      <c r="V89" s="94"/>
      <c r="W89" s="96"/>
      <c r="X89" s="94"/>
      <c r="Y89" s="96"/>
      <c r="Z89" s="94"/>
      <c r="AA89" s="96"/>
      <c r="AB89" s="94"/>
      <c r="AC89" s="96"/>
    </row>
    <row r="90" ht="15">
      <c r="B90" s="104"/>
      <c r="H90" s="104"/>
      <c r="I90" s="104"/>
      <c r="J90" s="104"/>
      <c r="K90" s="104"/>
      <c r="L90" s="104"/>
      <c r="M90" s="104"/>
      <c r="N90" s="104"/>
      <c r="O90" s="112"/>
      <c r="P90" s="101"/>
      <c r="S90" s="113"/>
    </row>
    <row r="91" ht="18">
      <c r="C91" s="80" t="s">
        <v>174</v>
      </c>
      <c r="D91" s="80"/>
      <c r="E91" s="80"/>
      <c r="F91" s="80"/>
      <c r="G91" s="80"/>
      <c r="H91" s="80"/>
      <c r="I91" s="80"/>
      <c r="J91" s="80"/>
      <c r="K91" s="80"/>
      <c r="L91" s="80"/>
      <c r="M91" s="80"/>
      <c r="N91" s="80"/>
    </row>
    <row r="92" ht="18.600000000000001">
      <c r="A92" s="81"/>
      <c r="B92" s="82"/>
      <c r="C92" s="83">
        <f>C3</f>
        <v>45292</v>
      </c>
      <c r="D92" s="83">
        <f t="shared" ref="D92:N92" si="167">D3</f>
        <v>45323</v>
      </c>
      <c r="E92" s="83">
        <f t="shared" si="167"/>
        <v>45352</v>
      </c>
      <c r="F92" s="83">
        <f t="shared" si="167"/>
        <v>45383</v>
      </c>
      <c r="G92" s="83">
        <f t="shared" si="167"/>
        <v>45413</v>
      </c>
      <c r="H92" s="83">
        <f t="shared" si="167"/>
        <v>45444</v>
      </c>
      <c r="I92" s="83">
        <f t="shared" si="167"/>
        <v>45474</v>
      </c>
      <c r="J92" s="83">
        <f t="shared" si="167"/>
        <v>45505</v>
      </c>
      <c r="K92" s="83">
        <f t="shared" si="167"/>
        <v>45536</v>
      </c>
      <c r="L92" s="83">
        <f t="shared" si="167"/>
        <v>45566</v>
      </c>
      <c r="M92" s="83">
        <f t="shared" si="167"/>
        <v>45597</v>
      </c>
      <c r="N92" s="83">
        <f t="shared" si="167"/>
        <v>45627</v>
      </c>
      <c r="O92" s="84" t="s">
        <v>171</v>
      </c>
      <c r="P92" s="85"/>
    </row>
    <row r="93" ht="15">
      <c r="A93" s="114" t="s">
        <v>219</v>
      </c>
      <c r="B93" s="115"/>
      <c r="C93" s="116"/>
      <c r="D93" s="116"/>
      <c r="E93" s="116"/>
      <c r="F93" s="116"/>
      <c r="G93" s="116"/>
      <c r="H93" s="116"/>
      <c r="I93" s="116"/>
      <c r="J93" s="116"/>
      <c r="K93" s="116"/>
      <c r="L93" s="116"/>
      <c r="M93" s="116"/>
      <c r="N93" s="116"/>
      <c r="O93" s="108">
        <f t="shared" si="163"/>
        <v>0</v>
      </c>
      <c r="P93" s="117" t="s">
        <v>179</v>
      </c>
      <c r="Q93" s="65" t="str">
        <f t="shared" ref="Q93:Q97" si="168">IF(O93&lt;&gt;SUM(S93,U93,W93,Y93,AA93,AC93),"x","")</f>
        <v/>
      </c>
      <c r="R93" s="94"/>
      <c r="S93" s="96"/>
      <c r="T93" s="94"/>
      <c r="U93" s="96"/>
      <c r="V93" s="94"/>
      <c r="W93" s="96"/>
      <c r="X93" s="94"/>
      <c r="Y93" s="96"/>
      <c r="Z93" s="94"/>
      <c r="AA93" s="96"/>
      <c r="AB93" s="94"/>
      <c r="AC93" s="96"/>
    </row>
    <row r="94">
      <c r="A94" s="114" t="s">
        <v>220</v>
      </c>
      <c r="B94" s="115"/>
      <c r="C94" s="116"/>
      <c r="D94" s="116"/>
      <c r="E94" s="116"/>
      <c r="F94" s="116"/>
      <c r="G94" s="116"/>
      <c r="H94" s="116"/>
      <c r="I94" s="116"/>
      <c r="J94" s="116"/>
      <c r="K94" s="116"/>
      <c r="L94" s="116"/>
      <c r="M94" s="116"/>
      <c r="N94" s="116"/>
      <c r="O94" s="108">
        <f t="shared" si="163"/>
        <v>0</v>
      </c>
      <c r="P94" s="118"/>
      <c r="Q94" s="65" t="str">
        <f t="shared" si="168"/>
        <v/>
      </c>
    </row>
    <row r="95">
      <c r="A95" s="114" t="s">
        <v>221</v>
      </c>
      <c r="B95" s="115"/>
      <c r="C95" s="116"/>
      <c r="D95" s="116"/>
      <c r="E95" s="116"/>
      <c r="F95" s="116"/>
      <c r="G95" s="116"/>
      <c r="H95" s="116"/>
      <c r="I95" s="116"/>
      <c r="J95" s="116"/>
      <c r="K95" s="116"/>
      <c r="L95" s="116"/>
      <c r="M95" s="116"/>
      <c r="N95" s="116"/>
      <c r="O95" s="108">
        <f t="shared" si="163"/>
        <v>0</v>
      </c>
      <c r="P95" s="119" t="s">
        <v>179</v>
      </c>
      <c r="Q95" s="65" t="str">
        <f t="shared" si="168"/>
        <v/>
      </c>
      <c r="R95" s="94"/>
      <c r="S95" s="96"/>
      <c r="T95" s="94"/>
      <c r="U95" s="96"/>
      <c r="V95" s="94"/>
      <c r="W95" s="96"/>
      <c r="X95" s="94"/>
      <c r="Y95" s="96"/>
      <c r="Z95" s="94"/>
      <c r="AA95" s="96"/>
      <c r="AB95" s="94"/>
      <c r="AC95" s="96"/>
    </row>
    <row r="96">
      <c r="A96" s="114" t="s">
        <v>222</v>
      </c>
      <c r="B96" s="115"/>
      <c r="C96" s="116"/>
      <c r="D96" s="116"/>
      <c r="E96" s="116"/>
      <c r="F96" s="116"/>
      <c r="G96" s="116"/>
      <c r="H96" s="116"/>
      <c r="I96" s="116"/>
      <c r="J96" s="116"/>
      <c r="K96" s="116"/>
      <c r="L96" s="116"/>
      <c r="M96" s="116"/>
      <c r="N96" s="116"/>
      <c r="O96" s="108">
        <f t="shared" si="163"/>
        <v>0</v>
      </c>
      <c r="P96" s="119" t="s">
        <v>179</v>
      </c>
      <c r="Q96" s="65" t="str">
        <f t="shared" si="168"/>
        <v/>
      </c>
      <c r="R96" s="94"/>
      <c r="S96" s="96"/>
      <c r="T96" s="94"/>
      <c r="U96" s="96"/>
      <c r="V96" s="94"/>
      <c r="W96" s="96"/>
      <c r="X96" s="94"/>
      <c r="Y96" s="96"/>
      <c r="Z96" s="94"/>
      <c r="AA96" s="96"/>
      <c r="AB96" s="94"/>
      <c r="AC96" s="96"/>
    </row>
    <row r="97" ht="15">
      <c r="A97" s="81" t="s">
        <v>223</v>
      </c>
      <c r="B97" s="82"/>
      <c r="C97" s="120"/>
      <c r="D97" s="120"/>
      <c r="E97" s="120"/>
      <c r="F97" s="120"/>
      <c r="G97" s="120"/>
      <c r="H97" s="120"/>
      <c r="I97" s="120"/>
      <c r="J97" s="120"/>
      <c r="K97" s="120"/>
      <c r="L97" s="120"/>
      <c r="M97" s="120"/>
      <c r="N97" s="120">
        <v>0</v>
      </c>
      <c r="O97" s="121">
        <f t="shared" si="163"/>
        <v>0</v>
      </c>
      <c r="P97" s="122" t="s">
        <v>179</v>
      </c>
      <c r="Q97" s="65" t="str">
        <f t="shared" si="168"/>
        <v/>
      </c>
      <c r="R97" s="94" t="s">
        <v>108</v>
      </c>
      <c r="S97" s="95">
        <f>O97/4</f>
        <v>0</v>
      </c>
      <c r="T97" s="94" t="s">
        <v>110</v>
      </c>
      <c r="U97" s="95">
        <f>O97/4</f>
        <v>0</v>
      </c>
      <c r="V97" s="94" t="s">
        <v>126</v>
      </c>
      <c r="W97" s="95">
        <f>O97/4</f>
        <v>0</v>
      </c>
      <c r="X97" s="94" t="s">
        <v>111</v>
      </c>
      <c r="Y97" s="95">
        <f>O97/4</f>
        <v>0</v>
      </c>
      <c r="Z97" s="94"/>
      <c r="AA97" s="96"/>
      <c r="AB97" s="94"/>
      <c r="AC97" s="96"/>
    </row>
    <row r="98" ht="15"/>
    <row r="99" ht="18">
      <c r="C99" s="80" t="s">
        <v>174</v>
      </c>
      <c r="D99" s="80"/>
      <c r="E99" s="80"/>
      <c r="F99" s="80"/>
      <c r="G99" s="80"/>
      <c r="H99" s="80"/>
      <c r="I99" s="80"/>
      <c r="J99" s="80"/>
      <c r="K99" s="80"/>
      <c r="L99" s="80"/>
      <c r="M99" s="80"/>
      <c r="N99" s="80"/>
    </row>
    <row r="100" ht="18.600000000000001">
      <c r="A100" s="81" t="s">
        <v>224</v>
      </c>
      <c r="B100" s="82"/>
      <c r="C100" s="83">
        <f>C69</f>
        <v>45292</v>
      </c>
      <c r="D100" s="83">
        <f t="shared" ref="D100:N100" si="169">D69</f>
        <v>45323</v>
      </c>
      <c r="E100" s="83">
        <f t="shared" si="169"/>
        <v>45352</v>
      </c>
      <c r="F100" s="83">
        <f t="shared" si="169"/>
        <v>45383</v>
      </c>
      <c r="G100" s="83">
        <f t="shared" si="169"/>
        <v>45413</v>
      </c>
      <c r="H100" s="83">
        <f t="shared" si="169"/>
        <v>45444</v>
      </c>
      <c r="I100" s="83">
        <f t="shared" si="169"/>
        <v>45474</v>
      </c>
      <c r="J100" s="83">
        <f t="shared" si="169"/>
        <v>45505</v>
      </c>
      <c r="K100" s="83">
        <f t="shared" si="169"/>
        <v>45536</v>
      </c>
      <c r="L100" s="83">
        <f t="shared" si="169"/>
        <v>45566</v>
      </c>
      <c r="M100" s="83">
        <f t="shared" si="169"/>
        <v>45597</v>
      </c>
      <c r="N100" s="83">
        <f t="shared" si="169"/>
        <v>45627</v>
      </c>
      <c r="O100" s="79" t="s">
        <v>171</v>
      </c>
      <c r="P100" s="123"/>
      <c r="Q100" s="124"/>
    </row>
    <row r="101" ht="15">
      <c r="A101" s="125" t="s">
        <v>225</v>
      </c>
      <c r="B101" s="86" t="s">
        <v>226</v>
      </c>
      <c r="C101" s="116"/>
      <c r="D101" s="116"/>
      <c r="E101" s="116"/>
      <c r="F101" s="116"/>
      <c r="G101" s="116"/>
      <c r="H101" s="116"/>
      <c r="I101" s="116"/>
      <c r="J101" s="116"/>
      <c r="K101" s="116"/>
      <c r="L101" s="116"/>
      <c r="M101" s="116"/>
      <c r="N101" s="116"/>
      <c r="O101" s="100">
        <f t="shared" ref="O101:O162" si="170">SUM(C101:N101)</f>
        <v>0</v>
      </c>
      <c r="P101" s="126" t="s">
        <v>179</v>
      </c>
      <c r="Q101" s="65" t="str">
        <f t="shared" ref="Q101:Q162" si="171">IF(O101&lt;&gt;SUM(S101,U101,W101,Y101,AA101,AC101),"x","")</f>
        <v/>
      </c>
      <c r="R101" s="94" t="s">
        <v>183</v>
      </c>
      <c r="S101" s="95">
        <f t="shared" ref="S101:S161" si="172">O101</f>
        <v>0</v>
      </c>
      <c r="T101" s="94"/>
      <c r="U101" s="96"/>
      <c r="V101" s="94"/>
      <c r="W101" s="96"/>
      <c r="X101" s="94"/>
      <c r="Y101" s="96"/>
      <c r="Z101" s="94"/>
      <c r="AA101" s="96"/>
      <c r="AB101" s="94"/>
      <c r="AC101" s="96"/>
    </row>
    <row r="102">
      <c r="A102" s="127"/>
      <c r="B102" s="86" t="s">
        <v>227</v>
      </c>
      <c r="C102" s="116"/>
      <c r="D102" s="116"/>
      <c r="E102" s="116"/>
      <c r="F102" s="116"/>
      <c r="G102" s="116"/>
      <c r="H102" s="116"/>
      <c r="I102" s="116"/>
      <c r="J102" s="116"/>
      <c r="K102" s="116"/>
      <c r="L102" s="116"/>
      <c r="M102" s="116"/>
      <c r="N102" s="116"/>
      <c r="O102" s="97">
        <f t="shared" si="170"/>
        <v>0</v>
      </c>
      <c r="P102" s="128" t="s">
        <v>179</v>
      </c>
      <c r="Q102" s="65" t="str">
        <f t="shared" si="171"/>
        <v/>
      </c>
      <c r="R102" s="94" t="s">
        <v>183</v>
      </c>
      <c r="S102" s="95">
        <f t="shared" si="172"/>
        <v>0</v>
      </c>
      <c r="T102" s="94"/>
      <c r="U102" s="96"/>
      <c r="V102" s="94"/>
      <c r="W102" s="96"/>
      <c r="X102" s="94"/>
      <c r="Y102" s="96"/>
      <c r="Z102" s="94"/>
      <c r="AA102" s="96"/>
      <c r="AB102" s="94"/>
      <c r="AC102" s="96"/>
    </row>
    <row r="103">
      <c r="A103" s="127"/>
      <c r="B103" s="86" t="s">
        <v>229</v>
      </c>
      <c r="C103" s="116">
        <f>1200/12</f>
        <v>100</v>
      </c>
      <c r="D103" s="116">
        <f>1200/12</f>
        <v>100</v>
      </c>
      <c r="E103" s="116">
        <f t="shared" ref="E103:N103" si="173">1200/12</f>
        <v>100</v>
      </c>
      <c r="F103" s="116">
        <f t="shared" si="173"/>
        <v>100</v>
      </c>
      <c r="G103" s="116">
        <f t="shared" si="173"/>
        <v>100</v>
      </c>
      <c r="H103" s="116">
        <f t="shared" si="173"/>
        <v>100</v>
      </c>
      <c r="I103" s="116">
        <f t="shared" si="173"/>
        <v>100</v>
      </c>
      <c r="J103" s="116">
        <f t="shared" si="173"/>
        <v>100</v>
      </c>
      <c r="K103" s="116">
        <f t="shared" si="173"/>
        <v>100</v>
      </c>
      <c r="L103" s="116">
        <f t="shared" si="173"/>
        <v>100</v>
      </c>
      <c r="M103" s="116">
        <f t="shared" si="173"/>
        <v>100</v>
      </c>
      <c r="N103" s="116">
        <f t="shared" si="173"/>
        <v>100</v>
      </c>
      <c r="O103" s="97">
        <f t="shared" si="170"/>
        <v>1200</v>
      </c>
      <c r="P103" s="128" t="s">
        <v>179</v>
      </c>
      <c r="Q103" s="65" t="str">
        <f t="shared" si="171"/>
        <v/>
      </c>
      <c r="R103" s="94" t="s">
        <v>126</v>
      </c>
      <c r="S103" s="95">
        <f t="shared" si="172"/>
        <v>1200</v>
      </c>
      <c r="T103" s="94"/>
      <c r="U103" s="103"/>
      <c r="V103" s="94"/>
      <c r="W103" s="103"/>
      <c r="X103" s="94"/>
      <c r="Y103" s="103"/>
      <c r="Z103" s="94"/>
      <c r="AA103" s="103"/>
      <c r="AB103" s="94"/>
      <c r="AC103" s="103"/>
    </row>
    <row r="104">
      <c r="A104" s="127"/>
      <c r="B104" s="86" t="s">
        <v>230</v>
      </c>
      <c r="C104" s="116">
        <f>1500/12</f>
        <v>125</v>
      </c>
      <c r="D104" s="116">
        <f t="shared" ref="D104:N104" si="174">1500/12</f>
        <v>125</v>
      </c>
      <c r="E104" s="116">
        <f t="shared" si="174"/>
        <v>125</v>
      </c>
      <c r="F104" s="116">
        <f t="shared" si="174"/>
        <v>125</v>
      </c>
      <c r="G104" s="116">
        <f t="shared" si="174"/>
        <v>125</v>
      </c>
      <c r="H104" s="116">
        <f t="shared" si="174"/>
        <v>125</v>
      </c>
      <c r="I104" s="116">
        <f t="shared" si="174"/>
        <v>125</v>
      </c>
      <c r="J104" s="116">
        <f t="shared" si="174"/>
        <v>125</v>
      </c>
      <c r="K104" s="116">
        <f t="shared" si="174"/>
        <v>125</v>
      </c>
      <c r="L104" s="116">
        <f t="shared" si="174"/>
        <v>125</v>
      </c>
      <c r="M104" s="116">
        <f t="shared" si="174"/>
        <v>125</v>
      </c>
      <c r="N104" s="116">
        <f t="shared" si="174"/>
        <v>125</v>
      </c>
      <c r="O104" s="97">
        <f t="shared" si="170"/>
        <v>1500</v>
      </c>
      <c r="P104" s="128" t="s">
        <v>179</v>
      </c>
      <c r="Q104" s="65" t="str">
        <f t="shared" si="171"/>
        <v/>
      </c>
      <c r="R104" s="94" t="s">
        <v>108</v>
      </c>
      <c r="S104" s="95">
        <f>O104*0.35</f>
        <v>525</v>
      </c>
      <c r="T104" s="94" t="s">
        <v>110</v>
      </c>
      <c r="U104" s="103">
        <f>O104*0.35</f>
        <v>525</v>
      </c>
      <c r="V104" s="94" t="s">
        <v>111</v>
      </c>
      <c r="W104" s="103">
        <f t="shared" ref="W104:W107" si="175">O104*0.1</f>
        <v>150</v>
      </c>
      <c r="X104" s="94" t="s">
        <v>126</v>
      </c>
      <c r="Y104" s="103">
        <f>O104*0.2</f>
        <v>300</v>
      </c>
      <c r="Z104" s="94"/>
      <c r="AA104" s="103"/>
      <c r="AB104" s="94"/>
      <c r="AC104" s="103"/>
    </row>
    <row r="105">
      <c r="A105" s="127"/>
      <c r="B105" s="86" t="s">
        <v>231</v>
      </c>
      <c r="C105" s="116">
        <f>2500/12</f>
        <v>208.33333333333334</v>
      </c>
      <c r="D105" s="116">
        <f t="shared" ref="D105:N105" si="176">2500/12</f>
        <v>208.33333333333334</v>
      </c>
      <c r="E105" s="116">
        <f t="shared" si="176"/>
        <v>208.33333333333334</v>
      </c>
      <c r="F105" s="116">
        <f t="shared" si="176"/>
        <v>208.33333333333334</v>
      </c>
      <c r="G105" s="116">
        <f t="shared" si="176"/>
        <v>208.33333333333334</v>
      </c>
      <c r="H105" s="116">
        <f t="shared" si="176"/>
        <v>208.33333333333334</v>
      </c>
      <c r="I105" s="116">
        <f t="shared" si="176"/>
        <v>208.33333333333334</v>
      </c>
      <c r="J105" s="116">
        <f t="shared" si="176"/>
        <v>208.33333333333334</v>
      </c>
      <c r="K105" s="116">
        <f t="shared" si="176"/>
        <v>208.33333333333334</v>
      </c>
      <c r="L105" s="116">
        <f t="shared" si="176"/>
        <v>208.33333333333334</v>
      </c>
      <c r="M105" s="116">
        <f t="shared" si="176"/>
        <v>208.33333333333334</v>
      </c>
      <c r="N105" s="116">
        <f t="shared" si="176"/>
        <v>208.33333333333334</v>
      </c>
      <c r="O105" s="97">
        <f t="shared" si="170"/>
        <v>2500</v>
      </c>
      <c r="P105" s="128" t="s">
        <v>179</v>
      </c>
      <c r="Q105" s="65" t="str">
        <f t="shared" si="171"/>
        <v/>
      </c>
      <c r="R105" s="94" t="s">
        <v>108</v>
      </c>
      <c r="S105" s="95">
        <f t="shared" ref="S105:S107" si="177">O105*0.4</f>
        <v>1000</v>
      </c>
      <c r="T105" s="94" t="s">
        <v>110</v>
      </c>
      <c r="U105" s="103">
        <f t="shared" ref="U105:U107" si="178">O105*0.4</f>
        <v>1000</v>
      </c>
      <c r="V105" s="94" t="s">
        <v>111</v>
      </c>
      <c r="W105" s="103">
        <f t="shared" si="175"/>
        <v>250</v>
      </c>
      <c r="X105" s="94" t="s">
        <v>126</v>
      </c>
      <c r="Y105" s="103">
        <f t="shared" ref="Y105:Y107" si="179">O105*0.1</f>
        <v>250</v>
      </c>
      <c r="Z105" s="94"/>
      <c r="AA105" s="103"/>
      <c r="AB105" s="94"/>
      <c r="AC105" s="103"/>
    </row>
    <row r="106">
      <c r="A106" s="127"/>
      <c r="B106" s="86" t="s">
        <v>232</v>
      </c>
      <c r="C106" s="116">
        <f>20000/12</f>
        <v>1666.6666666666667</v>
      </c>
      <c r="D106" s="116">
        <f t="shared" ref="D106:N106" si="180">20000/12</f>
        <v>1666.6666666666667</v>
      </c>
      <c r="E106" s="116">
        <f t="shared" si="180"/>
        <v>1666.6666666666667</v>
      </c>
      <c r="F106" s="116">
        <f t="shared" si="180"/>
        <v>1666.6666666666667</v>
      </c>
      <c r="G106" s="116">
        <f t="shared" si="180"/>
        <v>1666.6666666666667</v>
      </c>
      <c r="H106" s="116">
        <f t="shared" si="180"/>
        <v>1666.6666666666667</v>
      </c>
      <c r="I106" s="116">
        <f t="shared" si="180"/>
        <v>1666.6666666666667</v>
      </c>
      <c r="J106" s="116">
        <f t="shared" si="180"/>
        <v>1666.6666666666667</v>
      </c>
      <c r="K106" s="116">
        <f t="shared" si="180"/>
        <v>1666.6666666666667</v>
      </c>
      <c r="L106" s="116">
        <f t="shared" si="180"/>
        <v>1666.6666666666667</v>
      </c>
      <c r="M106" s="116">
        <f t="shared" si="180"/>
        <v>1666.6666666666667</v>
      </c>
      <c r="N106" s="116">
        <f t="shared" si="180"/>
        <v>1666.6666666666667</v>
      </c>
      <c r="O106" s="97">
        <f t="shared" si="170"/>
        <v>20000</v>
      </c>
      <c r="P106" s="128" t="s">
        <v>179</v>
      </c>
      <c r="Q106" s="65" t="str">
        <f t="shared" si="171"/>
        <v/>
      </c>
      <c r="R106" s="94" t="s">
        <v>108</v>
      </c>
      <c r="S106" s="95">
        <f t="shared" si="177"/>
        <v>8000</v>
      </c>
      <c r="T106" s="94" t="s">
        <v>110</v>
      </c>
      <c r="U106" s="103">
        <f t="shared" si="178"/>
        <v>8000</v>
      </c>
      <c r="V106" s="94" t="s">
        <v>111</v>
      </c>
      <c r="W106" s="103">
        <f t="shared" si="175"/>
        <v>2000</v>
      </c>
      <c r="X106" s="94" t="s">
        <v>126</v>
      </c>
      <c r="Y106" s="103">
        <f t="shared" si="179"/>
        <v>2000</v>
      </c>
      <c r="Z106" s="94"/>
      <c r="AA106" s="103"/>
      <c r="AB106" s="94"/>
      <c r="AC106" s="103"/>
    </row>
    <row r="107">
      <c r="A107" s="127"/>
      <c r="B107" s="86" t="s">
        <v>233</v>
      </c>
      <c r="C107" s="116">
        <f>9000/12</f>
        <v>750</v>
      </c>
      <c r="D107" s="116">
        <f t="shared" ref="D107:N107" si="181">9000/12</f>
        <v>750</v>
      </c>
      <c r="E107" s="116">
        <f t="shared" si="181"/>
        <v>750</v>
      </c>
      <c r="F107" s="116">
        <f t="shared" si="181"/>
        <v>750</v>
      </c>
      <c r="G107" s="116">
        <f t="shared" si="181"/>
        <v>750</v>
      </c>
      <c r="H107" s="116">
        <f t="shared" si="181"/>
        <v>750</v>
      </c>
      <c r="I107" s="116">
        <f t="shared" si="181"/>
        <v>750</v>
      </c>
      <c r="J107" s="116">
        <f t="shared" si="181"/>
        <v>750</v>
      </c>
      <c r="K107" s="116">
        <f t="shared" si="181"/>
        <v>750</v>
      </c>
      <c r="L107" s="116">
        <f t="shared" si="181"/>
        <v>750</v>
      </c>
      <c r="M107" s="116">
        <f t="shared" si="181"/>
        <v>750</v>
      </c>
      <c r="N107" s="116">
        <f t="shared" si="181"/>
        <v>750</v>
      </c>
      <c r="O107" s="97">
        <f t="shared" si="170"/>
        <v>9000</v>
      </c>
      <c r="P107" s="128" t="s">
        <v>179</v>
      </c>
      <c r="Q107" s="65" t="str">
        <f t="shared" si="171"/>
        <v/>
      </c>
      <c r="R107" s="94" t="s">
        <v>108</v>
      </c>
      <c r="S107" s="95">
        <f t="shared" si="177"/>
        <v>3600</v>
      </c>
      <c r="T107" s="94" t="s">
        <v>110</v>
      </c>
      <c r="U107" s="103">
        <f t="shared" si="178"/>
        <v>3600</v>
      </c>
      <c r="V107" s="94" t="s">
        <v>111</v>
      </c>
      <c r="W107" s="103">
        <f t="shared" si="175"/>
        <v>900</v>
      </c>
      <c r="X107" s="94" t="s">
        <v>126</v>
      </c>
      <c r="Y107" s="103">
        <f t="shared" si="179"/>
        <v>900</v>
      </c>
      <c r="Z107" s="94"/>
      <c r="AA107" s="103"/>
      <c r="AB107" s="94"/>
      <c r="AC107" s="103"/>
    </row>
    <row r="108">
      <c r="A108" s="127"/>
      <c r="B108" s="86" t="s">
        <v>234</v>
      </c>
      <c r="C108" s="116"/>
      <c r="D108" s="116"/>
      <c r="E108" s="116">
        <v>500</v>
      </c>
      <c r="F108" s="116"/>
      <c r="G108" s="116">
        <v>3000</v>
      </c>
      <c r="H108" s="116"/>
      <c r="I108" s="116"/>
      <c r="J108" s="116"/>
      <c r="K108" s="116">
        <v>500</v>
      </c>
      <c r="L108" s="116"/>
      <c r="M108" s="116"/>
      <c r="N108" s="116"/>
      <c r="O108" s="97">
        <f t="shared" si="170"/>
        <v>4000</v>
      </c>
      <c r="P108" s="128" t="s">
        <v>179</v>
      </c>
      <c r="Q108" s="65" t="str">
        <f t="shared" si="171"/>
        <v/>
      </c>
      <c r="R108" s="94" t="s">
        <v>183</v>
      </c>
      <c r="S108" s="95">
        <f t="shared" si="172"/>
        <v>4000</v>
      </c>
      <c r="T108" s="94"/>
      <c r="U108" s="103"/>
      <c r="V108" s="94"/>
      <c r="W108" s="103"/>
      <c r="X108" s="94"/>
      <c r="Y108" s="103"/>
      <c r="Z108" s="94"/>
      <c r="AA108" s="103"/>
      <c r="AB108" s="94"/>
      <c r="AC108" s="103"/>
    </row>
    <row r="109">
      <c r="A109" s="127"/>
      <c r="B109" s="86" t="s">
        <v>235</v>
      </c>
      <c r="C109" s="116"/>
      <c r="D109" s="116"/>
      <c r="E109" s="116"/>
      <c r="F109" s="116"/>
      <c r="G109" s="116"/>
      <c r="H109" s="116"/>
      <c r="I109" s="116"/>
      <c r="J109" s="116"/>
      <c r="K109" s="116"/>
      <c r="L109" s="116"/>
      <c r="M109" s="116"/>
      <c r="N109" s="116"/>
      <c r="O109" s="97">
        <f t="shared" si="170"/>
        <v>0</v>
      </c>
      <c r="P109" s="128" t="s">
        <v>179</v>
      </c>
      <c r="Q109" s="65" t="str">
        <f t="shared" si="171"/>
        <v/>
      </c>
      <c r="R109" s="94" t="s">
        <v>183</v>
      </c>
      <c r="S109" s="95">
        <f t="shared" si="172"/>
        <v>0</v>
      </c>
      <c r="T109" s="94"/>
      <c r="U109" s="103"/>
      <c r="V109" s="94"/>
      <c r="W109" s="103"/>
      <c r="X109" s="94"/>
      <c r="Y109" s="103"/>
      <c r="Z109" s="94"/>
      <c r="AA109" s="103"/>
      <c r="AB109" s="94"/>
      <c r="AC109" s="103"/>
    </row>
    <row r="110">
      <c r="A110" s="127"/>
      <c r="B110" s="86" t="s">
        <v>236</v>
      </c>
      <c r="C110" s="116">
        <v>6745.2000000000007</v>
      </c>
      <c r="D110" s="116">
        <v>5243.7000000000007</v>
      </c>
      <c r="E110" s="116">
        <v>6768.3000000000011</v>
      </c>
      <c r="F110" s="116">
        <v>7276.5000000000009</v>
      </c>
      <c r="G110" s="116">
        <v>11284.35</v>
      </c>
      <c r="H110" s="116">
        <v>4862.5500000000002</v>
      </c>
      <c r="I110" s="116">
        <v>369.59999999999997</v>
      </c>
      <c r="J110" s="116">
        <v>0</v>
      </c>
      <c r="K110" s="116">
        <v>11088</v>
      </c>
      <c r="L110" s="116">
        <v>7599.9000000000005</v>
      </c>
      <c r="M110" s="116">
        <v>8085</v>
      </c>
      <c r="N110" s="116">
        <v>4620.0000000000009</v>
      </c>
      <c r="O110" s="97">
        <f t="shared" si="170"/>
        <v>73943.100000000006</v>
      </c>
      <c r="P110" s="128" t="s">
        <v>191</v>
      </c>
      <c r="Q110" s="65" t="str">
        <f t="shared" si="171"/>
        <v/>
      </c>
      <c r="R110" s="94" t="s">
        <v>108</v>
      </c>
      <c r="S110" s="95">
        <f>(2.09/4.02)*O110</f>
        <v>38443.054477611942</v>
      </c>
      <c r="T110" s="94" t="s">
        <v>110</v>
      </c>
      <c r="U110" s="103">
        <f>(0.86/4.02)*O110</f>
        <v>15818.673134328361</v>
      </c>
      <c r="V110" s="94" t="s">
        <v>111</v>
      </c>
      <c r="W110" s="103">
        <f>(0.5/4.02)*O110</f>
        <v>9196.9029850746283</v>
      </c>
      <c r="X110" s="94" t="s">
        <v>126</v>
      </c>
      <c r="Y110" s="103">
        <f>(0.57/4.02)*O110</f>
        <v>10484.469402985074</v>
      </c>
      <c r="Z110" s="94"/>
      <c r="AA110" s="96"/>
      <c r="AB110" s="94"/>
      <c r="AC110" s="96"/>
    </row>
    <row r="111">
      <c r="A111" s="127"/>
      <c r="B111" s="86" t="s">
        <v>237</v>
      </c>
      <c r="C111" s="116">
        <f>55090+4020</f>
        <v>59110</v>
      </c>
      <c r="D111" s="116"/>
      <c r="E111" s="116"/>
      <c r="F111" s="116">
        <f>55090+4020</f>
        <v>59110</v>
      </c>
      <c r="G111" s="116"/>
      <c r="H111" s="116"/>
      <c r="I111" s="116">
        <f>55090+4020</f>
        <v>59110</v>
      </c>
      <c r="J111" s="116"/>
      <c r="K111" s="116"/>
      <c r="L111" s="116">
        <f>4020</f>
        <v>4020</v>
      </c>
      <c r="M111" s="116">
        <v>55090</v>
      </c>
      <c r="N111" s="116"/>
      <c r="O111" s="97">
        <f t="shared" si="170"/>
        <v>236440</v>
      </c>
      <c r="P111" s="128" t="s">
        <v>191</v>
      </c>
      <c r="Q111" s="65" t="str">
        <f t="shared" si="171"/>
        <v/>
      </c>
      <c r="R111" s="94" t="s">
        <v>183</v>
      </c>
      <c r="S111" s="95">
        <f>O111-U111</f>
        <v>220360</v>
      </c>
      <c r="T111" s="94" t="s">
        <v>126</v>
      </c>
      <c r="U111" s="103">
        <f>4020*4</f>
        <v>16080</v>
      </c>
      <c r="V111" s="94"/>
      <c r="W111" s="103"/>
      <c r="X111" s="94"/>
      <c r="Y111" s="103"/>
      <c r="Z111" s="94"/>
      <c r="AA111" s="103"/>
      <c r="AB111" s="94"/>
      <c r="AC111" s="103"/>
    </row>
    <row r="112">
      <c r="A112" s="127"/>
      <c r="B112" s="86" t="s">
        <v>238</v>
      </c>
      <c r="C112" s="116">
        <f>1234/12+5050</f>
        <v>5152.833333333333</v>
      </c>
      <c r="D112" s="116">
        <f t="shared" ref="D112:N112" si="182">1234/12</f>
        <v>102.83333333333333</v>
      </c>
      <c r="E112" s="116">
        <f t="shared" si="182"/>
        <v>102.83333333333333</v>
      </c>
      <c r="F112" s="116">
        <f>1234/12+5050</f>
        <v>5152.833333333333</v>
      </c>
      <c r="G112" s="116">
        <f t="shared" si="182"/>
        <v>102.83333333333333</v>
      </c>
      <c r="H112" s="116">
        <f t="shared" si="182"/>
        <v>102.83333333333333</v>
      </c>
      <c r="I112" s="116">
        <f>1234/12+5050</f>
        <v>5152.833333333333</v>
      </c>
      <c r="J112" s="116">
        <f t="shared" si="182"/>
        <v>102.83333333333333</v>
      </c>
      <c r="K112" s="116">
        <f t="shared" si="182"/>
        <v>102.83333333333333</v>
      </c>
      <c r="L112" s="116">
        <f>1234/12+5050</f>
        <v>5152.833333333333</v>
      </c>
      <c r="M112" s="116">
        <f t="shared" si="182"/>
        <v>102.83333333333333</v>
      </c>
      <c r="N112" s="116">
        <f t="shared" si="182"/>
        <v>102.83333333333333</v>
      </c>
      <c r="O112" s="97">
        <f t="shared" si="170"/>
        <v>21433.999999999996</v>
      </c>
      <c r="P112" s="128" t="s">
        <v>179</v>
      </c>
      <c r="Q112" s="65" t="str">
        <f t="shared" si="171"/>
        <v/>
      </c>
      <c r="R112" s="94" t="s">
        <v>183</v>
      </c>
      <c r="S112" s="95">
        <f t="shared" si="172"/>
        <v>21433.999999999996</v>
      </c>
      <c r="T112" s="94"/>
      <c r="U112" s="96"/>
      <c r="V112" s="94"/>
      <c r="W112" s="96"/>
      <c r="X112" s="94"/>
      <c r="Y112" s="96"/>
      <c r="Z112" s="94"/>
      <c r="AA112" s="96"/>
      <c r="AB112" s="94"/>
      <c r="AC112" s="96"/>
    </row>
    <row r="113">
      <c r="A113" s="127"/>
      <c r="B113" s="86" t="s">
        <v>239</v>
      </c>
      <c r="C113" s="116">
        <v>3750</v>
      </c>
      <c r="D113" s="116"/>
      <c r="E113" s="116"/>
      <c r="F113" s="116">
        <v>3750</v>
      </c>
      <c r="G113" s="116"/>
      <c r="H113" s="116"/>
      <c r="I113" s="116">
        <v>3750</v>
      </c>
      <c r="J113" s="116"/>
      <c r="K113" s="116"/>
      <c r="L113" s="116">
        <v>3750</v>
      </c>
      <c r="M113" s="116"/>
      <c r="N113" s="116"/>
      <c r="O113" s="97">
        <f t="shared" si="170"/>
        <v>15000</v>
      </c>
      <c r="P113" s="128" t="s">
        <v>179</v>
      </c>
      <c r="Q113" s="65" t="str">
        <f t="shared" si="171"/>
        <v/>
      </c>
      <c r="R113" s="94" t="s">
        <v>183</v>
      </c>
      <c r="S113" s="95">
        <f t="shared" si="172"/>
        <v>15000</v>
      </c>
      <c r="T113" s="94"/>
      <c r="U113" s="103"/>
      <c r="V113" s="94"/>
      <c r="W113" s="103"/>
      <c r="X113" s="94"/>
      <c r="Y113" s="103"/>
      <c r="Z113" s="94"/>
      <c r="AA113" s="103"/>
      <c r="AB113" s="94"/>
      <c r="AC113" s="103"/>
    </row>
    <row r="114">
      <c r="A114" s="127"/>
      <c r="B114" s="86" t="s">
        <v>240</v>
      </c>
      <c r="C114" s="116">
        <f>830+11</f>
        <v>841</v>
      </c>
      <c r="D114" s="116">
        <f t="shared" ref="D114:N114" si="183">830+11</f>
        <v>841</v>
      </c>
      <c r="E114" s="116">
        <f t="shared" si="183"/>
        <v>841</v>
      </c>
      <c r="F114" s="116">
        <f t="shared" si="183"/>
        <v>841</v>
      </c>
      <c r="G114" s="116">
        <f t="shared" si="183"/>
        <v>841</v>
      </c>
      <c r="H114" s="116">
        <f t="shared" si="183"/>
        <v>841</v>
      </c>
      <c r="I114" s="116">
        <f t="shared" si="183"/>
        <v>841</v>
      </c>
      <c r="J114" s="116">
        <f t="shared" si="183"/>
        <v>841</v>
      </c>
      <c r="K114" s="116">
        <f t="shared" si="183"/>
        <v>841</v>
      </c>
      <c r="L114" s="116">
        <f t="shared" si="183"/>
        <v>841</v>
      </c>
      <c r="M114" s="116">
        <f t="shared" si="183"/>
        <v>841</v>
      </c>
      <c r="N114" s="116">
        <f t="shared" si="183"/>
        <v>841</v>
      </c>
      <c r="O114" s="97">
        <f t="shared" si="170"/>
        <v>10092</v>
      </c>
      <c r="P114" s="128" t="s">
        <v>179</v>
      </c>
      <c r="Q114" s="65" t="str">
        <f t="shared" si="171"/>
        <v/>
      </c>
      <c r="R114" s="94" t="s">
        <v>183</v>
      </c>
      <c r="S114" s="95">
        <f t="shared" si="172"/>
        <v>10092</v>
      </c>
      <c r="T114" s="94"/>
      <c r="U114" s="103"/>
      <c r="V114" s="94"/>
      <c r="W114" s="103"/>
      <c r="X114" s="94"/>
      <c r="Y114" s="103"/>
      <c r="Z114" s="94"/>
      <c r="AA114" s="103"/>
      <c r="AB114" s="94"/>
      <c r="AC114" s="103"/>
    </row>
    <row r="115">
      <c r="A115" s="127"/>
      <c r="B115" s="86" t="s">
        <v>241</v>
      </c>
      <c r="C115" s="116">
        <f>10600/12</f>
        <v>883.33333333333337</v>
      </c>
      <c r="D115" s="116">
        <f t="shared" ref="D115:M115" si="184">10600/12</f>
        <v>883.33333333333337</v>
      </c>
      <c r="E115" s="116">
        <f t="shared" si="184"/>
        <v>883.33333333333337</v>
      </c>
      <c r="F115" s="116">
        <f t="shared" si="184"/>
        <v>883.33333333333337</v>
      </c>
      <c r="G115" s="116">
        <f t="shared" si="184"/>
        <v>883.33333333333337</v>
      </c>
      <c r="H115" s="116">
        <f t="shared" si="184"/>
        <v>883.33333333333337</v>
      </c>
      <c r="I115" s="116">
        <f t="shared" si="184"/>
        <v>883.33333333333337</v>
      </c>
      <c r="J115" s="116">
        <f t="shared" si="184"/>
        <v>883.33333333333337</v>
      </c>
      <c r="K115" s="116">
        <f t="shared" si="184"/>
        <v>883.33333333333337</v>
      </c>
      <c r="L115" s="116">
        <f t="shared" si="184"/>
        <v>883.33333333333337</v>
      </c>
      <c r="M115" s="116">
        <f t="shared" si="184"/>
        <v>883.33333333333337</v>
      </c>
      <c r="N115" s="116">
        <f>10600/12</f>
        <v>883.33333333333337</v>
      </c>
      <c r="O115" s="97">
        <f t="shared" si="170"/>
        <v>10600</v>
      </c>
      <c r="P115" s="128" t="s">
        <v>179</v>
      </c>
      <c r="Q115" s="65" t="str">
        <f t="shared" si="171"/>
        <v/>
      </c>
      <c r="R115" s="94" t="s">
        <v>183</v>
      </c>
      <c r="S115" s="95">
        <f t="shared" si="172"/>
        <v>10600</v>
      </c>
      <c r="T115" s="94"/>
      <c r="U115" s="103"/>
      <c r="V115" s="94"/>
      <c r="W115" s="103"/>
      <c r="X115" s="94"/>
      <c r="Y115" s="103"/>
      <c r="Z115" s="94"/>
      <c r="AA115" s="103"/>
      <c r="AB115" s="94"/>
      <c r="AC115" s="103"/>
    </row>
    <row r="116">
      <c r="A116" s="127"/>
      <c r="B116" s="86" t="s">
        <v>115</v>
      </c>
      <c r="C116" s="116">
        <f>15000/12</f>
        <v>1250</v>
      </c>
      <c r="D116" s="116">
        <f t="shared" ref="D116:N116" si="185">15000/12</f>
        <v>1250</v>
      </c>
      <c r="E116" s="116">
        <f t="shared" si="185"/>
        <v>1250</v>
      </c>
      <c r="F116" s="116">
        <f t="shared" si="185"/>
        <v>1250</v>
      </c>
      <c r="G116" s="116">
        <f t="shared" si="185"/>
        <v>1250</v>
      </c>
      <c r="H116" s="116">
        <f t="shared" si="185"/>
        <v>1250</v>
      </c>
      <c r="I116" s="116">
        <f t="shared" si="185"/>
        <v>1250</v>
      </c>
      <c r="J116" s="116">
        <f t="shared" si="185"/>
        <v>1250</v>
      </c>
      <c r="K116" s="116">
        <f t="shared" si="185"/>
        <v>1250</v>
      </c>
      <c r="L116" s="116">
        <f t="shared" si="185"/>
        <v>1250</v>
      </c>
      <c r="M116" s="116">
        <f t="shared" si="185"/>
        <v>1250</v>
      </c>
      <c r="N116" s="116">
        <f t="shared" si="185"/>
        <v>1250</v>
      </c>
      <c r="O116" s="97">
        <f t="shared" si="170"/>
        <v>15000</v>
      </c>
      <c r="P116" s="128" t="s">
        <v>179</v>
      </c>
      <c r="Q116" s="65" t="str">
        <f t="shared" si="171"/>
        <v/>
      </c>
      <c r="R116" s="94" t="s">
        <v>183</v>
      </c>
      <c r="S116" s="95">
        <f t="shared" si="172"/>
        <v>15000</v>
      </c>
      <c r="T116" s="94"/>
      <c r="U116" s="96"/>
      <c r="V116" s="94"/>
      <c r="W116" s="96"/>
      <c r="X116" s="94"/>
      <c r="Y116" s="96"/>
      <c r="Z116" s="94"/>
      <c r="AA116" s="96"/>
      <c r="AB116" s="94"/>
      <c r="AC116" s="96"/>
    </row>
    <row r="117">
      <c r="A117" s="127"/>
      <c r="B117" s="86" t="s">
        <v>242</v>
      </c>
      <c r="C117" s="116">
        <f>17500/12</f>
        <v>1458.3333333333333</v>
      </c>
      <c r="D117" s="116">
        <f t="shared" ref="D117:N117" si="186">17500/12</f>
        <v>1458.3333333333333</v>
      </c>
      <c r="E117" s="116">
        <f>17500/12+6240</f>
        <v>7698.333333333333</v>
      </c>
      <c r="F117" s="116">
        <f t="shared" si="186"/>
        <v>1458.3333333333333</v>
      </c>
      <c r="G117" s="116">
        <f t="shared" si="186"/>
        <v>1458.3333333333333</v>
      </c>
      <c r="H117" s="116">
        <f t="shared" si="186"/>
        <v>1458.3333333333333</v>
      </c>
      <c r="I117" s="116">
        <f t="shared" si="186"/>
        <v>1458.3333333333333</v>
      </c>
      <c r="J117" s="116">
        <f t="shared" si="186"/>
        <v>1458.3333333333333</v>
      </c>
      <c r="K117" s="116">
        <f>17500/12+8500</f>
        <v>9958.3333333333339</v>
      </c>
      <c r="L117" s="116">
        <f t="shared" si="186"/>
        <v>1458.3333333333333</v>
      </c>
      <c r="M117" s="116">
        <f t="shared" si="186"/>
        <v>1458.3333333333333</v>
      </c>
      <c r="N117" s="116">
        <f t="shared" si="186"/>
        <v>1458.3333333333333</v>
      </c>
      <c r="O117" s="97">
        <f t="shared" si="170"/>
        <v>32239.999999999996</v>
      </c>
      <c r="P117" s="128" t="s">
        <v>191</v>
      </c>
      <c r="Q117" s="65" t="str">
        <f t="shared" si="171"/>
        <v/>
      </c>
      <c r="R117" s="94" t="s">
        <v>183</v>
      </c>
      <c r="S117" s="95">
        <f t="shared" si="172"/>
        <v>32239.999999999996</v>
      </c>
      <c r="T117" s="94"/>
      <c r="U117" s="103"/>
      <c r="V117" s="94"/>
      <c r="W117" s="103"/>
      <c r="X117" s="94"/>
      <c r="Y117" s="103"/>
      <c r="Z117" s="94"/>
      <c r="AA117" s="103"/>
      <c r="AB117" s="94"/>
      <c r="AC117" s="103"/>
    </row>
    <row r="118">
      <c r="A118" s="127"/>
      <c r="B118" s="86" t="s">
        <v>243</v>
      </c>
      <c r="C118" s="116">
        <f>15000/12</f>
        <v>1250</v>
      </c>
      <c r="D118" s="116">
        <f t="shared" ref="D118:N118" si="187">15000/12</f>
        <v>1250</v>
      </c>
      <c r="E118" s="116">
        <f t="shared" si="187"/>
        <v>1250</v>
      </c>
      <c r="F118" s="116">
        <f t="shared" si="187"/>
        <v>1250</v>
      </c>
      <c r="G118" s="116">
        <f t="shared" si="187"/>
        <v>1250</v>
      </c>
      <c r="H118" s="116">
        <f t="shared" si="187"/>
        <v>1250</v>
      </c>
      <c r="I118" s="116">
        <f t="shared" si="187"/>
        <v>1250</v>
      </c>
      <c r="J118" s="116">
        <f t="shared" si="187"/>
        <v>1250</v>
      </c>
      <c r="K118" s="116">
        <f t="shared" si="187"/>
        <v>1250</v>
      </c>
      <c r="L118" s="116">
        <f t="shared" si="187"/>
        <v>1250</v>
      </c>
      <c r="M118" s="116">
        <f t="shared" si="187"/>
        <v>1250</v>
      </c>
      <c r="N118" s="116">
        <f t="shared" si="187"/>
        <v>1250</v>
      </c>
      <c r="O118" s="97">
        <f t="shared" si="170"/>
        <v>15000</v>
      </c>
      <c r="P118" s="128" t="s">
        <v>179</v>
      </c>
      <c r="Q118" s="65" t="str">
        <f t="shared" si="171"/>
        <v/>
      </c>
      <c r="R118" s="94" t="s">
        <v>183</v>
      </c>
      <c r="S118" s="95">
        <f t="shared" si="172"/>
        <v>15000</v>
      </c>
      <c r="T118" s="94"/>
      <c r="U118" s="103"/>
      <c r="V118" s="94"/>
      <c r="W118" s="103"/>
      <c r="X118" s="94"/>
      <c r="Y118" s="103"/>
      <c r="Z118" s="94"/>
      <c r="AA118" s="103"/>
      <c r="AB118" s="94"/>
      <c r="AC118" s="103"/>
    </row>
    <row r="119">
      <c r="A119" s="127"/>
      <c r="B119" s="86" t="s">
        <v>244</v>
      </c>
      <c r="C119" s="116">
        <v>1500</v>
      </c>
      <c r="D119" s="116"/>
      <c r="E119" s="116"/>
      <c r="F119" s="116"/>
      <c r="G119" s="116"/>
      <c r="H119" s="116"/>
      <c r="I119" s="116"/>
      <c r="J119" s="116"/>
      <c r="K119" s="116">
        <v>1500</v>
      </c>
      <c r="L119" s="116"/>
      <c r="M119" s="116"/>
      <c r="N119" s="116"/>
      <c r="O119" s="97">
        <f t="shared" si="170"/>
        <v>3000</v>
      </c>
      <c r="P119" s="128" t="s">
        <v>179</v>
      </c>
      <c r="Q119" s="65" t="str">
        <f t="shared" si="171"/>
        <v/>
      </c>
      <c r="R119" s="94" t="s">
        <v>183</v>
      </c>
      <c r="S119" s="95">
        <f t="shared" si="172"/>
        <v>3000</v>
      </c>
      <c r="T119" s="94"/>
      <c r="U119" s="96"/>
      <c r="V119" s="94"/>
      <c r="W119" s="96"/>
      <c r="X119" s="94"/>
      <c r="Y119" s="96"/>
      <c r="Z119" s="94"/>
      <c r="AA119" s="96"/>
      <c r="AB119" s="94"/>
      <c r="AC119" s="96"/>
    </row>
    <row r="120">
      <c r="A120" s="127"/>
      <c r="B120" s="86" t="s">
        <v>245</v>
      </c>
      <c r="C120" s="116"/>
      <c r="D120" s="116">
        <v>875</v>
      </c>
      <c r="E120" s="116"/>
      <c r="F120" s="116"/>
      <c r="G120" s="116">
        <v>875</v>
      </c>
      <c r="H120" s="116"/>
      <c r="I120" s="116"/>
      <c r="J120" s="116">
        <v>875</v>
      </c>
      <c r="K120" s="116"/>
      <c r="L120" s="116"/>
      <c r="M120" s="116">
        <v>875</v>
      </c>
      <c r="N120" s="116"/>
      <c r="O120" s="97">
        <f t="shared" si="170"/>
        <v>3500</v>
      </c>
      <c r="P120" s="128" t="s">
        <v>179</v>
      </c>
      <c r="Q120" s="65" t="str">
        <f t="shared" si="171"/>
        <v/>
      </c>
      <c r="R120" s="94" t="s">
        <v>183</v>
      </c>
      <c r="S120" s="95">
        <f t="shared" si="172"/>
        <v>3500</v>
      </c>
      <c r="T120" s="94"/>
      <c r="U120" s="103"/>
      <c r="V120" s="94"/>
      <c r="W120" s="103"/>
      <c r="X120" s="94"/>
      <c r="Y120" s="103"/>
      <c r="Z120" s="94"/>
      <c r="AA120" s="103"/>
      <c r="AB120" s="94"/>
      <c r="AC120" s="103"/>
    </row>
    <row r="121">
      <c r="A121" s="127"/>
      <c r="B121" s="86" t="s">
        <v>246</v>
      </c>
      <c r="C121" s="116">
        <f>1200/12</f>
        <v>100</v>
      </c>
      <c r="D121" s="116">
        <f t="shared" ref="D121:N121" si="188">1200/12</f>
        <v>100</v>
      </c>
      <c r="E121" s="116">
        <f t="shared" si="188"/>
        <v>100</v>
      </c>
      <c r="F121" s="116">
        <f t="shared" si="188"/>
        <v>100</v>
      </c>
      <c r="G121" s="116">
        <f t="shared" si="188"/>
        <v>100</v>
      </c>
      <c r="H121" s="116">
        <f t="shared" si="188"/>
        <v>100</v>
      </c>
      <c r="I121" s="116">
        <f t="shared" si="188"/>
        <v>100</v>
      </c>
      <c r="J121" s="116">
        <f t="shared" si="188"/>
        <v>100</v>
      </c>
      <c r="K121" s="116">
        <f t="shared" si="188"/>
        <v>100</v>
      </c>
      <c r="L121" s="116">
        <f t="shared" si="188"/>
        <v>100</v>
      </c>
      <c r="M121" s="116">
        <f t="shared" si="188"/>
        <v>100</v>
      </c>
      <c r="N121" s="116">
        <f t="shared" si="188"/>
        <v>100</v>
      </c>
      <c r="O121" s="97">
        <f t="shared" si="170"/>
        <v>1200</v>
      </c>
      <c r="P121" s="128" t="s">
        <v>179</v>
      </c>
      <c r="Q121" s="65" t="str">
        <f t="shared" si="171"/>
        <v/>
      </c>
      <c r="R121" s="94" t="s">
        <v>183</v>
      </c>
      <c r="S121" s="95">
        <f t="shared" si="172"/>
        <v>1200</v>
      </c>
      <c r="T121" s="94"/>
      <c r="U121" s="96"/>
      <c r="V121" s="94"/>
      <c r="W121" s="96"/>
      <c r="X121" s="94"/>
      <c r="Y121" s="96"/>
      <c r="Z121" s="94"/>
      <c r="AA121" s="96"/>
      <c r="AB121" s="94"/>
      <c r="AC121" s="96"/>
    </row>
    <row r="122">
      <c r="A122" s="127"/>
      <c r="B122" s="86" t="s">
        <v>247</v>
      </c>
      <c r="C122" s="116">
        <f>2300/12</f>
        <v>191.66666666666666</v>
      </c>
      <c r="D122" s="116">
        <f t="shared" ref="D122:N122" si="189">2300/12</f>
        <v>191.66666666666666</v>
      </c>
      <c r="E122" s="116">
        <f t="shared" si="189"/>
        <v>191.66666666666666</v>
      </c>
      <c r="F122" s="116">
        <f t="shared" si="189"/>
        <v>191.66666666666666</v>
      </c>
      <c r="G122" s="116">
        <f t="shared" si="189"/>
        <v>191.66666666666666</v>
      </c>
      <c r="H122" s="116">
        <f t="shared" si="189"/>
        <v>191.66666666666666</v>
      </c>
      <c r="I122" s="116">
        <f t="shared" si="189"/>
        <v>191.66666666666666</v>
      </c>
      <c r="J122" s="116">
        <f t="shared" si="189"/>
        <v>191.66666666666666</v>
      </c>
      <c r="K122" s="116">
        <f t="shared" si="189"/>
        <v>191.66666666666666</v>
      </c>
      <c r="L122" s="116">
        <f>2300/12</f>
        <v>191.66666666666666</v>
      </c>
      <c r="M122" s="116">
        <f t="shared" si="189"/>
        <v>191.66666666666666</v>
      </c>
      <c r="N122" s="116">
        <f t="shared" si="189"/>
        <v>191.66666666666666</v>
      </c>
      <c r="O122" s="97">
        <f t="shared" si="170"/>
        <v>2300</v>
      </c>
      <c r="P122" s="128" t="s">
        <v>179</v>
      </c>
      <c r="Q122" s="65" t="str">
        <f t="shared" si="171"/>
        <v/>
      </c>
      <c r="R122" s="94" t="s">
        <v>108</v>
      </c>
      <c r="S122" s="95">
        <f>(2.09/4.02)*O122</f>
        <v>1195.7711442786069</v>
      </c>
      <c r="T122" s="94" t="s">
        <v>110</v>
      </c>
      <c r="U122" s="103">
        <f>(0.86/4.02)*O122</f>
        <v>492.03980099502496</v>
      </c>
      <c r="V122" s="94" t="s">
        <v>111</v>
      </c>
      <c r="W122" s="103">
        <f>(0.5/4.02)*O122</f>
        <v>286.06965174129357</v>
      </c>
      <c r="X122" s="94" t="s">
        <v>126</v>
      </c>
      <c r="Y122" s="103">
        <f>(0.57/4.02)*O122</f>
        <v>326.1194029850746</v>
      </c>
      <c r="Z122" s="94"/>
      <c r="AA122" s="103"/>
      <c r="AB122" s="94"/>
      <c r="AC122" s="103"/>
    </row>
    <row r="123">
      <c r="A123" s="127"/>
      <c r="B123" s="86" t="s">
        <v>248</v>
      </c>
      <c r="C123" s="116">
        <f>5700/12</f>
        <v>475</v>
      </c>
      <c r="D123" s="116">
        <f t="shared" ref="D123:N123" si="190">5700/12</f>
        <v>475</v>
      </c>
      <c r="E123" s="116">
        <f t="shared" si="190"/>
        <v>475</v>
      </c>
      <c r="F123" s="116">
        <f t="shared" si="190"/>
        <v>475</v>
      </c>
      <c r="G123" s="116">
        <f t="shared" si="190"/>
        <v>475</v>
      </c>
      <c r="H123" s="116">
        <f t="shared" si="190"/>
        <v>475</v>
      </c>
      <c r="I123" s="116">
        <f t="shared" si="190"/>
        <v>475</v>
      </c>
      <c r="J123" s="116">
        <f t="shared" si="190"/>
        <v>475</v>
      </c>
      <c r="K123" s="116">
        <f t="shared" si="190"/>
        <v>475</v>
      </c>
      <c r="L123" s="116">
        <f t="shared" si="190"/>
        <v>475</v>
      </c>
      <c r="M123" s="116">
        <f t="shared" si="190"/>
        <v>475</v>
      </c>
      <c r="N123" s="116">
        <f t="shared" si="190"/>
        <v>475</v>
      </c>
      <c r="O123" s="97">
        <f t="shared" si="170"/>
        <v>5700</v>
      </c>
      <c r="P123" s="128" t="s">
        <v>179</v>
      </c>
      <c r="Q123" s="65" t="str">
        <f t="shared" si="171"/>
        <v/>
      </c>
      <c r="R123" s="94" t="s">
        <v>183</v>
      </c>
      <c r="S123" s="95">
        <f t="shared" si="172"/>
        <v>5700</v>
      </c>
      <c r="T123" s="94"/>
      <c r="U123" s="96"/>
      <c r="V123" s="94"/>
      <c r="W123" s="96"/>
      <c r="X123" s="94"/>
      <c r="Y123" s="96"/>
      <c r="Z123" s="94"/>
      <c r="AA123" s="96"/>
      <c r="AB123" s="94"/>
      <c r="AC123" s="96"/>
    </row>
    <row r="124">
      <c r="A124" s="127"/>
      <c r="B124" s="86" t="s">
        <v>249</v>
      </c>
      <c r="C124" s="116">
        <f>1500/12</f>
        <v>125</v>
      </c>
      <c r="D124" s="116">
        <f t="shared" ref="D124:N124" si="191">1500/12</f>
        <v>125</v>
      </c>
      <c r="E124" s="116">
        <f t="shared" si="191"/>
        <v>125</v>
      </c>
      <c r="F124" s="116">
        <f t="shared" si="191"/>
        <v>125</v>
      </c>
      <c r="G124" s="116">
        <f t="shared" si="191"/>
        <v>125</v>
      </c>
      <c r="H124" s="116">
        <f t="shared" si="191"/>
        <v>125</v>
      </c>
      <c r="I124" s="116">
        <f t="shared" si="191"/>
        <v>125</v>
      </c>
      <c r="J124" s="116">
        <f t="shared" si="191"/>
        <v>125</v>
      </c>
      <c r="K124" s="116">
        <f t="shared" si="191"/>
        <v>125</v>
      </c>
      <c r="L124" s="116">
        <f t="shared" si="191"/>
        <v>125</v>
      </c>
      <c r="M124" s="116">
        <f t="shared" si="191"/>
        <v>125</v>
      </c>
      <c r="N124" s="116">
        <f t="shared" si="191"/>
        <v>125</v>
      </c>
      <c r="O124" s="97">
        <f t="shared" si="170"/>
        <v>1500</v>
      </c>
      <c r="P124" s="128" t="s">
        <v>179</v>
      </c>
      <c r="Q124" s="65" t="str">
        <f t="shared" si="171"/>
        <v/>
      </c>
      <c r="R124" s="94" t="s">
        <v>183</v>
      </c>
      <c r="S124" s="95">
        <f t="shared" si="172"/>
        <v>1500</v>
      </c>
      <c r="T124" s="94"/>
      <c r="U124" s="96"/>
      <c r="V124" s="94"/>
      <c r="W124" s="96"/>
      <c r="X124" s="94"/>
      <c r="Y124" s="96"/>
      <c r="Z124" s="94"/>
      <c r="AA124" s="96"/>
      <c r="AB124" s="94"/>
      <c r="AC124" s="96"/>
    </row>
    <row r="125">
      <c r="A125" s="127"/>
      <c r="B125" s="86" t="s">
        <v>250</v>
      </c>
      <c r="C125" s="116">
        <f>12000/12</f>
        <v>1000</v>
      </c>
      <c r="D125" s="116">
        <f t="shared" ref="D125:N125" si="192">12000/12</f>
        <v>1000</v>
      </c>
      <c r="E125" s="116">
        <f t="shared" si="192"/>
        <v>1000</v>
      </c>
      <c r="F125" s="116">
        <f t="shared" si="192"/>
        <v>1000</v>
      </c>
      <c r="G125" s="116">
        <f t="shared" si="192"/>
        <v>1000</v>
      </c>
      <c r="H125" s="116">
        <f t="shared" si="192"/>
        <v>1000</v>
      </c>
      <c r="I125" s="116">
        <f t="shared" si="192"/>
        <v>1000</v>
      </c>
      <c r="J125" s="116">
        <f t="shared" si="192"/>
        <v>1000</v>
      </c>
      <c r="K125" s="116">
        <f t="shared" si="192"/>
        <v>1000</v>
      </c>
      <c r="L125" s="116">
        <f t="shared" si="192"/>
        <v>1000</v>
      </c>
      <c r="M125" s="116">
        <f t="shared" si="192"/>
        <v>1000</v>
      </c>
      <c r="N125" s="116">
        <f t="shared" si="192"/>
        <v>1000</v>
      </c>
      <c r="O125" s="97">
        <f t="shared" si="170"/>
        <v>12000</v>
      </c>
      <c r="P125" s="128" t="s">
        <v>179</v>
      </c>
      <c r="Q125" s="65" t="str">
        <f t="shared" si="171"/>
        <v/>
      </c>
      <c r="R125" s="94" t="s">
        <v>183</v>
      </c>
      <c r="S125" s="95">
        <f t="shared" si="172"/>
        <v>12000</v>
      </c>
      <c r="T125" s="94"/>
      <c r="U125" s="96"/>
      <c r="V125" s="94"/>
      <c r="W125" s="96"/>
      <c r="X125" s="94"/>
      <c r="Y125" s="96"/>
      <c r="Z125" s="94"/>
      <c r="AA125" s="96"/>
      <c r="AB125" s="94"/>
      <c r="AC125" s="96"/>
    </row>
    <row r="126">
      <c r="A126" s="127"/>
      <c r="B126" s="86" t="s">
        <v>251</v>
      </c>
      <c r="C126" s="116">
        <f>850+112+7+204</f>
        <v>1173</v>
      </c>
      <c r="D126" s="116">
        <f t="shared" ref="D126:N126" si="193">850+112+7+204</f>
        <v>1173</v>
      </c>
      <c r="E126" s="116">
        <f t="shared" si="193"/>
        <v>1173</v>
      </c>
      <c r="F126" s="116">
        <f t="shared" si="193"/>
        <v>1173</v>
      </c>
      <c r="G126" s="116">
        <f t="shared" si="193"/>
        <v>1173</v>
      </c>
      <c r="H126" s="116">
        <f t="shared" si="193"/>
        <v>1173</v>
      </c>
      <c r="I126" s="116">
        <f t="shared" si="193"/>
        <v>1173</v>
      </c>
      <c r="J126" s="116">
        <f t="shared" si="193"/>
        <v>1173</v>
      </c>
      <c r="K126" s="116">
        <f t="shared" si="193"/>
        <v>1173</v>
      </c>
      <c r="L126" s="116">
        <f t="shared" si="193"/>
        <v>1173</v>
      </c>
      <c r="M126" s="116">
        <f t="shared" si="193"/>
        <v>1173</v>
      </c>
      <c r="N126" s="116">
        <f t="shared" si="193"/>
        <v>1173</v>
      </c>
      <c r="O126" s="97">
        <f t="shared" si="170"/>
        <v>14076</v>
      </c>
      <c r="P126" s="128" t="s">
        <v>179</v>
      </c>
      <c r="Q126" s="65" t="str">
        <f t="shared" si="171"/>
        <v/>
      </c>
      <c r="R126" s="94" t="s">
        <v>183</v>
      </c>
      <c r="S126" s="95">
        <f t="shared" si="172"/>
        <v>14076</v>
      </c>
      <c r="T126" s="94" t="s">
        <v>126</v>
      </c>
      <c r="U126" s="96"/>
      <c r="V126" s="94"/>
      <c r="W126" s="96"/>
      <c r="X126" s="94"/>
      <c r="Y126" s="96"/>
      <c r="Z126" s="94"/>
      <c r="AA126" s="96"/>
      <c r="AB126" s="94"/>
      <c r="AC126" s="96"/>
    </row>
    <row r="127">
      <c r="A127" s="127"/>
      <c r="B127" s="86" t="s">
        <v>252</v>
      </c>
      <c r="C127" s="116">
        <f>6000+7000/12</f>
        <v>6583.333333333333</v>
      </c>
      <c r="D127" s="116">
        <f>7000/12</f>
        <v>583.33333333333337</v>
      </c>
      <c r="E127" s="116">
        <f t="shared" ref="E127:N127" si="194">7000/12</f>
        <v>583.33333333333337</v>
      </c>
      <c r="F127" s="116">
        <f t="shared" si="194"/>
        <v>583.33333333333337</v>
      </c>
      <c r="G127" s="116">
        <f t="shared" si="194"/>
        <v>583.33333333333337</v>
      </c>
      <c r="H127" s="116">
        <f t="shared" si="194"/>
        <v>583.33333333333337</v>
      </c>
      <c r="I127" s="116">
        <f t="shared" si="194"/>
        <v>583.33333333333337</v>
      </c>
      <c r="J127" s="116">
        <f t="shared" si="194"/>
        <v>583.33333333333337</v>
      </c>
      <c r="K127" s="116">
        <f t="shared" si="194"/>
        <v>583.33333333333337</v>
      </c>
      <c r="L127" s="116">
        <f t="shared" si="194"/>
        <v>583.33333333333337</v>
      </c>
      <c r="M127" s="116">
        <f t="shared" si="194"/>
        <v>583.33333333333337</v>
      </c>
      <c r="N127" s="116">
        <f t="shared" si="194"/>
        <v>583.33333333333337</v>
      </c>
      <c r="O127" s="97">
        <f t="shared" si="170"/>
        <v>13000.000000000004</v>
      </c>
      <c r="P127" s="128" t="s">
        <v>179</v>
      </c>
      <c r="Q127" s="65" t="str">
        <f t="shared" si="171"/>
        <v/>
      </c>
      <c r="R127" s="94" t="s">
        <v>183</v>
      </c>
      <c r="S127" s="95">
        <f t="shared" si="172"/>
        <v>13000.000000000004</v>
      </c>
      <c r="T127" s="94" t="s">
        <v>126</v>
      </c>
      <c r="U127" s="103"/>
      <c r="V127" s="94"/>
      <c r="W127" s="103"/>
      <c r="X127" s="94"/>
      <c r="Y127" s="103"/>
      <c r="Z127" s="94"/>
      <c r="AA127" s="103"/>
      <c r="AB127" s="94"/>
      <c r="AC127" s="103"/>
    </row>
    <row r="128">
      <c r="A128" s="127"/>
      <c r="B128" s="86" t="s">
        <v>253</v>
      </c>
      <c r="C128" s="116">
        <f>72</f>
        <v>72</v>
      </c>
      <c r="D128" s="116">
        <f>72+230</f>
        <v>302</v>
      </c>
      <c r="E128" s="116">
        <f>72</f>
        <v>72</v>
      </c>
      <c r="F128" s="116">
        <f>72+230</f>
        <v>302</v>
      </c>
      <c r="G128" s="116">
        <f>72</f>
        <v>72</v>
      </c>
      <c r="H128" s="116">
        <f>72+230</f>
        <v>302</v>
      </c>
      <c r="I128" s="116">
        <f>72</f>
        <v>72</v>
      </c>
      <c r="J128" s="116">
        <f>72+230</f>
        <v>302</v>
      </c>
      <c r="K128" s="116">
        <f>72</f>
        <v>72</v>
      </c>
      <c r="L128" s="116">
        <f>72+230</f>
        <v>302</v>
      </c>
      <c r="M128" s="116">
        <f>72</f>
        <v>72</v>
      </c>
      <c r="N128" s="116">
        <f>72+230</f>
        <v>302</v>
      </c>
      <c r="O128" s="97">
        <f t="shared" si="170"/>
        <v>2244</v>
      </c>
      <c r="P128" s="128" t="s">
        <v>179</v>
      </c>
      <c r="Q128" s="65" t="str">
        <f t="shared" si="171"/>
        <v/>
      </c>
      <c r="R128" s="94" t="s">
        <v>183</v>
      </c>
      <c r="S128" s="95">
        <f t="shared" si="172"/>
        <v>2244</v>
      </c>
      <c r="T128" s="94" t="s">
        <v>126</v>
      </c>
      <c r="U128" s="103"/>
      <c r="V128" s="94"/>
      <c r="W128" s="103"/>
      <c r="X128" s="94"/>
      <c r="Y128" s="103"/>
      <c r="Z128" s="94"/>
      <c r="AA128" s="103"/>
      <c r="AB128" s="94"/>
      <c r="AC128" s="103"/>
    </row>
    <row r="129">
      <c r="A129" s="127"/>
      <c r="B129" s="86" t="s">
        <v>254</v>
      </c>
      <c r="C129" s="116">
        <v>8</v>
      </c>
      <c r="D129" s="116">
        <v>8</v>
      </c>
      <c r="E129" s="116">
        <v>8</v>
      </c>
      <c r="F129" s="116">
        <v>8</v>
      </c>
      <c r="G129" s="116">
        <v>8</v>
      </c>
      <c r="H129" s="116">
        <f>8+150</f>
        <v>158</v>
      </c>
      <c r="I129" s="116">
        <v>8</v>
      </c>
      <c r="J129" s="116">
        <v>8</v>
      </c>
      <c r="K129" s="116">
        <v>8</v>
      </c>
      <c r="L129" s="116">
        <f>8+150</f>
        <v>158</v>
      </c>
      <c r="M129" s="116">
        <v>8</v>
      </c>
      <c r="N129" s="116">
        <v>8</v>
      </c>
      <c r="O129" s="97">
        <f t="shared" si="170"/>
        <v>396</v>
      </c>
      <c r="P129" s="128" t="s">
        <v>179</v>
      </c>
      <c r="Q129" s="65" t="str">
        <f t="shared" si="171"/>
        <v/>
      </c>
      <c r="R129" s="94" t="s">
        <v>183</v>
      </c>
      <c r="S129" s="95">
        <f t="shared" si="172"/>
        <v>396</v>
      </c>
      <c r="T129" s="94"/>
      <c r="U129" s="103"/>
      <c r="V129" s="94"/>
      <c r="W129" s="103"/>
      <c r="X129" s="94"/>
      <c r="Y129" s="103"/>
      <c r="Z129" s="94"/>
      <c r="AA129" s="103"/>
      <c r="AB129" s="94"/>
      <c r="AC129" s="103"/>
    </row>
    <row r="130">
      <c r="A130" s="127"/>
      <c r="B130" s="86" t="s">
        <v>255</v>
      </c>
      <c r="C130" s="116"/>
      <c r="D130" s="116"/>
      <c r="E130" s="116"/>
      <c r="F130" s="116"/>
      <c r="G130" s="116"/>
      <c r="H130" s="116"/>
      <c r="I130" s="116"/>
      <c r="J130" s="116"/>
      <c r="K130" s="116"/>
      <c r="L130" s="116"/>
      <c r="M130" s="116"/>
      <c r="N130" s="116"/>
      <c r="O130" s="97">
        <f t="shared" si="170"/>
        <v>0</v>
      </c>
      <c r="P130" s="128" t="s">
        <v>179</v>
      </c>
      <c r="Q130" s="65" t="str">
        <f t="shared" si="171"/>
        <v/>
      </c>
      <c r="R130" s="94" t="s">
        <v>183</v>
      </c>
      <c r="S130" s="95">
        <f t="shared" si="172"/>
        <v>0</v>
      </c>
      <c r="T130" s="94"/>
      <c r="U130" s="96"/>
      <c r="V130" s="94"/>
      <c r="W130" s="96"/>
      <c r="X130" s="94"/>
      <c r="Y130" s="96"/>
      <c r="Z130" s="94"/>
      <c r="AA130" s="96"/>
      <c r="AB130" s="94"/>
      <c r="AC130" s="96"/>
    </row>
    <row r="131">
      <c r="A131" s="127"/>
      <c r="B131" s="86" t="s">
        <v>294</v>
      </c>
      <c r="C131" s="116">
        <v>3300</v>
      </c>
      <c r="D131" s="116">
        <v>3300</v>
      </c>
      <c r="E131" s="116">
        <v>3300</v>
      </c>
      <c r="F131" s="116">
        <v>3300</v>
      </c>
      <c r="G131" s="116">
        <v>3300</v>
      </c>
      <c r="H131" s="116">
        <v>3300</v>
      </c>
      <c r="I131" s="116">
        <v>3300</v>
      </c>
      <c r="J131" s="116">
        <v>3300</v>
      </c>
      <c r="K131" s="116">
        <v>3300</v>
      </c>
      <c r="L131" s="116">
        <v>3300</v>
      </c>
      <c r="M131" s="116">
        <v>3300</v>
      </c>
      <c r="N131" s="116">
        <v>3300</v>
      </c>
      <c r="O131" s="97">
        <f t="shared" si="170"/>
        <v>39600</v>
      </c>
      <c r="P131" s="128" t="s">
        <v>179</v>
      </c>
      <c r="Q131" s="65" t="str">
        <f t="shared" si="171"/>
        <v/>
      </c>
      <c r="R131" s="94" t="s">
        <v>108</v>
      </c>
      <c r="S131" s="95">
        <v>13200</v>
      </c>
      <c r="T131" s="94" t="s">
        <v>110</v>
      </c>
      <c r="U131" s="96">
        <v>13200</v>
      </c>
      <c r="V131" s="94" t="s">
        <v>111</v>
      </c>
      <c r="W131" s="96">
        <v>13200</v>
      </c>
      <c r="X131" s="94"/>
      <c r="Y131" s="96"/>
      <c r="Z131" s="94"/>
      <c r="AA131" s="96"/>
      <c r="AB131" s="94"/>
      <c r="AC131" s="96"/>
    </row>
    <row r="132">
      <c r="A132" s="127"/>
      <c r="B132" s="86" t="s">
        <v>257</v>
      </c>
      <c r="C132" s="116"/>
      <c r="D132" s="116"/>
      <c r="E132" s="116">
        <f>15000/4</f>
        <v>3750</v>
      </c>
      <c r="F132" s="116"/>
      <c r="G132" s="116"/>
      <c r="H132" s="116">
        <f>15000/4</f>
        <v>3750</v>
      </c>
      <c r="I132" s="116"/>
      <c r="J132" s="116"/>
      <c r="K132" s="116">
        <f>15000/4</f>
        <v>3750</v>
      </c>
      <c r="L132" s="116"/>
      <c r="M132" s="116"/>
      <c r="N132" s="116"/>
      <c r="O132" s="97">
        <f t="shared" si="170"/>
        <v>11250</v>
      </c>
      <c r="P132" s="128" t="s">
        <v>179</v>
      </c>
      <c r="Q132" s="65" t="str">
        <f t="shared" si="171"/>
        <v/>
      </c>
      <c r="R132" s="94" t="s">
        <v>183</v>
      </c>
      <c r="S132" s="95">
        <f t="shared" si="172"/>
        <v>11250</v>
      </c>
      <c r="T132" s="94"/>
      <c r="U132" s="103"/>
      <c r="V132" s="94"/>
      <c r="W132" s="103"/>
      <c r="X132" s="94"/>
      <c r="Y132" s="103"/>
      <c r="Z132" s="94"/>
      <c r="AA132" s="103"/>
      <c r="AB132" s="94"/>
      <c r="AC132" s="103"/>
    </row>
    <row r="133">
      <c r="A133" s="127"/>
      <c r="B133" s="86" t="s">
        <v>258</v>
      </c>
      <c r="C133" s="116">
        <v>17000</v>
      </c>
      <c r="D133" s="116">
        <f t="shared" ref="D133:N133" si="195">7500/12</f>
        <v>625</v>
      </c>
      <c r="E133" s="116">
        <f t="shared" si="195"/>
        <v>625</v>
      </c>
      <c r="F133" s="116">
        <f t="shared" si="195"/>
        <v>625</v>
      </c>
      <c r="G133" s="116">
        <f t="shared" si="195"/>
        <v>625</v>
      </c>
      <c r="H133" s="116">
        <f t="shared" si="195"/>
        <v>625</v>
      </c>
      <c r="I133" s="116">
        <f t="shared" si="195"/>
        <v>625</v>
      </c>
      <c r="J133" s="116">
        <f t="shared" si="195"/>
        <v>625</v>
      </c>
      <c r="K133" s="116">
        <f t="shared" si="195"/>
        <v>625</v>
      </c>
      <c r="L133" s="116">
        <f t="shared" si="195"/>
        <v>625</v>
      </c>
      <c r="M133" s="116">
        <f t="shared" si="195"/>
        <v>625</v>
      </c>
      <c r="N133" s="116">
        <f t="shared" si="195"/>
        <v>625</v>
      </c>
      <c r="O133" s="97">
        <f t="shared" si="170"/>
        <v>23875</v>
      </c>
      <c r="P133" s="128" t="s">
        <v>179</v>
      </c>
      <c r="Q133" s="65" t="str">
        <f t="shared" si="171"/>
        <v/>
      </c>
      <c r="R133" s="94" t="s">
        <v>183</v>
      </c>
      <c r="S133" s="95">
        <f t="shared" si="172"/>
        <v>23875</v>
      </c>
      <c r="T133" s="94"/>
      <c r="U133" s="103"/>
      <c r="V133" s="94"/>
      <c r="W133" s="103"/>
      <c r="X133" s="94"/>
      <c r="Y133" s="103"/>
      <c r="Z133" s="94"/>
      <c r="AA133" s="103"/>
      <c r="AB133" s="94"/>
      <c r="AC133" s="103"/>
    </row>
    <row r="134">
      <c r="A134" s="127"/>
      <c r="B134" s="86" t="s">
        <v>259</v>
      </c>
      <c r="C134" s="116">
        <v>2500</v>
      </c>
      <c r="D134" s="116"/>
      <c r="E134" s="116"/>
      <c r="F134" s="116">
        <v>2500</v>
      </c>
      <c r="G134" s="116"/>
      <c r="H134" s="116"/>
      <c r="I134" s="116">
        <v>2500</v>
      </c>
      <c r="J134" s="116"/>
      <c r="K134" s="116"/>
      <c r="L134" s="116">
        <v>2500</v>
      </c>
      <c r="M134" s="116"/>
      <c r="N134" s="116"/>
      <c r="O134" s="97">
        <f t="shared" si="170"/>
        <v>10000</v>
      </c>
      <c r="P134" s="128" t="s">
        <v>179</v>
      </c>
      <c r="Q134" s="65" t="str">
        <f t="shared" si="171"/>
        <v/>
      </c>
      <c r="R134" s="94" t="s">
        <v>183</v>
      </c>
      <c r="S134" s="95">
        <f t="shared" si="172"/>
        <v>10000</v>
      </c>
      <c r="T134" s="94"/>
      <c r="U134" s="96"/>
      <c r="V134" s="94"/>
      <c r="W134" s="96"/>
      <c r="X134" s="94"/>
      <c r="Y134" s="96"/>
      <c r="Z134" s="94"/>
      <c r="AA134" s="96"/>
      <c r="AB134" s="94"/>
      <c r="AC134" s="96"/>
    </row>
    <row r="135">
      <c r="A135" s="127"/>
      <c r="B135" s="86" t="s">
        <v>295</v>
      </c>
      <c r="C135" s="116"/>
      <c r="D135" s="116"/>
      <c r="E135" s="116"/>
      <c r="F135" s="116">
        <v>929</v>
      </c>
      <c r="G135" s="116">
        <v>929</v>
      </c>
      <c r="H135" s="116">
        <v>929</v>
      </c>
      <c r="I135" s="116">
        <v>929</v>
      </c>
      <c r="J135" s="116">
        <v>929</v>
      </c>
      <c r="K135" s="116">
        <v>929</v>
      </c>
      <c r="L135" s="116">
        <v>929</v>
      </c>
      <c r="M135" s="116">
        <v>929</v>
      </c>
      <c r="N135" s="116">
        <v>929</v>
      </c>
      <c r="O135" s="97">
        <f t="shared" si="170"/>
        <v>8361</v>
      </c>
      <c r="P135" s="155" t="s">
        <v>179</v>
      </c>
      <c r="R135" s="94" t="s">
        <v>183</v>
      </c>
      <c r="S135" s="95"/>
      <c r="T135" s="94"/>
      <c r="U135" s="96"/>
      <c r="V135" s="94"/>
      <c r="W135" s="96"/>
      <c r="X135" s="94"/>
      <c r="Y135" s="96"/>
      <c r="Z135" s="94"/>
      <c r="AA135" s="96"/>
      <c r="AB135" s="94"/>
      <c r="AC135" s="96"/>
    </row>
    <row r="136" ht="15">
      <c r="A136" s="129"/>
      <c r="B136" s="109"/>
      <c r="C136" s="120"/>
      <c r="D136" s="120"/>
      <c r="E136" s="120"/>
      <c r="F136" s="120"/>
      <c r="G136" s="120"/>
      <c r="H136" s="120"/>
      <c r="I136" s="120"/>
      <c r="J136" s="120"/>
      <c r="K136" s="120"/>
      <c r="L136" s="120"/>
      <c r="M136" s="120"/>
      <c r="N136" s="120"/>
      <c r="O136" s="111">
        <f t="shared" si="170"/>
        <v>0</v>
      </c>
      <c r="P136" s="130" t="s">
        <v>179</v>
      </c>
      <c r="R136" s="94" t="s">
        <v>183</v>
      </c>
      <c r="S136" s="95">
        <f t="shared" si="172"/>
        <v>0</v>
      </c>
      <c r="T136" s="94"/>
      <c r="U136" s="103"/>
      <c r="V136" s="94"/>
      <c r="W136" s="103"/>
      <c r="X136" s="94"/>
      <c r="Y136" s="103"/>
      <c r="Z136" s="94"/>
      <c r="AA136" s="103"/>
      <c r="AB136" s="94"/>
      <c r="AC136" s="103"/>
    </row>
    <row r="137" ht="15">
      <c r="A137" s="131" t="s">
        <v>260</v>
      </c>
      <c r="B137" s="86" t="s">
        <v>261</v>
      </c>
      <c r="C137" s="153">
        <f>0.07*SUM(C143:C145)</f>
        <v>5502.5139726199995</v>
      </c>
      <c r="D137" s="153">
        <f>0.07*SUM(D143:D145)</f>
        <v>5536.7259126200015</v>
      </c>
      <c r="E137" s="153">
        <f t="shared" ref="E137:N137" si="196">0.07*SUM(E143:E145)</f>
        <v>5683.1484966200014</v>
      </c>
      <c r="F137" s="153">
        <f t="shared" si="196"/>
        <v>5731.9560246200017</v>
      </c>
      <c r="G137" s="153">
        <f t="shared" si="196"/>
        <v>6116.8699386200014</v>
      </c>
      <c r="H137" s="153">
        <f t="shared" si="196"/>
        <v>5500.1202666200015</v>
      </c>
      <c r="I137" s="153">
        <f t="shared" si="196"/>
        <v>4781.41294862</v>
      </c>
      <c r="J137" s="153">
        <f t="shared" si="196"/>
        <v>4745.9165646199999</v>
      </c>
      <c r="K137" s="153">
        <f t="shared" si="196"/>
        <v>5810.808084620001</v>
      </c>
      <c r="L137" s="153">
        <f t="shared" si="196"/>
        <v>5911.0772606199998</v>
      </c>
      <c r="M137" s="153">
        <f t="shared" si="196"/>
        <v>5957.6662646200002</v>
      </c>
      <c r="N137" s="153">
        <f t="shared" si="196"/>
        <v>5624.8876646199997</v>
      </c>
      <c r="O137" s="108">
        <f t="shared" si="170"/>
        <v>66903.103399440006</v>
      </c>
      <c r="P137" s="132" t="s">
        <v>179</v>
      </c>
      <c r="R137" s="94" t="s">
        <v>108</v>
      </c>
      <c r="S137" s="95">
        <f>$O$137*SUM(S143:S145)/SUM($O$143:$O$145)</f>
        <v>18583.547048029857</v>
      </c>
      <c r="T137" s="94" t="s">
        <v>110</v>
      </c>
      <c r="U137" s="95">
        <f>$O$137*SUM(U143:U145)/SUM($O$143:$O$145)</f>
        <v>14205.026537820901</v>
      </c>
      <c r="V137" s="94" t="s">
        <v>126</v>
      </c>
      <c r="W137" s="95">
        <f>$O$137*SUM(W143:W145)/SUM($O$143:$O$145)</f>
        <v>7970.6684414626898</v>
      </c>
      <c r="X137" s="94" t="s">
        <v>111</v>
      </c>
      <c r="Y137" s="95">
        <v>11876.459999999999</v>
      </c>
      <c r="Z137" s="94" t="s">
        <v>183</v>
      </c>
      <c r="AA137" s="95">
        <v>12961.6</v>
      </c>
      <c r="AB137" s="94"/>
      <c r="AC137" s="95"/>
    </row>
    <row r="138">
      <c r="A138" s="133"/>
      <c r="B138" s="86" t="s">
        <v>262</v>
      </c>
      <c r="C138" s="153">
        <f>0.02*SUM(C143:C145)</f>
        <v>1572.1468493199998</v>
      </c>
      <c r="D138" s="153">
        <f>0.02*SUM(D143:D145)</f>
        <v>1581.9216893200003</v>
      </c>
      <c r="E138" s="153">
        <f t="shared" ref="E138:N138" si="197">0.02*SUM(E143:E145)</f>
        <v>1623.7567133200002</v>
      </c>
      <c r="F138" s="153">
        <f t="shared" si="197"/>
        <v>1637.7017213200004</v>
      </c>
      <c r="G138" s="153">
        <f t="shared" si="197"/>
        <v>1747.6771253200004</v>
      </c>
      <c r="H138" s="153">
        <f t="shared" si="197"/>
        <v>1571.4629333200003</v>
      </c>
      <c r="I138" s="153">
        <f t="shared" si="197"/>
        <v>1366.1179853199999</v>
      </c>
      <c r="J138" s="153">
        <f t="shared" si="197"/>
        <v>1355.9761613200001</v>
      </c>
      <c r="K138" s="153">
        <f t="shared" si="197"/>
        <v>1660.23088132</v>
      </c>
      <c r="L138" s="153">
        <f t="shared" si="197"/>
        <v>1688.87921732</v>
      </c>
      <c r="M138" s="153">
        <f t="shared" si="197"/>
        <v>1702.1903613199997</v>
      </c>
      <c r="N138" s="153">
        <f t="shared" si="197"/>
        <v>1607.1107613199999</v>
      </c>
      <c r="O138" s="97">
        <f t="shared" si="170"/>
        <v>19115.172399840001</v>
      </c>
      <c r="P138" s="132" t="s">
        <v>179</v>
      </c>
      <c r="R138" s="94" t="s">
        <v>108</v>
      </c>
      <c r="S138" s="95">
        <f>$O$138*SUM(S143:S145)/SUM($O$143:$O$145)</f>
        <v>5309.5848708656731</v>
      </c>
      <c r="T138" s="94" t="s">
        <v>110</v>
      </c>
      <c r="U138" s="95">
        <f>$O$138*SUM(U143:U145)/SUM($O$143:$O$145)</f>
        <v>4058.5790108059714</v>
      </c>
      <c r="V138" s="94" t="s">
        <v>126</v>
      </c>
      <c r="W138" s="95">
        <f>$O$138*SUM(W143:W145)/SUM($O$143:$O$145)</f>
        <v>2277.3338404179108</v>
      </c>
      <c r="X138" s="94" t="s">
        <v>111</v>
      </c>
      <c r="Y138" s="95">
        <v>3393</v>
      </c>
      <c r="Z138" s="94" t="s">
        <v>183</v>
      </c>
      <c r="AA138" s="95">
        <v>3704</v>
      </c>
      <c r="AB138" s="94"/>
      <c r="AC138" s="95"/>
    </row>
    <row r="139">
      <c r="A139" s="133"/>
      <c r="B139" s="86" t="s">
        <v>263</v>
      </c>
      <c r="C139" s="116"/>
      <c r="D139" s="116"/>
      <c r="E139" s="116"/>
      <c r="F139" s="116"/>
      <c r="G139" s="116"/>
      <c r="H139" s="116"/>
      <c r="I139" s="116"/>
      <c r="J139" s="116"/>
      <c r="K139" s="116"/>
      <c r="L139" s="116"/>
      <c r="M139" s="116"/>
      <c r="N139" s="116"/>
      <c r="O139" s="97">
        <f t="shared" si="170"/>
        <v>0</v>
      </c>
      <c r="P139" s="128" t="s">
        <v>179</v>
      </c>
      <c r="R139" s="94" t="s">
        <v>183</v>
      </c>
      <c r="S139" s="95">
        <f t="shared" si="172"/>
        <v>0</v>
      </c>
      <c r="T139" s="94"/>
      <c r="U139" s="103"/>
      <c r="V139" s="94"/>
      <c r="W139" s="103"/>
      <c r="X139" s="94"/>
      <c r="Y139" s="103"/>
      <c r="Z139" s="94"/>
      <c r="AA139" s="103"/>
      <c r="AB139" s="94"/>
      <c r="AC139" s="103"/>
    </row>
    <row r="140">
      <c r="A140" s="133"/>
      <c r="B140" s="86"/>
      <c r="C140" s="116"/>
      <c r="D140" s="116"/>
      <c r="E140" s="116"/>
      <c r="F140" s="116"/>
      <c r="G140" s="116"/>
      <c r="H140" s="116"/>
      <c r="I140" s="116"/>
      <c r="J140" s="116"/>
      <c r="K140" s="116"/>
      <c r="L140" s="116"/>
      <c r="M140" s="116"/>
      <c r="N140" s="116"/>
      <c r="O140" s="97">
        <f t="shared" si="170"/>
        <v>0</v>
      </c>
      <c r="P140" s="128" t="s">
        <v>179</v>
      </c>
      <c r="R140" s="94" t="s">
        <v>183</v>
      </c>
      <c r="S140" s="95">
        <f t="shared" si="172"/>
        <v>0</v>
      </c>
      <c r="T140" s="94"/>
      <c r="U140" s="95"/>
      <c r="V140" s="94"/>
      <c r="W140" s="95"/>
      <c r="X140" s="94"/>
      <c r="Y140" s="95"/>
      <c r="Z140" s="94"/>
      <c r="AA140" s="95"/>
      <c r="AB140" s="94"/>
      <c r="AC140" s="95"/>
    </row>
    <row r="141">
      <c r="A141" s="133"/>
      <c r="B141" s="86"/>
      <c r="C141" s="116"/>
      <c r="D141" s="116"/>
      <c r="E141" s="116"/>
      <c r="F141" s="116"/>
      <c r="G141" s="116"/>
      <c r="H141" s="116"/>
      <c r="I141" s="116"/>
      <c r="J141" s="116"/>
      <c r="K141" s="116"/>
      <c r="L141" s="116"/>
      <c r="M141" s="116"/>
      <c r="N141" s="116"/>
      <c r="O141" s="97">
        <f t="shared" si="170"/>
        <v>0</v>
      </c>
      <c r="P141" s="128" t="s">
        <v>179</v>
      </c>
      <c r="R141" s="94" t="s">
        <v>183</v>
      </c>
      <c r="S141" s="95">
        <f t="shared" si="172"/>
        <v>0</v>
      </c>
      <c r="T141" s="94"/>
      <c r="U141" s="103"/>
      <c r="V141" s="94"/>
      <c r="W141" s="103"/>
      <c r="X141" s="94"/>
      <c r="Y141" s="103"/>
      <c r="Z141" s="94"/>
      <c r="AA141" s="103"/>
      <c r="AB141" s="94"/>
      <c r="AC141" s="103"/>
    </row>
    <row r="142" ht="15">
      <c r="A142" s="134"/>
      <c r="B142" s="109"/>
      <c r="C142" s="120"/>
      <c r="D142" s="120"/>
      <c r="E142" s="120"/>
      <c r="F142" s="120"/>
      <c r="G142" s="120"/>
      <c r="H142" s="120"/>
      <c r="I142" s="120"/>
      <c r="J142" s="120"/>
      <c r="K142" s="120"/>
      <c r="L142" s="120"/>
      <c r="M142" s="120"/>
      <c r="N142" s="120"/>
      <c r="O142" s="111">
        <f t="shared" si="170"/>
        <v>0</v>
      </c>
      <c r="P142" s="130" t="s">
        <v>179</v>
      </c>
      <c r="R142" s="94" t="s">
        <v>183</v>
      </c>
      <c r="S142" s="95">
        <f t="shared" si="172"/>
        <v>0</v>
      </c>
      <c r="T142" s="94"/>
      <c r="U142" s="103"/>
      <c r="V142" s="94"/>
      <c r="W142" s="103"/>
      <c r="X142" s="94"/>
      <c r="Y142" s="103"/>
      <c r="Z142" s="94"/>
      <c r="AA142" s="103"/>
      <c r="AB142" s="94"/>
      <c r="AC142" s="103"/>
    </row>
    <row r="143" ht="15">
      <c r="A143" s="131" t="s">
        <v>264</v>
      </c>
      <c r="B143" s="86" t="s">
        <v>265</v>
      </c>
      <c r="C143" s="153">
        <f>+SUMIFS(MOD!$K$3:$K$33,MOD!$H$3:$H$33,"Formation",MOD!$E$3:$E$33,"&gt;="&amp;'Hypotheses expl (2)'!C3,MOD!$D$3:$D$33,"&lt;="&amp;'Hypotheses expl (2)'!C3)+SUMIFS(MOD!$K$3:$K$33,MOD!$H$3:$H$33,"Documentation",MOD!$E$3:$E$33,"&gt;="&amp;'Hypotheses expl (2)'!C3,MOD!$D$3:$D$33,"&lt;="&amp;'Hypotheses expl (2)'!C3)</f>
        <v>48859.258465999999</v>
      </c>
      <c r="D143" s="153">
        <f>+SUMIFS(MOD!$K$3:$K$33,MOD!$H$3:$H$33,"Formation",MOD!$E$3:$E$33,"&gt;="&amp;'Hypotheses expl (2)'!D3,MOD!$D$3:$D$33,"&lt;="&amp;'Hypotheses expl (2)'!D3)+SUMIFS(MOD!$K$3:$K$33,MOD!$H$3:$H$33,"Documentation",MOD!$E$3:$E$33,"&gt;="&amp;'Hypotheses expl (2)'!D3,MOD!$D$3:$D$33,"&lt;="&amp;'Hypotheses expl (2)'!D3)</f>
        <v>51408.058466000002</v>
      </c>
      <c r="E143" s="153">
        <f>+SUMIFS(MOD!$K$3:$K$33,MOD!$H$3:$H$33,"Formation",MOD!$E$3:$E$33,"&gt;="&amp;'Hypotheses expl (2)'!E3,MOD!$D$3:$D$33,"&lt;="&amp;'Hypotheses expl (2)'!E3)+SUMIFS(MOD!$K$3:$K$33,MOD!$H$3:$H$33,"Documentation",MOD!$E$3:$E$33,"&gt;="&amp;'Hypotheses expl (2)'!E3,MOD!$D$3:$D$33,"&lt;="&amp;'Hypotheses expl (2)'!E3)</f>
        <v>51408.058466000002</v>
      </c>
      <c r="F143" s="153">
        <f>+SUMIFS(MOD!$K$3:$K$33,MOD!$H$3:$H$33,"Formation",MOD!$E$3:$E$33,"&gt;="&amp;'Hypotheses expl (2)'!F3,MOD!$D$3:$D$33,"&lt;="&amp;'Hypotheses expl (2)'!F3)+SUMIFS(MOD!$K$3:$K$33,MOD!$H$3:$H$33,"Documentation",MOD!$E$3:$E$33,"&gt;="&amp;'Hypotheses expl (2)'!F3,MOD!$D$3:$D$33,"&lt;="&amp;'Hypotheses expl (2)'!F3)</f>
        <v>51408.058466000002</v>
      </c>
      <c r="G143" s="153">
        <f>+SUMIFS(MOD!$K$3:$K$33,MOD!$H$3:$H$33,"Formation",MOD!$E$3:$E$33,"&gt;="&amp;'Hypotheses expl (2)'!G3,MOD!$D$3:$D$33,"&lt;="&amp;'Hypotheses expl (2)'!G3)+SUMIFS(MOD!$K$3:$K$33,MOD!$H$3:$H$33,"Documentation",MOD!$E$3:$E$33,"&gt;="&amp;'Hypotheses expl (2)'!G3,MOD!$D$3:$D$33,"&lt;="&amp;'Hypotheses expl (2)'!G3)</f>
        <v>51408.058466000002</v>
      </c>
      <c r="H143" s="153">
        <f>+SUMIFS(MOD!$K$3:$K$33,MOD!$H$3:$H$33,"Formation",MOD!$E$3:$E$33,"&gt;="&amp;'Hypotheses expl (2)'!H3,MOD!$D$3:$D$33,"&lt;="&amp;'Hypotheses expl (2)'!H3)+SUMIFS(MOD!$K$3:$K$33,MOD!$H$3:$H$33,"Documentation",MOD!$E$3:$E$33,"&gt;="&amp;'Hypotheses expl (2)'!H3,MOD!$D$3:$D$33,"&lt;="&amp;'Hypotheses expl (2)'!H3)</f>
        <v>51408.058466000002</v>
      </c>
      <c r="I143" s="153">
        <f>+SUMIFS(MOD!$K$3:$K$33,MOD!$H$3:$H$33,"Formation",MOD!$E$3:$E$33,"&gt;="&amp;'Hypotheses expl (2)'!I3,MOD!$D$3:$D$33,"&lt;="&amp;'Hypotheses expl (2)'!I3)+SUMIFS(MOD!$K$3:$K$33,MOD!$H$3:$H$33,"Documentation",MOD!$E$3:$E$33,"&gt;="&amp;'Hypotheses expl (2)'!I3,MOD!$D$3:$D$33,"&lt;="&amp;'Hypotheses expl (2)'!I3)</f>
        <v>47305.138465999997</v>
      </c>
      <c r="J143" s="153">
        <f>+SUMIFS(MOD!$K$3:$K$33,MOD!$H$3:$H$33,"Formation",MOD!$E$3:$E$33,"&gt;="&amp;'Hypotheses expl (2)'!J3,MOD!$D$3:$D$33,"&lt;="&amp;'Hypotheses expl (2)'!J3)+SUMIFS(MOD!$K$3:$K$33,MOD!$H$3:$H$33,"Documentation",MOD!$E$3:$E$33,"&gt;="&amp;'Hypotheses expl (2)'!J3,MOD!$D$3:$D$33,"&lt;="&amp;'Hypotheses expl (2)'!J3)</f>
        <v>47305.138465999997</v>
      </c>
      <c r="K143" s="153">
        <f>+SUMIFS(MOD!$K$3:$K$33,MOD!$H$3:$H$33,"Formation",MOD!$E$3:$E$33,"&gt;="&amp;'Hypotheses expl (2)'!K3,MOD!$D$3:$D$33,"&lt;="&amp;'Hypotheses expl (2)'!K3)+SUMIFS(MOD!$K$3:$K$33,MOD!$H$3:$H$33,"Documentation",MOD!$E$3:$E$33,"&gt;="&amp;'Hypotheses expl (2)'!K3,MOD!$D$3:$D$33,"&lt;="&amp;'Hypotheses expl (2)'!K3)</f>
        <v>47305.138465999997</v>
      </c>
      <c r="L143" s="153">
        <f>+SUMIFS(MOD!$K$3:$K$33,MOD!$H$3:$H$33,"Formation",MOD!$E$3:$E$33,"&gt;="&amp;'Hypotheses expl (2)'!L3,MOD!$D$3:$D$33,"&lt;="&amp;'Hypotheses expl (2)'!L3)+SUMIFS(MOD!$K$3:$K$33,MOD!$H$3:$H$33,"Documentation",MOD!$E$3:$E$33,"&gt;="&amp;'Hypotheses expl (2)'!L3,MOD!$D$3:$D$33,"&lt;="&amp;'Hypotheses expl (2)'!L3)</f>
        <v>53523.228465999993</v>
      </c>
      <c r="M143" s="153">
        <f>+SUMIFS(MOD!$K$3:$K$33,MOD!$H$3:$H$33,"Formation",MOD!$E$3:$E$33,"&gt;="&amp;'Hypotheses expl (2)'!M3,MOD!$D$3:$D$33,"&lt;="&amp;'Hypotheses expl (2)'!M3)+SUMIFS(MOD!$K$3:$K$33,MOD!$H$3:$H$33,"Documentation",MOD!$E$3:$E$33,"&gt;="&amp;'Hypotheses expl (2)'!M3,MOD!$D$3:$D$33,"&lt;="&amp;'Hypotheses expl (2)'!M3)</f>
        <v>53523.228465999993</v>
      </c>
      <c r="N143" s="153">
        <f>+SUMIFS(MOD!$K$3:$K$33,MOD!$H$3:$H$33,"Formation",MOD!$E$3:$E$33,"&gt;="&amp;'Hypotheses expl (2)'!N3,MOD!$D$3:$D$33,"&lt;="&amp;'Hypotheses expl (2)'!N3)+SUMIFS(MOD!$K$3:$K$33,MOD!$H$3:$H$33,"Documentation",MOD!$E$3:$E$33,"&gt;="&amp;'Hypotheses expl (2)'!N3,MOD!$D$3:$D$33,"&lt;="&amp;'Hypotheses expl (2)'!N3)</f>
        <v>53523.228465999993</v>
      </c>
      <c r="O143" s="135">
        <f t="shared" si="170"/>
        <v>608384.65159199992</v>
      </c>
      <c r="P143" s="132" t="s">
        <v>179</v>
      </c>
      <c r="R143" s="94" t="s">
        <v>108</v>
      </c>
      <c r="S143" s="95">
        <v>187402</v>
      </c>
      <c r="T143" s="94" t="s">
        <v>110</v>
      </c>
      <c r="U143" s="95">
        <v>154263</v>
      </c>
      <c r="V143" s="94" t="s">
        <v>126</v>
      </c>
      <c r="W143" s="95">
        <v>86691</v>
      </c>
      <c r="X143" s="94" t="s">
        <v>111</v>
      </c>
      <c r="Y143" s="95">
        <v>129724.58</v>
      </c>
      <c r="Z143" s="94" t="s">
        <v>183</v>
      </c>
      <c r="AA143" s="95">
        <v>31649.799999999999</v>
      </c>
      <c r="AB143" s="136"/>
      <c r="AC143" s="156"/>
    </row>
    <row r="144">
      <c r="A144" s="133"/>
      <c r="B144" s="86" t="s">
        <v>266</v>
      </c>
      <c r="C144" s="153">
        <f>+SUMIFS(MOD!$K$3:$K$33,MOD!$H$3:$H$33,"Administratif",MOD!$E$3:$E$33,"&gt;"&amp;'Hypotheses expl (2)'!C3,MOD!$D$3:$D$33,"&lt;="&amp;'Hypotheses expl (2)'!C3)</f>
        <v>20493.669600000001</v>
      </c>
      <c r="D144" s="153">
        <f>+SUMIFS(MOD!$K$3:$K$33,MOD!$H$3:$H$33,"Administratif",MOD!$E$3:$E$33,"&gt;"&amp;'Hypotheses expl (2)'!D3,MOD!$D$3:$D$33,"&lt;="&amp;'Hypotheses expl (2)'!D3)</f>
        <v>20493.669600000001</v>
      </c>
      <c r="E144" s="153">
        <f>+SUMIFS(MOD!$K$3:$K$33,MOD!$H$3:$H$33,"Administratif",MOD!$E$3:$E$33,"&gt;"&amp;'Hypotheses expl (2)'!E3,MOD!$D$3:$D$33,"&lt;="&amp;'Hypotheses expl (2)'!E3)</f>
        <v>20493.669600000001</v>
      </c>
      <c r="F144" s="153">
        <f>+SUMIFS(MOD!$K$3:$K$33,MOD!$H$3:$H$33,"Administratif",MOD!$E$3:$E$33,"&gt;"&amp;'Hypotheses expl (2)'!F3,MOD!$D$3:$D$33,"&lt;="&amp;'Hypotheses expl (2)'!F3)</f>
        <v>20493.669600000001</v>
      </c>
      <c r="G144" s="153">
        <f>+SUMIFS(MOD!$K$3:$K$33,MOD!$H$3:$H$33,"Administratif",MOD!$E$3:$E$33,"&gt;"&amp;'Hypotheses expl (2)'!G3,MOD!$D$3:$D$33,"&lt;="&amp;'Hypotheses expl (2)'!G3)</f>
        <v>20493.669600000001</v>
      </c>
      <c r="H144" s="153">
        <f>+SUMIFS(MOD!$K$3:$K$33,MOD!$H$3:$H$33,"Administratif",MOD!$E$3:$E$33,"&gt;"&amp;'Hypotheses expl (2)'!H3,MOD!$D$3:$D$33,"&lt;="&amp;'Hypotheses expl (2)'!H3)</f>
        <v>20493.669600000001</v>
      </c>
      <c r="I144" s="153">
        <f>+SUMIFS(MOD!$K$3:$K$33,MOD!$H$3:$H$33,"Administratif",MOD!$E$3:$E$33,"&gt;"&amp;'Hypotheses expl (2)'!I3,MOD!$D$3:$D$33,"&lt;="&amp;'Hypotheses expl (2)'!I3)</f>
        <v>20493.669600000001</v>
      </c>
      <c r="J144" s="153">
        <f>+SUMIFS(MOD!$K$3:$K$33,MOD!$H$3:$H$33,"Administratif",MOD!$E$3:$E$33,"&gt;"&amp;'Hypotheses expl (2)'!J3,MOD!$D$3:$D$33,"&lt;="&amp;'Hypotheses expl (2)'!J3)</f>
        <v>20493.669600000001</v>
      </c>
      <c r="K144" s="153">
        <f>+SUMIFS(MOD!$K$3:$K$33,MOD!$H$3:$H$33,"Administratif",MOD!$E$3:$E$33,"&gt;"&amp;'Hypotheses expl (2)'!K3,MOD!$D$3:$D$33,"&lt;="&amp;'Hypotheses expl (2)'!K3)</f>
        <v>20493.669600000001</v>
      </c>
      <c r="L144" s="153">
        <f>+SUMIFS(MOD!$K$3:$K$33,MOD!$H$3:$H$33,"Administratif",MOD!$E$3:$E$33,"&gt;"&amp;'Hypotheses expl (2)'!L3,MOD!$D$3:$D$33,"&lt;="&amp;'Hypotheses expl (2)'!L3)</f>
        <v>20493.669600000001</v>
      </c>
      <c r="M144" s="153">
        <f>+SUMIFS(MOD!$K$3:$K$33,MOD!$H$3:$H$33,"Administratif",MOD!$E$3:$E$33,"&gt;"&amp;'Hypotheses expl (2)'!M3,MOD!$D$3:$D$33,"&lt;="&amp;'Hypotheses expl (2)'!M3)</f>
        <v>20493.669600000001</v>
      </c>
      <c r="N144" s="153">
        <f>+SUMIFS(MOD!$K$3:$K$33,MOD!$H$3:$H$33,"Administratif",MOD!$E$3:$E$33,"&gt;"&amp;'Hypotheses expl (2)'!N3,MOD!$D$3:$D$33,"&lt;="&amp;'Hypotheses expl (2)'!N3)</f>
        <v>20493.669600000001</v>
      </c>
      <c r="O144" s="138">
        <f t="shared" si="170"/>
        <v>245924.03519999995</v>
      </c>
      <c r="P144" s="128" t="s">
        <v>179</v>
      </c>
      <c r="R144" s="94" t="s">
        <v>108</v>
      </c>
      <c r="S144" s="95">
        <f>24836.64*1.02</f>
        <v>25333.372800000001</v>
      </c>
      <c r="T144" s="94" t="s">
        <v>110</v>
      </c>
      <c r="U144" s="95">
        <f>26434.05*1.02</f>
        <v>26962.731</v>
      </c>
      <c r="V144" s="94" t="s">
        <v>126</v>
      </c>
      <c r="W144" s="95">
        <v>12791</v>
      </c>
      <c r="X144" s="94" t="s">
        <v>111</v>
      </c>
      <c r="Y144" s="95">
        <v>27321</v>
      </c>
      <c r="Z144" s="94" t="s">
        <v>183</v>
      </c>
      <c r="AA144" s="95">
        <v>153515.89999999999</v>
      </c>
      <c r="AB144" s="136"/>
      <c r="AC144" s="156"/>
    </row>
    <row r="145" ht="15">
      <c r="A145" s="133"/>
      <c r="B145" s="109" t="s">
        <v>267</v>
      </c>
      <c r="C145" s="120">
        <v>9254.4143999999997</v>
      </c>
      <c r="D145" s="120">
        <v>7194.3563999999997</v>
      </c>
      <c r="E145" s="120">
        <v>9286.1076000000012</v>
      </c>
      <c r="F145" s="120">
        <v>9983.3580000000002</v>
      </c>
      <c r="G145" s="120">
        <v>15482.128199999999</v>
      </c>
      <c r="H145" s="120">
        <v>6671.4186</v>
      </c>
      <c r="I145" s="120">
        <v>507.09120000000001</v>
      </c>
      <c r="J145" s="120">
        <v>0</v>
      </c>
      <c r="K145" s="120">
        <v>15212.735999999999</v>
      </c>
      <c r="L145" s="120">
        <v>10427.0628</v>
      </c>
      <c r="M145" s="120">
        <v>11092.619999999999</v>
      </c>
      <c r="N145" s="120">
        <v>6338.6399999999994</v>
      </c>
      <c r="O145" s="139">
        <f t="shared" si="170"/>
        <v>101449.9332</v>
      </c>
      <c r="P145" s="130" t="s">
        <v>179</v>
      </c>
      <c r="R145" s="94" t="s">
        <v>108</v>
      </c>
      <c r="S145" s="95">
        <f>(2.09/4.02)*O145</f>
        <v>52743.870743283587</v>
      </c>
      <c r="T145" s="94" t="s">
        <v>110</v>
      </c>
      <c r="U145" s="103">
        <f>(0.86/4.02)*O145</f>
        <v>21703.219540298509</v>
      </c>
      <c r="V145" s="94" t="s">
        <v>126</v>
      </c>
      <c r="W145" s="103">
        <f>(0.57/4.02)*O145</f>
        <v>14384.692020895522</v>
      </c>
      <c r="X145" s="94" t="s">
        <v>111</v>
      </c>
      <c r="Y145" s="103">
        <f>(0.5/4.02)*O145</f>
        <v>12618.150895522389</v>
      </c>
      <c r="Z145" s="94" t="s">
        <v>183</v>
      </c>
      <c r="AA145" s="137"/>
      <c r="AB145" s="136"/>
      <c r="AC145" s="156"/>
    </row>
    <row r="146" ht="15">
      <c r="A146" s="133"/>
      <c r="B146" s="86" t="s">
        <v>268</v>
      </c>
      <c r="C146" s="153">
        <f>MOD!$M$35*C143</f>
        <v>15131.769927355494</v>
      </c>
      <c r="D146" s="153">
        <f>MOD!$M$35*D143</f>
        <v>15921.136291105819</v>
      </c>
      <c r="E146" s="153">
        <f>MOD!$M$35*E143</f>
        <v>15921.136291105819</v>
      </c>
      <c r="F146" s="153">
        <f>MOD!$M$35*F143</f>
        <v>15921.136291105819</v>
      </c>
      <c r="G146" s="153">
        <f>MOD!$M$35*G143</f>
        <v>15921.136291105819</v>
      </c>
      <c r="H146" s="153">
        <f>MOD!$M$35*H143</f>
        <v>15921.136291105819</v>
      </c>
      <c r="I146" s="153">
        <f>MOD!$M$35*I143</f>
        <v>14650.457131831461</v>
      </c>
      <c r="J146" s="153">
        <f>MOD!$M$35*J143</f>
        <v>14650.457131831461</v>
      </c>
      <c r="K146" s="153">
        <f>MOD!$M$35*K143</f>
        <v>14650.457131831461</v>
      </c>
      <c r="L146" s="153">
        <f>MOD!$M$35*L143</f>
        <v>16576.206932824967</v>
      </c>
      <c r="M146" s="153">
        <f>MOD!$M$35*M143</f>
        <v>16576.206932824967</v>
      </c>
      <c r="N146" s="153">
        <f>MOD!$M$35*N143</f>
        <v>16576.206932824967</v>
      </c>
      <c r="O146" s="135">
        <f t="shared" si="170"/>
        <v>188417.4435768539</v>
      </c>
      <c r="P146" s="132" t="s">
        <v>191</v>
      </c>
      <c r="R146" s="94" t="s">
        <v>108</v>
      </c>
      <c r="S146" s="95">
        <f>MOD!$M$35*S143</f>
        <v>58038.620252486791</v>
      </c>
      <c r="T146" s="94" t="s">
        <v>110</v>
      </c>
      <c r="U146" s="95">
        <f>MOD!$M$35*U143</f>
        <v>47775.43289831149</v>
      </c>
      <c r="V146" s="94" t="s">
        <v>126</v>
      </c>
      <c r="W146" s="95">
        <f>MOD!$M$35*W143</f>
        <v>26848.304864987207</v>
      </c>
      <c r="X146" s="94" t="s">
        <v>111</v>
      </c>
      <c r="Y146" s="95">
        <f>MOD!$M$35*Y143</f>
        <v>40175.855305884375</v>
      </c>
      <c r="Z146" s="94" t="s">
        <v>183</v>
      </c>
      <c r="AA146" s="95">
        <f>MOD!$M$35*AA143</f>
        <v>9801.9803591592208</v>
      </c>
      <c r="AB146" s="136"/>
      <c r="AC146" s="156"/>
    </row>
    <row r="147">
      <c r="A147" s="133"/>
      <c r="B147" s="86" t="s">
        <v>269</v>
      </c>
      <c r="C147" s="153">
        <f>MOD!$M$36*C144</f>
        <v>8439.4312979044425</v>
      </c>
      <c r="D147" s="153">
        <f>MOD!$M$36*D144</f>
        <v>8439.4312979044425</v>
      </c>
      <c r="E147" s="153">
        <f>MOD!$M$36*E144</f>
        <v>8439.4312979044425</v>
      </c>
      <c r="F147" s="153">
        <f>MOD!$M$36*F144</f>
        <v>8439.4312979044425</v>
      </c>
      <c r="G147" s="153">
        <f>MOD!$M$36*G144</f>
        <v>8439.4312979044425</v>
      </c>
      <c r="H147" s="153">
        <f>MOD!$M$36*H144</f>
        <v>8439.4312979044425</v>
      </c>
      <c r="I147" s="153">
        <f>MOD!$M$36*I144</f>
        <v>8439.4312979044425</v>
      </c>
      <c r="J147" s="153">
        <f>MOD!$M$36*J144</f>
        <v>8439.4312979044425</v>
      </c>
      <c r="K147" s="153">
        <f>MOD!$M$36*K144</f>
        <v>8439.4312979044425</v>
      </c>
      <c r="L147" s="153">
        <f>MOD!$M$36*L144</f>
        <v>8439.4312979044425</v>
      </c>
      <c r="M147" s="153">
        <f>MOD!$M$36*M144</f>
        <v>8439.4312979044425</v>
      </c>
      <c r="N147" s="153">
        <f>MOD!$M$36*N144</f>
        <v>8439.4312979044425</v>
      </c>
      <c r="O147" s="138">
        <f t="shared" si="170"/>
        <v>101273.17557485333</v>
      </c>
      <c r="P147" s="132" t="s">
        <v>191</v>
      </c>
      <c r="R147" s="94" t="s">
        <v>108</v>
      </c>
      <c r="S147" s="95">
        <f>MOD!$M$36*S144</f>
        <v>10432.453702181336</v>
      </c>
      <c r="T147" s="94" t="s">
        <v>110</v>
      </c>
      <c r="U147" s="95">
        <f>MOD!$M$36*U144</f>
        <v>11103.434393144424</v>
      </c>
      <c r="V147" s="94" t="s">
        <v>126</v>
      </c>
      <c r="W147" s="95">
        <f>MOD!$M$36*W144</f>
        <v>5267.4200296220115</v>
      </c>
      <c r="X147" s="94" t="s">
        <v>111</v>
      </c>
      <c r="Y147" s="95">
        <f>MOD!$M$36*Y144</f>
        <v>11250.971982589552</v>
      </c>
      <c r="Z147" s="94" t="s">
        <v>183</v>
      </c>
      <c r="AA147" s="95">
        <f>MOD!$M$36*AA144</f>
        <v>63218.882536584293</v>
      </c>
      <c r="AB147" s="136"/>
      <c r="AC147" s="156"/>
    </row>
    <row r="148">
      <c r="A148" s="133"/>
      <c r="B148" s="86" t="s">
        <v>270</v>
      </c>
      <c r="C148" s="140">
        <f>C145*0.4</f>
        <v>3701.7657600000002</v>
      </c>
      <c r="D148" s="140">
        <f t="shared" ref="D148:N148" si="198">D145*0.4</f>
        <v>2877.7425600000001</v>
      </c>
      <c r="E148" s="140">
        <f t="shared" si="198"/>
        <v>3714.4430400000006</v>
      </c>
      <c r="F148" s="140">
        <f t="shared" si="198"/>
        <v>3993.3432000000003</v>
      </c>
      <c r="G148" s="140">
        <f t="shared" si="198"/>
        <v>6192.8512799999999</v>
      </c>
      <c r="H148" s="140">
        <f t="shared" si="198"/>
        <v>2668.5674400000003</v>
      </c>
      <c r="I148" s="140">
        <f t="shared" si="198"/>
        <v>202.83648000000002</v>
      </c>
      <c r="J148" s="140">
        <f t="shared" si="198"/>
        <v>0</v>
      </c>
      <c r="K148" s="140">
        <f t="shared" si="198"/>
        <v>6085.0944</v>
      </c>
      <c r="L148" s="140">
        <f t="shared" si="198"/>
        <v>4170.8251200000004</v>
      </c>
      <c r="M148" s="140">
        <f t="shared" si="198"/>
        <v>4437.0479999999998</v>
      </c>
      <c r="N148" s="140">
        <f t="shared" si="198"/>
        <v>2535.4560000000001</v>
      </c>
      <c r="O148" s="138">
        <f t="shared" si="170"/>
        <v>40579.973280000006</v>
      </c>
      <c r="P148" s="132" t="s">
        <v>191</v>
      </c>
      <c r="R148" s="94" t="s">
        <v>108</v>
      </c>
      <c r="S148" s="95">
        <f>(2.09/4.02)*O148</f>
        <v>21097.548297313435</v>
      </c>
      <c r="T148" s="94" t="s">
        <v>110</v>
      </c>
      <c r="U148" s="103">
        <f>(0.86/4.02)*O148</f>
        <v>8681.2878161194058</v>
      </c>
      <c r="V148" s="94" t="s">
        <v>111</v>
      </c>
      <c r="W148" s="103">
        <f>(0.5/4.02)*O148</f>
        <v>5047.2603582089569</v>
      </c>
      <c r="X148" s="94" t="s">
        <v>126</v>
      </c>
      <c r="Y148" s="103">
        <f>(0.57/4.02)*O148</f>
        <v>5753.876808358209</v>
      </c>
      <c r="Z148" s="136"/>
      <c r="AA148" s="141"/>
      <c r="AB148" s="136"/>
      <c r="AC148" s="137"/>
    </row>
    <row r="149">
      <c r="A149" s="133"/>
      <c r="B149" s="86" t="s">
        <v>271</v>
      </c>
      <c r="C149" s="140">
        <v>2900</v>
      </c>
      <c r="D149" s="140">
        <v>2900</v>
      </c>
      <c r="E149" s="140">
        <v>2900</v>
      </c>
      <c r="F149" s="140">
        <v>2900</v>
      </c>
      <c r="G149" s="140">
        <v>2900</v>
      </c>
      <c r="H149" s="140">
        <v>2900</v>
      </c>
      <c r="I149" s="140">
        <v>2900</v>
      </c>
      <c r="J149" s="140">
        <v>2900</v>
      </c>
      <c r="K149" s="140">
        <v>2900</v>
      </c>
      <c r="L149" s="140">
        <v>2900</v>
      </c>
      <c r="M149" s="140">
        <v>2900</v>
      </c>
      <c r="N149" s="140">
        <v>2900</v>
      </c>
      <c r="O149" s="138">
        <f t="shared" si="170"/>
        <v>34800</v>
      </c>
      <c r="P149" s="132" t="s">
        <v>191</v>
      </c>
      <c r="R149" s="94" t="s">
        <v>183</v>
      </c>
      <c r="S149" s="95">
        <f t="shared" si="172"/>
        <v>34800</v>
      </c>
      <c r="T149" s="136"/>
      <c r="U149" s="137"/>
      <c r="V149" s="136"/>
      <c r="W149" s="137"/>
      <c r="X149" s="136"/>
      <c r="Y149" s="137"/>
      <c r="Z149" s="136"/>
      <c r="AA149" s="137"/>
      <c r="AB149" s="136"/>
      <c r="AC149" s="137"/>
    </row>
    <row r="150">
      <c r="A150" s="133"/>
      <c r="B150" s="86" t="s">
        <v>272</v>
      </c>
      <c r="C150" s="140"/>
      <c r="D150" s="140"/>
      <c r="E150" s="140"/>
      <c r="F150" s="140"/>
      <c r="G150" s="140"/>
      <c r="H150" s="140"/>
      <c r="I150" s="140"/>
      <c r="J150" s="140"/>
      <c r="K150" s="140"/>
      <c r="L150" s="140"/>
      <c r="M150" s="140"/>
      <c r="N150" s="140"/>
      <c r="O150" s="138">
        <f t="shared" si="170"/>
        <v>0</v>
      </c>
      <c r="P150" s="128" t="s">
        <v>179</v>
      </c>
      <c r="R150" s="94"/>
      <c r="S150" s="95"/>
      <c r="T150" s="136"/>
      <c r="U150" s="137"/>
      <c r="V150" s="136"/>
      <c r="W150" s="137"/>
      <c r="X150" s="136"/>
      <c r="Y150" s="137"/>
      <c r="Z150" s="136"/>
      <c r="AA150" s="137"/>
      <c r="AB150" s="136"/>
      <c r="AC150" s="137"/>
    </row>
    <row r="151">
      <c r="A151" s="133"/>
      <c r="B151" s="86" t="s">
        <v>273</v>
      </c>
      <c r="C151" s="140">
        <v>22700</v>
      </c>
      <c r="D151" s="140">
        <v>11300</v>
      </c>
      <c r="E151" s="140"/>
      <c r="F151" s="140"/>
      <c r="G151" s="140"/>
      <c r="H151" s="140">
        <v>50000</v>
      </c>
      <c r="I151" s="140"/>
      <c r="J151" s="140"/>
      <c r="K151" s="140"/>
      <c r="L151" s="140"/>
      <c r="M151" s="140"/>
      <c r="N151" s="140"/>
      <c r="O151" s="138">
        <f t="shared" si="170"/>
        <v>84000</v>
      </c>
      <c r="P151" s="128" t="s">
        <v>191</v>
      </c>
      <c r="Q151" s="65" t="str">
        <f t="shared" si="171"/>
        <v/>
      </c>
      <c r="R151" s="94" t="s">
        <v>126</v>
      </c>
      <c r="S151" s="95">
        <f t="shared" si="172"/>
        <v>84000</v>
      </c>
      <c r="T151" s="136"/>
      <c r="U151" s="137"/>
      <c r="V151" s="136"/>
      <c r="W151" s="137"/>
      <c r="X151" s="136"/>
      <c r="Y151" s="137"/>
      <c r="Z151" s="136"/>
      <c r="AA151" s="137"/>
      <c r="AB151" s="136"/>
      <c r="AC151" s="137"/>
    </row>
    <row r="152">
      <c r="A152" s="133"/>
      <c r="B152" s="86" t="s">
        <v>274</v>
      </c>
      <c r="C152" s="140"/>
      <c r="D152" s="140"/>
      <c r="E152" s="140"/>
      <c r="F152" s="140"/>
      <c r="G152" s="140"/>
      <c r="H152" s="140"/>
      <c r="I152" s="140"/>
      <c r="J152" s="140"/>
      <c r="K152" s="140">
        <v>10800</v>
      </c>
      <c r="L152" s="140"/>
      <c r="M152" s="140"/>
      <c r="N152" s="140"/>
      <c r="O152" s="138">
        <f t="shared" si="170"/>
        <v>10800</v>
      </c>
      <c r="P152" s="128" t="s">
        <v>179</v>
      </c>
      <c r="Q152" s="65" t="str">
        <f t="shared" si="171"/>
        <v/>
      </c>
      <c r="R152" s="94" t="s">
        <v>183</v>
      </c>
      <c r="S152" s="95">
        <f t="shared" si="172"/>
        <v>10800</v>
      </c>
      <c r="T152" s="136"/>
      <c r="U152" s="137"/>
      <c r="V152" s="136"/>
      <c r="W152" s="137"/>
      <c r="X152" s="136"/>
      <c r="Y152" s="137"/>
      <c r="Z152" s="136"/>
      <c r="AA152" s="137"/>
      <c r="AB152" s="136"/>
      <c r="AC152" s="137"/>
    </row>
    <row r="153" ht="15">
      <c r="A153" s="134"/>
      <c r="B153" s="109" t="s">
        <v>275</v>
      </c>
      <c r="C153" s="142">
        <f>25200/12</f>
        <v>2100</v>
      </c>
      <c r="D153" s="142">
        <f t="shared" ref="D153:N153" si="199">25200/12</f>
        <v>2100</v>
      </c>
      <c r="E153" s="142">
        <f t="shared" si="199"/>
        <v>2100</v>
      </c>
      <c r="F153" s="142">
        <f t="shared" si="199"/>
        <v>2100</v>
      </c>
      <c r="G153" s="142">
        <f t="shared" si="199"/>
        <v>2100</v>
      </c>
      <c r="H153" s="142">
        <f t="shared" si="199"/>
        <v>2100</v>
      </c>
      <c r="I153" s="142">
        <f t="shared" si="199"/>
        <v>2100</v>
      </c>
      <c r="J153" s="142">
        <f t="shared" si="199"/>
        <v>2100</v>
      </c>
      <c r="K153" s="142">
        <f t="shared" si="199"/>
        <v>2100</v>
      </c>
      <c r="L153" s="142">
        <f t="shared" si="199"/>
        <v>2100</v>
      </c>
      <c r="M153" s="142">
        <f t="shared" si="199"/>
        <v>2100</v>
      </c>
      <c r="N153" s="142">
        <f t="shared" si="199"/>
        <v>2100</v>
      </c>
      <c r="O153" s="139">
        <f t="shared" si="170"/>
        <v>25200</v>
      </c>
      <c r="P153" s="130" t="s">
        <v>179</v>
      </c>
      <c r="Q153" s="65" t="str">
        <f t="shared" si="171"/>
        <v/>
      </c>
      <c r="R153" s="94" t="s">
        <v>183</v>
      </c>
      <c r="S153" s="95">
        <f t="shared" si="172"/>
        <v>25200</v>
      </c>
      <c r="T153" s="136"/>
      <c r="U153" s="137"/>
      <c r="V153" s="136"/>
      <c r="W153" s="137"/>
      <c r="X153" s="136"/>
      <c r="Y153" s="137"/>
      <c r="Z153" s="136"/>
      <c r="AA153" s="137"/>
      <c r="AB153" s="136"/>
      <c r="AC153" s="137"/>
    </row>
    <row r="154" ht="15">
      <c r="A154" s="125" t="s">
        <v>276</v>
      </c>
      <c r="B154" s="86" t="s">
        <v>277</v>
      </c>
      <c r="C154" s="116"/>
      <c r="D154" s="116"/>
      <c r="E154" s="116"/>
      <c r="F154" s="116"/>
      <c r="G154" s="116"/>
      <c r="H154" s="116"/>
      <c r="I154" s="116"/>
      <c r="J154" s="116"/>
      <c r="K154" s="116"/>
      <c r="L154" s="116"/>
      <c r="M154" s="116"/>
      <c r="N154" s="116">
        <v>25000</v>
      </c>
      <c r="O154" s="135">
        <f t="shared" si="170"/>
        <v>25000</v>
      </c>
      <c r="P154" s="128" t="s">
        <v>179</v>
      </c>
      <c r="Q154" s="65" t="str">
        <f t="shared" si="171"/>
        <v/>
      </c>
      <c r="R154" s="94" t="s">
        <v>183</v>
      </c>
      <c r="S154" s="95">
        <f t="shared" si="172"/>
        <v>25000</v>
      </c>
      <c r="T154" s="94"/>
      <c r="U154" s="96"/>
      <c r="V154" s="94"/>
      <c r="W154" s="96"/>
      <c r="X154" s="94"/>
      <c r="Y154" s="96"/>
      <c r="Z154" s="94"/>
      <c r="AA154" s="96"/>
      <c r="AB154" s="94"/>
      <c r="AC154" s="96"/>
    </row>
    <row r="155">
      <c r="A155" s="127"/>
      <c r="B155" s="86" t="s">
        <v>279</v>
      </c>
      <c r="C155" s="116"/>
      <c r="D155" s="116"/>
      <c r="E155" s="116"/>
      <c r="F155" s="116"/>
      <c r="G155" s="116"/>
      <c r="H155" s="116"/>
      <c r="I155" s="116"/>
      <c r="J155" s="116"/>
      <c r="K155" s="116"/>
      <c r="L155" s="116"/>
      <c r="M155" s="116"/>
      <c r="N155" s="116">
        <v>6900</v>
      </c>
      <c r="O155" s="97">
        <f t="shared" si="170"/>
        <v>6900</v>
      </c>
      <c r="P155" s="128" t="s">
        <v>179</v>
      </c>
      <c r="Q155" s="65" t="str">
        <f t="shared" si="171"/>
        <v/>
      </c>
      <c r="R155" s="94" t="s">
        <v>183</v>
      </c>
      <c r="S155" s="95">
        <f t="shared" si="172"/>
        <v>6900</v>
      </c>
      <c r="T155" s="94"/>
      <c r="U155" s="96"/>
      <c r="V155" s="94"/>
      <c r="W155" s="96"/>
      <c r="X155" s="94"/>
      <c r="Y155" s="96"/>
      <c r="Z155" s="94"/>
      <c r="AA155" s="96"/>
      <c r="AB155" s="94"/>
      <c r="AC155" s="96"/>
    </row>
    <row r="156" ht="15">
      <c r="A156" s="129"/>
      <c r="B156" s="109" t="s">
        <v>280</v>
      </c>
      <c r="C156" s="120"/>
      <c r="D156" s="120"/>
      <c r="E156" s="120"/>
      <c r="F156" s="120"/>
      <c r="G156" s="120"/>
      <c r="H156" s="120"/>
      <c r="I156" s="120"/>
      <c r="J156" s="120"/>
      <c r="K156" s="120"/>
      <c r="L156" s="120"/>
      <c r="M156" s="120"/>
      <c r="N156" s="120"/>
      <c r="O156" s="111">
        <f t="shared" si="170"/>
        <v>0</v>
      </c>
      <c r="P156" s="130" t="s">
        <v>179</v>
      </c>
      <c r="Q156" s="65" t="str">
        <f t="shared" si="171"/>
        <v/>
      </c>
      <c r="R156" s="94"/>
      <c r="S156" s="95"/>
      <c r="T156" s="94"/>
      <c r="U156" s="96"/>
      <c r="V156" s="94"/>
      <c r="W156" s="96"/>
      <c r="X156" s="94"/>
      <c r="Y156" s="96"/>
      <c r="Z156" s="94"/>
      <c r="AA156" s="96"/>
      <c r="AB156" s="94"/>
      <c r="AC156" s="96"/>
    </row>
    <row r="157" ht="15">
      <c r="A157" s="131" t="s">
        <v>281</v>
      </c>
      <c r="B157" s="86" t="s">
        <v>282</v>
      </c>
      <c r="C157" s="116">
        <f>200000*(0.06/12)</f>
        <v>1000</v>
      </c>
      <c r="D157" s="116"/>
      <c r="E157" s="116"/>
      <c r="F157" s="116"/>
      <c r="G157" s="116"/>
      <c r="H157" s="116"/>
      <c r="I157" s="116"/>
      <c r="J157" s="116"/>
      <c r="K157" s="116"/>
      <c r="L157" s="116">
        <f>200000*(0.06/12)</f>
        <v>1000</v>
      </c>
      <c r="M157" s="116">
        <f>200000*(0.06/12)</f>
        <v>1000</v>
      </c>
      <c r="N157" s="116">
        <f>200000*(0.06/12)</f>
        <v>1000</v>
      </c>
      <c r="O157" s="108">
        <f t="shared" si="170"/>
        <v>4000</v>
      </c>
      <c r="P157" s="132" t="s">
        <v>179</v>
      </c>
      <c r="Q157" s="65" t="str">
        <f t="shared" si="171"/>
        <v/>
      </c>
      <c r="R157" s="94" t="s">
        <v>183</v>
      </c>
      <c r="S157" s="95">
        <f t="shared" si="172"/>
        <v>4000</v>
      </c>
      <c r="T157" s="94"/>
      <c r="U157" s="96"/>
      <c r="V157" s="94"/>
      <c r="W157" s="96"/>
      <c r="X157" s="94"/>
      <c r="Y157" s="96"/>
      <c r="Z157" s="94"/>
      <c r="AA157" s="96"/>
      <c r="AB157" s="94"/>
      <c r="AC157" s="96"/>
    </row>
    <row r="158" ht="15">
      <c r="A158" s="134"/>
      <c r="B158" s="109"/>
      <c r="C158" s="120"/>
      <c r="D158" s="120"/>
      <c r="E158" s="120"/>
      <c r="F158" s="120"/>
      <c r="G158" s="120"/>
      <c r="H158" s="120"/>
      <c r="I158" s="120"/>
      <c r="J158" s="120"/>
      <c r="K158" s="120"/>
      <c r="L158" s="120"/>
      <c r="M158" s="120"/>
      <c r="N158" s="120"/>
      <c r="O158" s="111">
        <f t="shared" si="170"/>
        <v>0</v>
      </c>
      <c r="P158" s="130" t="s">
        <v>179</v>
      </c>
      <c r="Q158" s="65" t="str">
        <f t="shared" si="171"/>
        <v/>
      </c>
      <c r="R158" s="94"/>
      <c r="S158" s="95"/>
      <c r="T158" s="94"/>
      <c r="U158" s="96"/>
      <c r="V158" s="94"/>
      <c r="W158" s="96"/>
      <c r="X158" s="94"/>
      <c r="Y158" s="96"/>
      <c r="Z158" s="94"/>
      <c r="AA158" s="96"/>
      <c r="AB158" s="94"/>
      <c r="AC158" s="96"/>
    </row>
    <row r="159" ht="15">
      <c r="A159" s="131" t="s">
        <v>283</v>
      </c>
      <c r="B159" s="86" t="s">
        <v>284</v>
      </c>
      <c r="C159" s="116"/>
      <c r="D159" s="116"/>
      <c r="E159" s="116"/>
      <c r="F159" s="116"/>
      <c r="G159" s="116"/>
      <c r="H159" s="116"/>
      <c r="I159" s="116"/>
      <c r="J159" s="116"/>
      <c r="K159" s="116"/>
      <c r="L159" s="116"/>
      <c r="M159" s="116"/>
      <c r="N159" s="116"/>
      <c r="O159" s="108">
        <f t="shared" si="170"/>
        <v>0</v>
      </c>
      <c r="P159" s="132" t="s">
        <v>179</v>
      </c>
      <c r="Q159" s="65" t="str">
        <f t="shared" si="171"/>
        <v/>
      </c>
      <c r="R159" s="94"/>
      <c r="S159" s="95"/>
      <c r="T159" s="94"/>
      <c r="U159" s="103"/>
      <c r="V159" s="94"/>
      <c r="W159" s="103"/>
      <c r="X159" s="94"/>
      <c r="Y159" s="103"/>
      <c r="Z159" s="94"/>
      <c r="AA159" s="103"/>
      <c r="AB159" s="94"/>
      <c r="AC159" s="103"/>
    </row>
    <row r="160" ht="15">
      <c r="A160" s="134"/>
      <c r="B160" s="109" t="s">
        <v>285</v>
      </c>
      <c r="C160" s="120"/>
      <c r="D160" s="120"/>
      <c r="E160" s="120"/>
      <c r="F160" s="120"/>
      <c r="G160" s="120"/>
      <c r="H160" s="120"/>
      <c r="I160" s="120"/>
      <c r="J160" s="120"/>
      <c r="K160" s="120"/>
      <c r="L160" s="120"/>
      <c r="M160" s="120"/>
      <c r="N160" s="120"/>
      <c r="O160" s="111">
        <f t="shared" si="170"/>
        <v>0</v>
      </c>
      <c r="P160" s="130" t="s">
        <v>179</v>
      </c>
      <c r="Q160" s="65" t="str">
        <f t="shared" si="171"/>
        <v/>
      </c>
      <c r="R160" s="94"/>
      <c r="S160" s="95"/>
      <c r="T160" s="94"/>
      <c r="U160" s="96"/>
      <c r="V160" s="94"/>
      <c r="W160" s="96"/>
      <c r="X160" s="94"/>
      <c r="Y160" s="96"/>
      <c r="Z160" s="94"/>
      <c r="AA160" s="96"/>
      <c r="AB160" s="94"/>
      <c r="AC160" s="96"/>
    </row>
    <row r="161" ht="15">
      <c r="A161" s="131" t="s">
        <v>286</v>
      </c>
      <c r="B161" s="144" t="s">
        <v>287</v>
      </c>
      <c r="C161" s="116"/>
      <c r="D161" s="116"/>
      <c r="E161" s="116"/>
      <c r="F161" s="116"/>
      <c r="G161" s="116"/>
      <c r="H161" s="116"/>
      <c r="I161" s="116"/>
      <c r="J161" s="116"/>
      <c r="K161" s="116"/>
      <c r="L161" s="116"/>
      <c r="M161" s="116"/>
      <c r="N161" s="116">
        <v>33500</v>
      </c>
      <c r="O161" s="108">
        <f t="shared" si="170"/>
        <v>33500</v>
      </c>
      <c r="P161" s="145"/>
      <c r="Q161" s="65" t="str">
        <f t="shared" si="171"/>
        <v/>
      </c>
      <c r="R161" s="94" t="s">
        <v>183</v>
      </c>
      <c r="S161" s="95">
        <f t="shared" si="172"/>
        <v>33500</v>
      </c>
      <c r="T161" s="94"/>
      <c r="U161" s="103"/>
      <c r="V161" s="94"/>
      <c r="W161" s="103"/>
      <c r="X161" s="94"/>
      <c r="Y161" s="103"/>
      <c r="Z161" s="94"/>
      <c r="AA161" s="103"/>
      <c r="AB161" s="94"/>
      <c r="AC161" s="103"/>
    </row>
    <row r="162" ht="15">
      <c r="A162" s="134"/>
      <c r="B162" s="144" t="s">
        <v>288</v>
      </c>
      <c r="C162" s="116"/>
      <c r="D162" s="116"/>
      <c r="E162" s="116"/>
      <c r="F162" s="116"/>
      <c r="G162" s="116"/>
      <c r="H162" s="116"/>
      <c r="I162" s="116"/>
      <c r="J162" s="116"/>
      <c r="K162" s="116"/>
      <c r="L162" s="116"/>
      <c r="M162" s="116"/>
      <c r="N162" s="116"/>
      <c r="O162" s="97">
        <f t="shared" si="170"/>
        <v>0</v>
      </c>
      <c r="P162" s="146"/>
      <c r="Q162" s="65" t="str">
        <f t="shared" si="171"/>
        <v/>
      </c>
      <c r="R162" s="94"/>
      <c r="S162" s="95"/>
      <c r="T162" s="94"/>
      <c r="U162" s="103"/>
      <c r="V162" s="94"/>
      <c r="W162" s="103"/>
      <c r="X162" s="94"/>
      <c r="Y162" s="103"/>
      <c r="Z162" s="94"/>
      <c r="AA162" s="103"/>
      <c r="AB162" s="94"/>
      <c r="AC162" s="103"/>
    </row>
    <row r="163" ht="15.6">
      <c r="A163" s="147" t="s">
        <v>289</v>
      </c>
      <c r="B163" s="148"/>
      <c r="C163" s="149">
        <f t="shared" ref="C163:O163" si="200">SUM(C101:C162)</f>
        <v>258973.67027319991</v>
      </c>
      <c r="D163" s="149">
        <f t="shared" si="200"/>
        <v>152390.24221695028</v>
      </c>
      <c r="E163" s="149">
        <f t="shared" si="200"/>
        <v>155116.55150495027</v>
      </c>
      <c r="F163" s="149">
        <f t="shared" si="200"/>
        <v>217742.65460095025</v>
      </c>
      <c r="G163" s="149">
        <f t="shared" si="200"/>
        <v>163178.67219895025</v>
      </c>
      <c r="H163" s="149">
        <f t="shared" si="200"/>
        <v>193883.91489495029</v>
      </c>
      <c r="I163" s="149">
        <f t="shared" si="200"/>
        <v>190743.25510967587</v>
      </c>
      <c r="J163" s="149">
        <f t="shared" si="200"/>
        <v>120313.08922167591</v>
      </c>
      <c r="K163" s="149">
        <f t="shared" si="200"/>
        <v>178013.06586167592</v>
      </c>
      <c r="L163" s="149">
        <f t="shared" si="200"/>
        <v>167747.78069466937</v>
      </c>
      <c r="M163" s="149">
        <f t="shared" si="200"/>
        <v>209489.56092266939</v>
      </c>
      <c r="N163" s="149">
        <f t="shared" si="200"/>
        <v>208606.13072266939</v>
      </c>
      <c r="O163" s="149">
        <f t="shared" si="200"/>
        <v>2216198.5882229875</v>
      </c>
      <c r="P163" s="150"/>
      <c r="Q163" s="151"/>
    </row>
    <row r="164" ht="15.6"/>
    <row r="165" ht="15.6">
      <c r="A165" s="147" t="s">
        <v>290</v>
      </c>
      <c r="B165" s="148"/>
      <c r="C165" s="149">
        <f t="shared" ref="C165:O165" si="201">C10+C14+C18+C22+C26+C30+C34+C38+C42+C46+C50+C54+C58+C62+C66+SUM(C70:C89)+SUM(C93:C97)</f>
        <v>500</v>
      </c>
      <c r="D165" s="149">
        <f t="shared" si="201"/>
        <v>1235500</v>
      </c>
      <c r="E165" s="149">
        <f t="shared" si="201"/>
        <v>500</v>
      </c>
      <c r="F165" s="149">
        <f t="shared" si="201"/>
        <v>500</v>
      </c>
      <c r="G165" s="149">
        <f t="shared" si="201"/>
        <v>36180</v>
      </c>
      <c r="H165" s="149">
        <f t="shared" si="201"/>
        <v>56500</v>
      </c>
      <c r="I165" s="149">
        <f t="shared" si="201"/>
        <v>345500</v>
      </c>
      <c r="J165" s="149">
        <f t="shared" si="201"/>
        <v>500</v>
      </c>
      <c r="K165" s="149">
        <f t="shared" si="201"/>
        <v>132910</v>
      </c>
      <c r="L165" s="149">
        <f t="shared" si="201"/>
        <v>84760</v>
      </c>
      <c r="M165" s="149">
        <f t="shared" si="201"/>
        <v>31130</v>
      </c>
      <c r="N165" s="149">
        <f t="shared" si="201"/>
        <v>368385</v>
      </c>
      <c r="O165" s="149">
        <f t="shared" si="201"/>
        <v>2342865</v>
      </c>
      <c r="P165" s="150"/>
      <c r="Q165" s="151"/>
    </row>
    <row r="166" ht="15.6"/>
    <row r="167" ht="15.6">
      <c r="A167" s="147" t="s">
        <v>291</v>
      </c>
      <c r="B167" s="148"/>
      <c r="C167" s="149">
        <f>C165-C163</f>
        <v>-258473.67027319991</v>
      </c>
      <c r="D167" s="149">
        <f t="shared" ref="D167:N167" si="202">D165-D163</f>
        <v>1083109.7577830497</v>
      </c>
      <c r="E167" s="149">
        <f t="shared" si="202"/>
        <v>-154616.55150495027</v>
      </c>
      <c r="F167" s="149">
        <f>F165-F163</f>
        <v>-217242.65460095025</v>
      </c>
      <c r="G167" s="149">
        <f t="shared" si="202"/>
        <v>-126998.67219895025</v>
      </c>
      <c r="H167" s="149">
        <f t="shared" si="202"/>
        <v>-137383.91489495029</v>
      </c>
      <c r="I167" s="149">
        <f>I165-I163</f>
        <v>154756.74489032413</v>
      </c>
      <c r="J167" s="149">
        <f t="shared" si="202"/>
        <v>-119813.08922167591</v>
      </c>
      <c r="K167" s="149">
        <f t="shared" si="202"/>
        <v>-45103.065861675917</v>
      </c>
      <c r="L167" s="149">
        <f t="shared" si="202"/>
        <v>-82987.780694669374</v>
      </c>
      <c r="M167" s="149">
        <f t="shared" si="202"/>
        <v>-178359.56092266939</v>
      </c>
      <c r="N167" s="149">
        <f t="shared" si="202"/>
        <v>159778.86927733061</v>
      </c>
      <c r="O167" s="149">
        <f>O165-O163</f>
        <v>126666.41177701252</v>
      </c>
      <c r="P167" s="150"/>
      <c r="Q167" s="151"/>
    </row>
    <row r="168" ht="15"/>
    <row r="169">
      <c r="O169" s="152"/>
    </row>
  </sheetData>
  <mergeCells count="27">
    <mergeCell ref="A22:B22"/>
    <mergeCell ref="A2:B2"/>
    <mergeCell ref="C5:N5"/>
    <mergeCell ref="A10:B10"/>
    <mergeCell ref="A14:B14"/>
    <mergeCell ref="A18:B18"/>
    <mergeCell ref="C68:N68"/>
    <mergeCell ref="A26:B26"/>
    <mergeCell ref="A30:B30"/>
    <mergeCell ref="A34:B34"/>
    <mergeCell ref="A38:B38"/>
    <mergeCell ref="A42:B42"/>
    <mergeCell ref="A46:B46"/>
    <mergeCell ref="A50:B50"/>
    <mergeCell ref="A54:B54"/>
    <mergeCell ref="A58:B58"/>
    <mergeCell ref="A62:B62"/>
    <mergeCell ref="A66:B66"/>
    <mergeCell ref="A157:A158"/>
    <mergeCell ref="A159:A160"/>
    <mergeCell ref="A161:A162"/>
    <mergeCell ref="C91:N91"/>
    <mergeCell ref="C99:N99"/>
    <mergeCell ref="A101:A136"/>
    <mergeCell ref="A137:A142"/>
    <mergeCell ref="A143:A153"/>
    <mergeCell ref="A154:A156"/>
  </mergeCells>
  <dataValidations count="1" disablePrompts="0">
    <dataValidation sqref="AB:AB R:R T2:T1048576 V:V X:X Z:Z" type="list" allowBlank="1" errorStyle="stop" imeMode="noControl" operator="between" showDropDown="0" showErrorMessage="1" showInputMessage="1">
      <formula1>BDD!$A$2:$A$6</formula1>
    </dataValidation>
  </dataValidations>
  <printOptions headings="0" gridLines="0"/>
  <pageMargins left="0.69999999999999996" right="0.69999999999999996" top="0.75" bottom="0.75" header="0.29999999999999999" footer="0.29999999999999999"/>
  <pageSetup paperSize="9" scale="100" fitToWidth="1" fitToHeight="1" pageOrder="downThenOver" orientation="portrait" usePrinterDefaults="1" blackAndWhite="0" draft="0" cellComments="none" useFirstPageNumber="0" errors="displayed" horizontalDpi="600" verticalDpi="300" copies="1"/>
  <headerFooter/>
  <drawing r:id="rId3"/>
  <legacyDrawing r:id="rId4"/>
  <extLst>
    <ext xmlns:x14="http://schemas.microsoft.com/office/spreadsheetml/2009/9/main" uri="{78C0D931-6437-407d-A8EE-F0AAD7539E65}">
      <x14:conditionalFormattings>
        <x14:conditionalFormatting xmlns:xm="http://schemas.microsoft.com/office/excel/2006/main">
          <x14:cfRule type="cellIs" priority="5" operator="equal" id="{009100E0-0008-472E-BD00-002B00E20000}">
            <xm:f>"x"</xm:f>
            <x14:dxf>
              <font>
                <color rgb="FFC00000"/>
              </font>
              <fill>
                <patternFill patternType="solid">
                  <fgColor rgb="FFC00000"/>
                  <bgColor rgb="FFC00000"/>
                </patternFill>
              </fill>
            </x14:dxf>
          </x14:cfRule>
          <xm:sqref>Q1:Q2 Q4:Q1048576</xm:sqref>
        </x14:conditionalFormatting>
      </x14:conditionalFormattings>
    </ext>
    <ext xmlns:x14="http://schemas.microsoft.com/office/spreadsheetml/2009/9/main" uri="{CCE6A557-97BC-4b89-ADB6-D9C93CAAB3DF}">
      <x14:dataValidations xmlns:xm="http://schemas.microsoft.com/office/excel/2006/main" count="1" disablePrompts="0">
        <x14:dataValidation xr:uid="{001800A2-002A-4BC4-A678-008900E20056}" type="list" allowBlank="1" errorStyle="stop" imeMode="noControl" operator="between" showDropDown="0" showErrorMessage="1" showInputMessage="1">
          <x14:formula1>
            <xm:f>"0j,30j,60j"</xm:f>
          </x14:formula1>
          <xm:sqref>P:P</xm:sqref>
        </x14:dataValidation>
      </x14:dataValidations>
    </ext>
  </extLst>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sheetViews>
    <sheetView topLeftCell="A3" zoomScale="70" workbookViewId="0">
      <selection activeCell="G43" activeCellId="0" sqref="G43"/>
    </sheetView>
  </sheetViews>
  <sheetFormatPr baseColWidth="10" defaultColWidth="10.6640625" defaultRowHeight="14.4"/>
  <cols>
    <col customWidth="1" min="1" max="1" style="36" width="45.44140625"/>
    <col customWidth="1" min="2" max="2" style="36" width="26.33203125"/>
    <col customWidth="1" min="3" max="10" style="36" width="13.6640625"/>
    <col customWidth="1" min="11" max="11" style="36" width="16.109375"/>
    <col customWidth="1" min="12" max="12" style="36" width="13.6640625"/>
    <col customWidth="1" min="13" max="13" style="36" width="18.88671875"/>
    <col customWidth="1" min="14" max="14" style="36" width="17.109375"/>
    <col min="15" max="16384" style="36" width="10.6640625"/>
  </cols>
  <sheetData>
    <row r="1" ht="21">
      <c r="A1" s="68" t="s">
        <v>161</v>
      </c>
      <c r="B1" s="157">
        <f>'Hypotheses expl'!B1</f>
        <v>44927</v>
      </c>
    </row>
    <row r="2" ht="21">
      <c r="A2" s="72" t="s">
        <v>296</v>
      </c>
      <c r="B2" s="72"/>
    </row>
    <row r="3">
      <c r="C3" s="74">
        <f>B1</f>
        <v>44927</v>
      </c>
      <c r="D3" s="74">
        <f>DATE(YEAR(C3),MONTH(C3)+1,DAY(C3))</f>
        <v>44958</v>
      </c>
      <c r="E3" s="74">
        <f t="shared" ref="E3:N3" si="203">DATE(YEAR(D3),MONTH(D3)+1,DAY(D3))</f>
        <v>44986</v>
      </c>
      <c r="F3" s="74">
        <f t="shared" si="203"/>
        <v>45017</v>
      </c>
      <c r="G3" s="74">
        <f t="shared" si="203"/>
        <v>45047</v>
      </c>
      <c r="H3" s="74">
        <f t="shared" si="203"/>
        <v>45078</v>
      </c>
      <c r="I3" s="74">
        <f t="shared" si="203"/>
        <v>45108</v>
      </c>
      <c r="J3" s="74">
        <f t="shared" si="203"/>
        <v>45139</v>
      </c>
      <c r="K3" s="74">
        <f t="shared" si="203"/>
        <v>45170</v>
      </c>
      <c r="L3" s="74">
        <f t="shared" si="203"/>
        <v>45200</v>
      </c>
      <c r="M3" s="74">
        <f t="shared" si="203"/>
        <v>45231</v>
      </c>
      <c r="N3" s="74">
        <f t="shared" si="203"/>
        <v>45261</v>
      </c>
    </row>
    <row r="4" ht="35.700000000000003" customHeight="1">
      <c r="A4" s="81" t="s">
        <v>297</v>
      </c>
      <c r="B4" s="158"/>
      <c r="C4" s="83"/>
      <c r="D4" s="83"/>
      <c r="E4" s="83"/>
      <c r="F4" s="83"/>
      <c r="G4" s="83"/>
      <c r="H4" s="83"/>
      <c r="I4" s="83"/>
      <c r="J4" s="83"/>
      <c r="K4" s="83"/>
      <c r="L4" s="83"/>
      <c r="M4" s="83"/>
      <c r="N4" s="83"/>
    </row>
    <row r="5" ht="15">
      <c r="A5" s="159" t="s">
        <v>298</v>
      </c>
      <c r="B5" s="159"/>
      <c r="C5" s="160"/>
      <c r="D5" s="160"/>
      <c r="E5" s="160"/>
      <c r="F5" s="160"/>
      <c r="G5" s="160"/>
      <c r="H5" s="160"/>
      <c r="I5" s="160"/>
      <c r="J5" s="160"/>
      <c r="K5" s="160"/>
      <c r="L5" s="160"/>
      <c r="M5" s="160"/>
      <c r="N5" s="160"/>
    </row>
    <row r="6">
      <c r="A6" s="161" t="s">
        <v>299</v>
      </c>
      <c r="B6" s="161"/>
      <c r="C6" s="162"/>
      <c r="D6" s="162"/>
      <c r="E6" s="162"/>
      <c r="F6" s="162"/>
      <c r="G6" s="162"/>
      <c r="H6" s="162"/>
      <c r="I6" s="162"/>
      <c r="J6" s="162"/>
      <c r="K6" s="162"/>
      <c r="L6" s="162"/>
      <c r="M6" s="162"/>
      <c r="N6" s="162"/>
    </row>
    <row r="7" ht="15">
      <c r="A7" s="163" t="s">
        <v>300</v>
      </c>
      <c r="B7" s="163"/>
      <c r="C7" s="164"/>
      <c r="D7" s="164"/>
      <c r="E7" s="164"/>
      <c r="F7" s="164"/>
      <c r="G7" s="164"/>
      <c r="H7" s="164"/>
      <c r="I7" s="164"/>
      <c r="J7" s="164"/>
      <c r="K7" s="164"/>
      <c r="L7" s="164"/>
      <c r="M7" s="164"/>
      <c r="N7" s="164"/>
    </row>
    <row r="8" ht="15">
      <c r="C8" s="165"/>
      <c r="D8" s="165"/>
      <c r="E8" s="165"/>
      <c r="F8" s="165"/>
      <c r="G8" s="165"/>
      <c r="H8" s="165"/>
      <c r="I8" s="165"/>
      <c r="J8" s="165"/>
      <c r="K8" s="165"/>
      <c r="L8" s="165"/>
      <c r="M8" s="165"/>
      <c r="N8" s="165"/>
    </row>
    <row r="9" ht="15">
      <c r="A9" s="81" t="s">
        <v>301</v>
      </c>
      <c r="B9" s="158"/>
      <c r="C9" s="166"/>
      <c r="D9" s="166"/>
      <c r="E9" s="166"/>
      <c r="F9" s="166"/>
      <c r="G9" s="166"/>
      <c r="H9" s="166"/>
      <c r="I9" s="166"/>
      <c r="J9" s="166"/>
      <c r="K9" s="166"/>
      <c r="L9" s="166"/>
      <c r="M9" s="166"/>
      <c r="N9" s="166"/>
    </row>
    <row r="10" ht="15">
      <c r="A10" s="159" t="s">
        <v>302</v>
      </c>
      <c r="B10" s="159"/>
      <c r="C10" s="160"/>
      <c r="D10" s="160"/>
      <c r="E10" s="160"/>
      <c r="F10" s="160"/>
      <c r="G10" s="160"/>
      <c r="H10" s="160"/>
      <c r="I10" s="160"/>
      <c r="J10" s="160"/>
      <c r="K10" s="160"/>
      <c r="L10" s="160"/>
      <c r="M10" s="160"/>
      <c r="N10" s="160"/>
    </row>
    <row r="11">
      <c r="A11" s="161" t="s">
        <v>303</v>
      </c>
      <c r="B11" s="161"/>
      <c r="C11" s="162"/>
      <c r="D11" s="162"/>
      <c r="E11" s="162">
        <v>60000</v>
      </c>
      <c r="F11" s="162"/>
      <c r="G11" s="162"/>
      <c r="H11" s="162"/>
      <c r="I11" s="162"/>
      <c r="J11" s="162"/>
      <c r="K11" s="162"/>
      <c r="L11" s="162"/>
      <c r="M11" s="162"/>
      <c r="N11" s="162"/>
    </row>
    <row r="12">
      <c r="A12" s="167" t="s">
        <v>304</v>
      </c>
      <c r="B12" s="167"/>
      <c r="C12" s="168">
        <f>IFERROR('Compte résultat prévi'!$C$156*(SUM('Hypotheses expl'!C10,'Hypotheses expl'!C14,'Hypotheses expl'!C18,'Hypotheses expl'!C22,'Hypotheses expl'!C26,'Hypotheses expl'!C30,'Hypotheses expl'!C34,'Hypotheses expl'!C42,'Hypotheses expl'!C38,'Hypotheses expl'!C46,'Hypotheses expl'!C50,'Hypotheses expl'!C54,'Hypotheses expl'!C58,'Hypotheses expl'!C62,'Hypotheses expl'!C66)/SUM('Hypotheses expl'!$O$10,'Hypotheses expl'!$O$14,'Hypotheses expl'!$O$18,'Hypotheses expl'!$O$22,'Hypotheses expl'!$O$26,'Hypotheses expl'!$O$30,'Hypotheses expl'!$O$34,'Hypotheses expl'!$O$42,'Hypotheses expl'!$O$38,'Hypotheses expl'!$O$46,'Hypotheses expl'!$O$50,'Hypotheses expl'!$O$54,'Hypotheses expl'!$O$58,'Hypotheses expl'!$O$62,'Hypotheses expl'!$O$66)),0)</f>
        <v>0</v>
      </c>
      <c r="D12" s="168">
        <f>IFERROR('Compte résultat prévi'!$C$156*(SUM('Hypotheses expl'!D10,'Hypotheses expl'!D14,'Hypotheses expl'!D18,'Hypotheses expl'!D22,'Hypotheses expl'!D26,'Hypotheses expl'!D30,'Hypotheses expl'!D34,'Hypotheses expl'!D42,'Hypotheses expl'!D38,'Hypotheses expl'!D46,'Hypotheses expl'!D50,'Hypotheses expl'!D54,'Hypotheses expl'!D58,'Hypotheses expl'!D62,'Hypotheses expl'!D66)/SUM('Hypotheses expl'!$O$10,'Hypotheses expl'!$O$14,'Hypotheses expl'!$O$18,'Hypotheses expl'!$O$22,'Hypotheses expl'!$O$26,'Hypotheses expl'!$O$30,'Hypotheses expl'!$O$34,'Hypotheses expl'!$O$42,'Hypotheses expl'!$O$38,'Hypotheses expl'!$O$46,'Hypotheses expl'!$O$50,'Hypotheses expl'!$O$54,'Hypotheses expl'!$O$58,'Hypotheses expl'!$O$62,'Hypotheses expl'!$O$66)),0)</f>
        <v>0</v>
      </c>
      <c r="E12" s="168">
        <f>IFERROR('Compte résultat prévi'!$C$156*(SUM('Hypotheses expl'!E10,'Hypotheses expl'!E14,'Hypotheses expl'!E18,'Hypotheses expl'!E22,'Hypotheses expl'!E26,'Hypotheses expl'!E30,'Hypotheses expl'!E34,'Hypotheses expl'!E42,'Hypotheses expl'!E38,'Hypotheses expl'!E46,'Hypotheses expl'!E50,'Hypotheses expl'!E54,'Hypotheses expl'!E58,'Hypotheses expl'!E62,'Hypotheses expl'!E66)/SUM('Hypotheses expl'!$O$10,'Hypotheses expl'!$O$14,'Hypotheses expl'!$O$18,'Hypotheses expl'!$O$22,'Hypotheses expl'!$O$26,'Hypotheses expl'!$O$30,'Hypotheses expl'!$O$34,'Hypotheses expl'!$O$42,'Hypotheses expl'!$O$38,'Hypotheses expl'!$O$46,'Hypotheses expl'!$O$50,'Hypotheses expl'!$O$54,'Hypotheses expl'!$O$58,'Hypotheses expl'!$O$62,'Hypotheses expl'!$O$66)),0)</f>
        <v>0</v>
      </c>
      <c r="F12" s="168">
        <f>IFERROR('Compte résultat prévi'!$C$156*(SUM('Hypotheses expl'!F10,'Hypotheses expl'!F14,'Hypotheses expl'!F18,'Hypotheses expl'!F22,'Hypotheses expl'!F26,'Hypotheses expl'!F30,'Hypotheses expl'!F34,'Hypotheses expl'!F42,'Hypotheses expl'!F38,'Hypotheses expl'!F46,'Hypotheses expl'!F50,'Hypotheses expl'!F54,'Hypotheses expl'!F58,'Hypotheses expl'!F62,'Hypotheses expl'!F66)/SUM('Hypotheses expl'!$O$10,'Hypotheses expl'!$O$14,'Hypotheses expl'!$O$18,'Hypotheses expl'!$O$22,'Hypotheses expl'!$O$26,'Hypotheses expl'!$O$30,'Hypotheses expl'!$O$34,'Hypotheses expl'!$O$42,'Hypotheses expl'!$O$38,'Hypotheses expl'!$O$46,'Hypotheses expl'!$O$50,'Hypotheses expl'!$O$54,'Hypotheses expl'!$O$58,'Hypotheses expl'!$O$62,'Hypotheses expl'!$O$66)),0)</f>
        <v>0</v>
      </c>
      <c r="G12" s="168">
        <f>IFERROR('Compte résultat prévi'!$C$156*(SUM('Hypotheses expl'!G10,'Hypotheses expl'!G14,'Hypotheses expl'!G18,'Hypotheses expl'!G22,'Hypotheses expl'!G26,'Hypotheses expl'!G30,'Hypotheses expl'!G34,'Hypotheses expl'!G42,'Hypotheses expl'!G38,'Hypotheses expl'!G46,'Hypotheses expl'!G50,'Hypotheses expl'!G54,'Hypotheses expl'!G58,'Hypotheses expl'!G62,'Hypotheses expl'!G66)/SUM('Hypotheses expl'!$O$10,'Hypotheses expl'!$O$14,'Hypotheses expl'!$O$18,'Hypotheses expl'!$O$22,'Hypotheses expl'!$O$26,'Hypotheses expl'!$O$30,'Hypotheses expl'!$O$34,'Hypotheses expl'!$O$42,'Hypotheses expl'!$O$38,'Hypotheses expl'!$O$46,'Hypotheses expl'!$O$50,'Hypotheses expl'!$O$54,'Hypotheses expl'!$O$58,'Hypotheses expl'!$O$62,'Hypotheses expl'!$O$66)),0)</f>
        <v>0</v>
      </c>
      <c r="H12" s="168">
        <f>IFERROR('Compte résultat prévi'!$C$156*(SUM('Hypotheses expl'!H10,'Hypotheses expl'!H14,'Hypotheses expl'!H18,'Hypotheses expl'!H22,'Hypotheses expl'!H26,'Hypotheses expl'!H30,'Hypotheses expl'!H34,'Hypotheses expl'!H42,'Hypotheses expl'!H38,'Hypotheses expl'!H46,'Hypotheses expl'!H50,'Hypotheses expl'!H54,'Hypotheses expl'!H58,'Hypotheses expl'!H62,'Hypotheses expl'!H66)/SUM('Hypotheses expl'!$O$10,'Hypotheses expl'!$O$14,'Hypotheses expl'!$O$18,'Hypotheses expl'!$O$22,'Hypotheses expl'!$O$26,'Hypotheses expl'!$O$30,'Hypotheses expl'!$O$34,'Hypotheses expl'!$O$42,'Hypotheses expl'!$O$38,'Hypotheses expl'!$O$46,'Hypotheses expl'!$O$50,'Hypotheses expl'!$O$54,'Hypotheses expl'!$O$58,'Hypotheses expl'!$O$62,'Hypotheses expl'!$O$66)),0)</f>
        <v>0</v>
      </c>
      <c r="I12" s="168">
        <f>IFERROR('Compte résultat prévi'!$C$156*(SUM('Hypotheses expl'!I10,'Hypotheses expl'!I14,'Hypotheses expl'!I18,'Hypotheses expl'!I22,'Hypotheses expl'!I26,'Hypotheses expl'!I30,'Hypotheses expl'!I34,'Hypotheses expl'!I42,'Hypotheses expl'!I38,'Hypotheses expl'!I46,'Hypotheses expl'!I50,'Hypotheses expl'!I54,'Hypotheses expl'!I58,'Hypotheses expl'!I62,'Hypotheses expl'!I66)/SUM('Hypotheses expl'!$O$10,'Hypotheses expl'!$O$14,'Hypotheses expl'!$O$18,'Hypotheses expl'!$O$22,'Hypotheses expl'!$O$26,'Hypotheses expl'!$O$30,'Hypotheses expl'!$O$34,'Hypotheses expl'!$O$42,'Hypotheses expl'!$O$38,'Hypotheses expl'!$O$46,'Hypotheses expl'!$O$50,'Hypotheses expl'!$O$54,'Hypotheses expl'!$O$58,'Hypotheses expl'!$O$62,'Hypotheses expl'!$O$66)),0)</f>
        <v>0</v>
      </c>
      <c r="J12" s="168">
        <f>IFERROR('Compte résultat prévi'!$C$156*(SUM('Hypotheses expl'!J10,'Hypotheses expl'!J14,'Hypotheses expl'!J18,'Hypotheses expl'!J22,'Hypotheses expl'!J26,'Hypotheses expl'!J30,'Hypotheses expl'!J34,'Hypotheses expl'!J42,'Hypotheses expl'!J38,'Hypotheses expl'!J46,'Hypotheses expl'!J50,'Hypotheses expl'!J54,'Hypotheses expl'!J58,'Hypotheses expl'!J62,'Hypotheses expl'!J66)/SUM('Hypotheses expl'!$O$10,'Hypotheses expl'!$O$14,'Hypotheses expl'!$O$18,'Hypotheses expl'!$O$22,'Hypotheses expl'!$O$26,'Hypotheses expl'!$O$30,'Hypotheses expl'!$O$34,'Hypotheses expl'!$O$42,'Hypotheses expl'!$O$38,'Hypotheses expl'!$O$46,'Hypotheses expl'!$O$50,'Hypotheses expl'!$O$54,'Hypotheses expl'!$O$58,'Hypotheses expl'!$O$62,'Hypotheses expl'!$O$66)),0)</f>
        <v>0</v>
      </c>
      <c r="K12" s="168">
        <f>IFERROR('Compte résultat prévi'!$C$156*(SUM('Hypotheses expl'!K10,'Hypotheses expl'!K14,'Hypotheses expl'!K18,'Hypotheses expl'!K22,'Hypotheses expl'!K26,'Hypotheses expl'!K30,'Hypotheses expl'!K34,'Hypotheses expl'!K42,'Hypotheses expl'!K38,'Hypotheses expl'!K46,'Hypotheses expl'!K50,'Hypotheses expl'!K54,'Hypotheses expl'!K58,'Hypotheses expl'!K62,'Hypotheses expl'!K66)/SUM('Hypotheses expl'!$O$10,'Hypotheses expl'!$O$14,'Hypotheses expl'!$O$18,'Hypotheses expl'!$O$22,'Hypotheses expl'!$O$26,'Hypotheses expl'!$O$30,'Hypotheses expl'!$O$34,'Hypotheses expl'!$O$42,'Hypotheses expl'!$O$38,'Hypotheses expl'!$O$46,'Hypotheses expl'!$O$50,'Hypotheses expl'!$O$54,'Hypotheses expl'!$O$58,'Hypotheses expl'!$O$62,'Hypotheses expl'!$O$66)),0)</f>
        <v>0</v>
      </c>
      <c r="L12" s="168">
        <f>IFERROR('Compte résultat prévi'!$C$156*(SUM('Hypotheses expl'!L10,'Hypotheses expl'!L14,'Hypotheses expl'!L18,'Hypotheses expl'!L22,'Hypotheses expl'!L26,'Hypotheses expl'!L30,'Hypotheses expl'!L34,'Hypotheses expl'!L42,'Hypotheses expl'!L38,'Hypotheses expl'!L46,'Hypotheses expl'!L50,'Hypotheses expl'!L54,'Hypotheses expl'!L58,'Hypotheses expl'!L62,'Hypotheses expl'!L66)/SUM('Hypotheses expl'!$O$10,'Hypotheses expl'!$O$14,'Hypotheses expl'!$O$18,'Hypotheses expl'!$O$22,'Hypotheses expl'!$O$26,'Hypotheses expl'!$O$30,'Hypotheses expl'!$O$34,'Hypotheses expl'!$O$42,'Hypotheses expl'!$O$38,'Hypotheses expl'!$O$46,'Hypotheses expl'!$O$50,'Hypotheses expl'!$O$54,'Hypotheses expl'!$O$58,'Hypotheses expl'!$O$62,'Hypotheses expl'!$O$66)),0)</f>
        <v>0</v>
      </c>
      <c r="M12" s="168">
        <f>IFERROR('Compte résultat prévi'!$C$156*(SUM('Hypotheses expl'!M10,'Hypotheses expl'!M14,'Hypotheses expl'!M18,'Hypotheses expl'!M22,'Hypotheses expl'!M26,'Hypotheses expl'!M30,'Hypotheses expl'!M34,'Hypotheses expl'!M42,'Hypotheses expl'!M38,'Hypotheses expl'!M46,'Hypotheses expl'!M50,'Hypotheses expl'!M54,'Hypotheses expl'!M58,'Hypotheses expl'!M62,'Hypotheses expl'!M66)/SUM('Hypotheses expl'!$O$10,'Hypotheses expl'!$O$14,'Hypotheses expl'!$O$18,'Hypotheses expl'!$O$22,'Hypotheses expl'!$O$26,'Hypotheses expl'!$O$30,'Hypotheses expl'!$O$34,'Hypotheses expl'!$O$42,'Hypotheses expl'!$O$38,'Hypotheses expl'!$O$46,'Hypotheses expl'!$O$50,'Hypotheses expl'!$O$54,'Hypotheses expl'!$O$58,'Hypotheses expl'!$O$62,'Hypotheses expl'!$O$66)),0)</f>
        <v>0</v>
      </c>
      <c r="N12" s="168">
        <f>IFERROR('Compte résultat prévi'!$C$156*(SUM('Hypotheses expl'!N10,'Hypotheses expl'!N14,'Hypotheses expl'!N18,'Hypotheses expl'!N22,'Hypotheses expl'!N26,'Hypotheses expl'!N30,'Hypotheses expl'!N34,'Hypotheses expl'!N42,'Hypotheses expl'!N38,'Hypotheses expl'!N46,'Hypotheses expl'!N50,'Hypotheses expl'!N54,'Hypotheses expl'!N58,'Hypotheses expl'!N62,'Hypotheses expl'!N66)/SUM('Hypotheses expl'!$O$10,'Hypotheses expl'!$O$14,'Hypotheses expl'!$O$18,'Hypotheses expl'!$O$22,'Hypotheses expl'!$O$26,'Hypotheses expl'!$O$30,'Hypotheses expl'!$O$34,'Hypotheses expl'!$O$42,'Hypotheses expl'!$O$38,'Hypotheses expl'!$O$46,'Hypotheses expl'!$O$50,'Hypotheses expl'!$O$54,'Hypotheses expl'!$O$58,'Hypotheses expl'!$O$62,'Hypotheses expl'!$O$66)),0)</f>
        <v>0</v>
      </c>
    </row>
    <row r="13" ht="15">
      <c r="A13" s="163" t="s">
        <v>300</v>
      </c>
      <c r="B13" s="163"/>
      <c r="C13" s="164"/>
      <c r="D13" s="164"/>
      <c r="E13" s="164"/>
      <c r="F13" s="164"/>
      <c r="G13" s="164"/>
      <c r="H13" s="164"/>
      <c r="I13" s="164"/>
      <c r="J13" s="164"/>
      <c r="K13" s="164"/>
      <c r="L13" s="164"/>
      <c r="M13" s="164"/>
      <c r="N13" s="164"/>
    </row>
    <row r="14" ht="15"/>
  </sheetData>
  <mergeCells count="1">
    <mergeCell ref="A2:B2"/>
  </mergeCells>
  <printOptions headings="0" gridLines="0"/>
  <pageMargins left="0.69999999999999996" right="0.69999999999999996" top="0.75" bottom="0.75" header="0.29999999999999999" footer="0.29999999999999999"/>
  <pageSetup paperSize="9" scale="100" fitToWidth="1" fitToHeight="1" pageOrder="downThenOver" orientation="portrait" usePrinterDefaults="1" blackAndWhite="0" draft="0" cellComments="none" useFirstPageNumber="0" errors="displayed" horizontalDpi="600" verticalDpi="600" copies="1"/>
  <headerFooter/>
  <drawing r:id="rId1"/>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sheetViews>
    <sheetView zoomScale="70" workbookViewId="0">
      <selection activeCell="E47" activeCellId="0" sqref="E47"/>
    </sheetView>
  </sheetViews>
  <sheetFormatPr baseColWidth="10" defaultColWidth="10.6640625" defaultRowHeight="14.4"/>
  <cols>
    <col customWidth="1" min="1" max="1" style="36" width="45.44140625"/>
    <col customWidth="1" min="2" max="2" style="36" width="26.33203125"/>
    <col customWidth="1" min="3" max="14" style="36" width="13.6640625"/>
    <col min="15" max="16384" style="36" width="10.6640625"/>
  </cols>
  <sheetData>
    <row r="1" ht="21">
      <c r="A1" s="68" t="s">
        <v>161</v>
      </c>
      <c r="B1" s="157">
        <f>DATE(YEAR('Hypotheses expl'!B1)+1,MONTH('Hypotheses expl'!B1),DAY('Hypotheses expl'!B1))</f>
        <v>45292</v>
      </c>
    </row>
    <row r="2" ht="21">
      <c r="A2" s="72" t="s">
        <v>296</v>
      </c>
      <c r="B2" s="72"/>
    </row>
    <row r="3">
      <c r="C3" s="74">
        <f>B1</f>
        <v>45292</v>
      </c>
      <c r="D3" s="74">
        <f>DATE(YEAR(C3),MONTH(C3)+1,DAY(C3))</f>
        <v>45323</v>
      </c>
      <c r="E3" s="74">
        <f t="shared" ref="E3:N3" si="204">DATE(YEAR(D3),MONTH(D3)+1,DAY(D3))</f>
        <v>45352</v>
      </c>
      <c r="F3" s="74">
        <f t="shared" si="204"/>
        <v>45383</v>
      </c>
      <c r="G3" s="74">
        <f t="shared" si="204"/>
        <v>45413</v>
      </c>
      <c r="H3" s="74">
        <f t="shared" si="204"/>
        <v>45444</v>
      </c>
      <c r="I3" s="74">
        <f t="shared" si="204"/>
        <v>45474</v>
      </c>
      <c r="J3" s="74">
        <f t="shared" si="204"/>
        <v>45505</v>
      </c>
      <c r="K3" s="74">
        <f t="shared" si="204"/>
        <v>45536</v>
      </c>
      <c r="L3" s="74">
        <f t="shared" si="204"/>
        <v>45566</v>
      </c>
      <c r="M3" s="74">
        <f t="shared" si="204"/>
        <v>45597</v>
      </c>
      <c r="N3" s="74">
        <f t="shared" si="204"/>
        <v>45627</v>
      </c>
    </row>
    <row r="4" ht="35.700000000000003" customHeight="1">
      <c r="A4" s="81" t="s">
        <v>297</v>
      </c>
      <c r="B4" s="158"/>
      <c r="C4" s="83"/>
      <c r="D4" s="83"/>
      <c r="E4" s="83"/>
      <c r="F4" s="83"/>
      <c r="G4" s="83"/>
      <c r="H4" s="83"/>
      <c r="I4" s="83"/>
      <c r="J4" s="83"/>
      <c r="K4" s="83"/>
      <c r="L4" s="83"/>
      <c r="M4" s="83"/>
      <c r="N4" s="83"/>
    </row>
    <row r="5" ht="15">
      <c r="A5" s="159" t="s">
        <v>298</v>
      </c>
      <c r="B5" s="159"/>
      <c r="C5" s="160"/>
      <c r="D5" s="160"/>
      <c r="E5" s="160"/>
      <c r="F5" s="160"/>
      <c r="G5" s="160"/>
      <c r="H5" s="160"/>
      <c r="I5" s="160"/>
      <c r="J5" s="160"/>
      <c r="K5" s="160"/>
      <c r="L5" s="160"/>
      <c r="M5" s="160"/>
      <c r="N5" s="160"/>
    </row>
    <row r="6">
      <c r="A6" s="161" t="s">
        <v>299</v>
      </c>
      <c r="B6" s="161"/>
      <c r="C6" s="162"/>
      <c r="D6" s="162"/>
      <c r="E6" s="162"/>
      <c r="F6" s="162"/>
      <c r="G6" s="162"/>
      <c r="H6" s="162"/>
      <c r="I6" s="162"/>
      <c r="J6" s="162"/>
      <c r="K6" s="162"/>
      <c r="L6" s="162"/>
      <c r="M6" s="162"/>
      <c r="N6" s="162"/>
    </row>
    <row r="7" ht="15">
      <c r="A7" s="163" t="s">
        <v>300</v>
      </c>
      <c r="B7" s="163"/>
      <c r="C7" s="164"/>
      <c r="D7" s="164"/>
      <c r="E7" s="164"/>
      <c r="F7" s="164"/>
      <c r="G7" s="164"/>
      <c r="H7" s="164"/>
      <c r="I7" s="164"/>
      <c r="J7" s="164"/>
      <c r="K7" s="164"/>
      <c r="L7" s="164"/>
      <c r="M7" s="164"/>
      <c r="N7" s="164"/>
    </row>
    <row r="8" ht="15">
      <c r="C8" s="165"/>
      <c r="D8" s="165"/>
      <c r="E8" s="165"/>
      <c r="F8" s="165"/>
      <c r="G8" s="165"/>
      <c r="H8" s="165"/>
      <c r="I8" s="165"/>
      <c r="J8" s="165"/>
      <c r="K8" s="165"/>
      <c r="L8" s="165"/>
      <c r="M8" s="165"/>
      <c r="N8" s="165"/>
    </row>
    <row r="9" ht="15">
      <c r="A9" s="81" t="s">
        <v>301</v>
      </c>
      <c r="B9" s="158"/>
      <c r="C9" s="166"/>
      <c r="D9" s="166"/>
      <c r="E9" s="166"/>
      <c r="F9" s="166"/>
      <c r="G9" s="166"/>
      <c r="H9" s="166"/>
      <c r="I9" s="166"/>
      <c r="J9" s="166"/>
      <c r="K9" s="166"/>
      <c r="L9" s="166"/>
      <c r="M9" s="166"/>
      <c r="N9" s="166"/>
    </row>
    <row r="10" ht="15">
      <c r="A10" s="159" t="s">
        <v>302</v>
      </c>
      <c r="B10" s="159"/>
      <c r="C10" s="160"/>
      <c r="D10" s="160"/>
      <c r="E10" s="160"/>
      <c r="F10" s="160"/>
      <c r="G10" s="160"/>
      <c r="H10" s="160"/>
      <c r="I10" s="160"/>
      <c r="J10" s="160"/>
      <c r="K10" s="160"/>
      <c r="L10" s="160"/>
      <c r="M10" s="160"/>
      <c r="N10" s="160"/>
    </row>
    <row r="11">
      <c r="A11" s="161" t="s">
        <v>303</v>
      </c>
      <c r="B11" s="161"/>
      <c r="C11" s="162"/>
      <c r="D11" s="162"/>
      <c r="E11" s="162"/>
      <c r="F11" s="162"/>
      <c r="G11" s="162"/>
      <c r="H11" s="162"/>
      <c r="I11" s="162"/>
      <c r="J11" s="162"/>
      <c r="K11" s="162"/>
      <c r="L11" s="162"/>
      <c r="M11" s="162"/>
      <c r="N11" s="162"/>
    </row>
    <row r="12">
      <c r="A12" s="167" t="s">
        <v>304</v>
      </c>
      <c r="B12" s="167"/>
      <c r="C12" s="168">
        <f>IFERROR('Compte résultat prévi'!$I$156*(SUM('Hypotheses expl (3,)'!C10,'Hypotheses expl (3,)'!C14,'Hypotheses expl (3,)'!C18,'Hypotheses expl (3,)'!C22,'Hypotheses expl (3,)'!C26,'Hypotheses expl (3,)'!C30,'Hypotheses expl (3,)'!C34,'Hypotheses expl (3,)'!C42,'Hypotheses expl (3,)'!C38,'Hypotheses expl (3,)'!C46,'Hypotheses expl (3,)'!C50,'Hypotheses expl (3,)'!C54,'Hypotheses expl (3,)'!C58,'Hypotheses expl (3,)'!C62,'Hypotheses expl (3,)'!C66)/SUM('Hypotheses expl (3,)'!$O$10,'Hypotheses expl (3,)'!$O$14,'Hypotheses expl (3,)'!$O$18,'Hypotheses expl (3,)'!$O$22,'Hypotheses expl (3,)'!$O$26,'Hypotheses expl (3,)'!$O$30,'Hypotheses expl (3,)'!$O$34,'Hypotheses expl (3,)'!$O$42,'Hypotheses expl (3,)'!$O$38,'Hypotheses expl (3,)'!$O$46,'Hypotheses expl (3,)'!$O$50,'Hypotheses expl (3,)'!$O$54,'Hypotheses expl (3,)'!$O$58,'Hypotheses expl (3,)'!$O$62,'Hypotheses expl (3,)'!$O$66)),0)</f>
        <v>0</v>
      </c>
      <c r="D12" s="168">
        <f>IFERROR('Compte résultat prévi'!$I$156*(SUM('Hypotheses expl (3,)'!D10,'Hypotheses expl (3,)'!D14,'Hypotheses expl (3,)'!D18,'Hypotheses expl (3,)'!D22,'Hypotheses expl (3,)'!D26,'Hypotheses expl (3,)'!D30,'Hypotheses expl (3,)'!D34,'Hypotheses expl (3,)'!D42,'Hypotheses expl (3,)'!D38,'Hypotheses expl (3,)'!D46,'Hypotheses expl (3,)'!D50,'Hypotheses expl (3,)'!D54,'Hypotheses expl (3,)'!D58,'Hypotheses expl (3,)'!D62,'Hypotheses expl (3,)'!D66)/SUM('Hypotheses expl (3,)'!$O$10,'Hypotheses expl (3,)'!$O$14,'Hypotheses expl (3,)'!$O$18,'Hypotheses expl (3,)'!$O$22,'Hypotheses expl (3,)'!$O$26,'Hypotheses expl (3,)'!$O$30,'Hypotheses expl (3,)'!$O$34,'Hypotheses expl (3,)'!$O$42,'Hypotheses expl (3,)'!$O$38,'Hypotheses expl (3,)'!$O$46,'Hypotheses expl (3,)'!$O$50,'Hypotheses expl (3,)'!$O$54,'Hypotheses expl (3,)'!$O$58,'Hypotheses expl (3,)'!$O$62,'Hypotheses expl (3,)'!$O$66)),0)</f>
        <v>0</v>
      </c>
      <c r="E12" s="168">
        <f>IFERROR('Compte résultat prévi'!$I$156*(SUM('Hypotheses expl (3,)'!E10,'Hypotheses expl (3,)'!E14,'Hypotheses expl (3,)'!E18,'Hypotheses expl (3,)'!E22,'Hypotheses expl (3,)'!E26,'Hypotheses expl (3,)'!E30,'Hypotheses expl (3,)'!E34,'Hypotheses expl (3,)'!E42,'Hypotheses expl (3,)'!E38,'Hypotheses expl (3,)'!E46,'Hypotheses expl (3,)'!E50,'Hypotheses expl (3,)'!E54,'Hypotheses expl (3,)'!E58,'Hypotheses expl (3,)'!E62,'Hypotheses expl (3,)'!E66)/SUM('Hypotheses expl (3,)'!$O$10,'Hypotheses expl (3,)'!$O$14,'Hypotheses expl (3,)'!$O$18,'Hypotheses expl (3,)'!$O$22,'Hypotheses expl (3,)'!$O$26,'Hypotheses expl (3,)'!$O$30,'Hypotheses expl (3,)'!$O$34,'Hypotheses expl (3,)'!$O$42,'Hypotheses expl (3,)'!$O$38,'Hypotheses expl (3,)'!$O$46,'Hypotheses expl (3,)'!$O$50,'Hypotheses expl (3,)'!$O$54,'Hypotheses expl (3,)'!$O$58,'Hypotheses expl (3,)'!$O$62,'Hypotheses expl (3,)'!$O$66)),0)</f>
        <v>0</v>
      </c>
      <c r="F12" s="168">
        <f>IFERROR('Compte résultat prévi'!$I$156*(SUM('Hypotheses expl (3,)'!F10,'Hypotheses expl (3,)'!F14,'Hypotheses expl (3,)'!F18,'Hypotheses expl (3,)'!F22,'Hypotheses expl (3,)'!F26,'Hypotheses expl (3,)'!F30,'Hypotheses expl (3,)'!F34,'Hypotheses expl (3,)'!F42,'Hypotheses expl (3,)'!F38,'Hypotheses expl (3,)'!F46,'Hypotheses expl (3,)'!F50,'Hypotheses expl (3,)'!F54,'Hypotheses expl (3,)'!F58,'Hypotheses expl (3,)'!F62,'Hypotheses expl (3,)'!F66)/SUM('Hypotheses expl (3,)'!$O$10,'Hypotheses expl (3,)'!$O$14,'Hypotheses expl (3,)'!$O$18,'Hypotheses expl (3,)'!$O$22,'Hypotheses expl (3,)'!$O$26,'Hypotheses expl (3,)'!$O$30,'Hypotheses expl (3,)'!$O$34,'Hypotheses expl (3,)'!$O$42,'Hypotheses expl (3,)'!$O$38,'Hypotheses expl (3,)'!$O$46,'Hypotheses expl (3,)'!$O$50,'Hypotheses expl (3,)'!$O$54,'Hypotheses expl (3,)'!$O$58,'Hypotheses expl (3,)'!$O$62,'Hypotheses expl (3,)'!$O$66)),0)</f>
        <v>0</v>
      </c>
      <c r="G12" s="168">
        <f>IFERROR('Compte résultat prévi'!$I$156*(SUM('Hypotheses expl (3,)'!G10,'Hypotheses expl (3,)'!G14,'Hypotheses expl (3,)'!G18,'Hypotheses expl (3,)'!G22,'Hypotheses expl (3,)'!G26,'Hypotheses expl (3,)'!G30,'Hypotheses expl (3,)'!G34,'Hypotheses expl (3,)'!G42,'Hypotheses expl (3,)'!G38,'Hypotheses expl (3,)'!G46,'Hypotheses expl (3,)'!G50,'Hypotheses expl (3,)'!G54,'Hypotheses expl (3,)'!G58,'Hypotheses expl (3,)'!G62,'Hypotheses expl (3,)'!G66)/SUM('Hypotheses expl (3,)'!$O$10,'Hypotheses expl (3,)'!$O$14,'Hypotheses expl (3,)'!$O$18,'Hypotheses expl (3,)'!$O$22,'Hypotheses expl (3,)'!$O$26,'Hypotheses expl (3,)'!$O$30,'Hypotheses expl (3,)'!$O$34,'Hypotheses expl (3,)'!$O$42,'Hypotheses expl (3,)'!$O$38,'Hypotheses expl (3,)'!$O$46,'Hypotheses expl (3,)'!$O$50,'Hypotheses expl (3,)'!$O$54,'Hypotheses expl (3,)'!$O$58,'Hypotheses expl (3,)'!$O$62,'Hypotheses expl (3,)'!$O$66)),0)</f>
        <v>0</v>
      </c>
      <c r="H12" s="168">
        <f>IFERROR('Compte résultat prévi'!$I$156*(SUM('Hypotheses expl (3,)'!H10,'Hypotheses expl (3,)'!H14,'Hypotheses expl (3,)'!H18,'Hypotheses expl (3,)'!H22,'Hypotheses expl (3,)'!H26,'Hypotheses expl (3,)'!H30,'Hypotheses expl (3,)'!H34,'Hypotheses expl (3,)'!H42,'Hypotheses expl (3,)'!H38,'Hypotheses expl (3,)'!H46,'Hypotheses expl (3,)'!H50,'Hypotheses expl (3,)'!H54,'Hypotheses expl (3,)'!H58,'Hypotheses expl (3,)'!H62,'Hypotheses expl (3,)'!H66)/SUM('Hypotheses expl (3,)'!$O$10,'Hypotheses expl (3,)'!$O$14,'Hypotheses expl (3,)'!$O$18,'Hypotheses expl (3,)'!$O$22,'Hypotheses expl (3,)'!$O$26,'Hypotheses expl (3,)'!$O$30,'Hypotheses expl (3,)'!$O$34,'Hypotheses expl (3,)'!$O$42,'Hypotheses expl (3,)'!$O$38,'Hypotheses expl (3,)'!$O$46,'Hypotheses expl (3,)'!$O$50,'Hypotheses expl (3,)'!$O$54,'Hypotheses expl (3,)'!$O$58,'Hypotheses expl (3,)'!$O$62,'Hypotheses expl (3,)'!$O$66)),0)</f>
        <v>0</v>
      </c>
      <c r="I12" s="168">
        <f>IFERROR('Compte résultat prévi'!$I$156*(SUM('Hypotheses expl (3,)'!I10,'Hypotheses expl (3,)'!I14,'Hypotheses expl (3,)'!I18,'Hypotheses expl (3,)'!I22,'Hypotheses expl (3,)'!I26,'Hypotheses expl (3,)'!I30,'Hypotheses expl (3,)'!I34,'Hypotheses expl (3,)'!I42,'Hypotheses expl (3,)'!I38,'Hypotheses expl (3,)'!I46,'Hypotheses expl (3,)'!I50,'Hypotheses expl (3,)'!I54,'Hypotheses expl (3,)'!I58,'Hypotheses expl (3,)'!I62,'Hypotheses expl (3,)'!I66)/SUM('Hypotheses expl (3,)'!$O$10,'Hypotheses expl (3,)'!$O$14,'Hypotheses expl (3,)'!$O$18,'Hypotheses expl (3,)'!$O$22,'Hypotheses expl (3,)'!$O$26,'Hypotheses expl (3,)'!$O$30,'Hypotheses expl (3,)'!$O$34,'Hypotheses expl (3,)'!$O$42,'Hypotheses expl (3,)'!$O$38,'Hypotheses expl (3,)'!$O$46,'Hypotheses expl (3,)'!$O$50,'Hypotheses expl (3,)'!$O$54,'Hypotheses expl (3,)'!$O$58,'Hypotheses expl (3,)'!$O$62,'Hypotheses expl (3,)'!$O$66)),0)</f>
        <v>0</v>
      </c>
      <c r="J12" s="168">
        <f>IFERROR('Compte résultat prévi'!$I$156*(SUM('Hypotheses expl (3,)'!J10,'Hypotheses expl (3,)'!J14,'Hypotheses expl (3,)'!J18,'Hypotheses expl (3,)'!J22,'Hypotheses expl (3,)'!J26,'Hypotheses expl (3,)'!J30,'Hypotheses expl (3,)'!J34,'Hypotheses expl (3,)'!J42,'Hypotheses expl (3,)'!J38,'Hypotheses expl (3,)'!J46,'Hypotheses expl (3,)'!J50,'Hypotheses expl (3,)'!J54,'Hypotheses expl (3,)'!J58,'Hypotheses expl (3,)'!J62,'Hypotheses expl (3,)'!J66)/SUM('Hypotheses expl (3,)'!$O$10,'Hypotheses expl (3,)'!$O$14,'Hypotheses expl (3,)'!$O$18,'Hypotheses expl (3,)'!$O$22,'Hypotheses expl (3,)'!$O$26,'Hypotheses expl (3,)'!$O$30,'Hypotheses expl (3,)'!$O$34,'Hypotheses expl (3,)'!$O$42,'Hypotheses expl (3,)'!$O$38,'Hypotheses expl (3,)'!$O$46,'Hypotheses expl (3,)'!$O$50,'Hypotheses expl (3,)'!$O$54,'Hypotheses expl (3,)'!$O$58,'Hypotheses expl (3,)'!$O$62,'Hypotheses expl (3,)'!$O$66)),0)</f>
        <v>0</v>
      </c>
      <c r="K12" s="168">
        <f>IFERROR('Compte résultat prévi'!$I$156*(SUM('Hypotheses expl (3,)'!K10,'Hypotheses expl (3,)'!K14,'Hypotheses expl (3,)'!K18,'Hypotheses expl (3,)'!K22,'Hypotheses expl (3,)'!K26,'Hypotheses expl (3,)'!K30,'Hypotheses expl (3,)'!K34,'Hypotheses expl (3,)'!K42,'Hypotheses expl (3,)'!K38,'Hypotheses expl (3,)'!K46,'Hypotheses expl (3,)'!K50,'Hypotheses expl (3,)'!K54,'Hypotheses expl (3,)'!K58,'Hypotheses expl (3,)'!K62,'Hypotheses expl (3,)'!K66)/SUM('Hypotheses expl (3,)'!$O$10,'Hypotheses expl (3,)'!$O$14,'Hypotheses expl (3,)'!$O$18,'Hypotheses expl (3,)'!$O$22,'Hypotheses expl (3,)'!$O$26,'Hypotheses expl (3,)'!$O$30,'Hypotheses expl (3,)'!$O$34,'Hypotheses expl (3,)'!$O$42,'Hypotheses expl (3,)'!$O$38,'Hypotheses expl (3,)'!$O$46,'Hypotheses expl (3,)'!$O$50,'Hypotheses expl (3,)'!$O$54,'Hypotheses expl (3,)'!$O$58,'Hypotheses expl (3,)'!$O$62,'Hypotheses expl (3,)'!$O$66)),0)</f>
        <v>0</v>
      </c>
      <c r="L12" s="168">
        <f>IFERROR('Compte résultat prévi'!$I$156*(SUM('Hypotheses expl (3,)'!L10,'Hypotheses expl (3,)'!L14,'Hypotheses expl (3,)'!L18,'Hypotheses expl (3,)'!L22,'Hypotheses expl (3,)'!L26,'Hypotheses expl (3,)'!L30,'Hypotheses expl (3,)'!L34,'Hypotheses expl (3,)'!L42,'Hypotheses expl (3,)'!L38,'Hypotheses expl (3,)'!L46,'Hypotheses expl (3,)'!L50,'Hypotheses expl (3,)'!L54,'Hypotheses expl (3,)'!L58,'Hypotheses expl (3,)'!L62,'Hypotheses expl (3,)'!L66)/SUM('Hypotheses expl (3,)'!$O$10,'Hypotheses expl (3,)'!$O$14,'Hypotheses expl (3,)'!$O$18,'Hypotheses expl (3,)'!$O$22,'Hypotheses expl (3,)'!$O$26,'Hypotheses expl (3,)'!$O$30,'Hypotheses expl (3,)'!$O$34,'Hypotheses expl (3,)'!$O$42,'Hypotheses expl (3,)'!$O$38,'Hypotheses expl (3,)'!$O$46,'Hypotheses expl (3,)'!$O$50,'Hypotheses expl (3,)'!$O$54,'Hypotheses expl (3,)'!$O$58,'Hypotheses expl (3,)'!$O$62,'Hypotheses expl (3,)'!$O$66)),0)</f>
        <v>0</v>
      </c>
      <c r="M12" s="168">
        <f>IFERROR('Compte résultat prévi'!$I$156*(SUM('Hypotheses expl (3,)'!M10,'Hypotheses expl (3,)'!M14,'Hypotheses expl (3,)'!M18,'Hypotheses expl (3,)'!M22,'Hypotheses expl (3,)'!M26,'Hypotheses expl (3,)'!M30,'Hypotheses expl (3,)'!M34,'Hypotheses expl (3,)'!M42,'Hypotheses expl (3,)'!M38,'Hypotheses expl (3,)'!M46,'Hypotheses expl (3,)'!M50,'Hypotheses expl (3,)'!M54,'Hypotheses expl (3,)'!M58,'Hypotheses expl (3,)'!M62,'Hypotheses expl (3,)'!M66)/SUM('Hypotheses expl (3,)'!$O$10,'Hypotheses expl (3,)'!$O$14,'Hypotheses expl (3,)'!$O$18,'Hypotheses expl (3,)'!$O$22,'Hypotheses expl (3,)'!$O$26,'Hypotheses expl (3,)'!$O$30,'Hypotheses expl (3,)'!$O$34,'Hypotheses expl (3,)'!$O$42,'Hypotheses expl (3,)'!$O$38,'Hypotheses expl (3,)'!$O$46,'Hypotheses expl (3,)'!$O$50,'Hypotheses expl (3,)'!$O$54,'Hypotheses expl (3,)'!$O$58,'Hypotheses expl (3,)'!$O$62,'Hypotheses expl (3,)'!$O$66)),0)</f>
        <v>0</v>
      </c>
      <c r="N12" s="168">
        <f>IFERROR('Compte résultat prévi'!$I$156*(SUM('Hypotheses expl (3,)'!N10,'Hypotheses expl (3,)'!N14,'Hypotheses expl (3,)'!N18,'Hypotheses expl (3,)'!N22,'Hypotheses expl (3,)'!N26,'Hypotheses expl (3,)'!N30,'Hypotheses expl (3,)'!N34,'Hypotheses expl (3,)'!N42,'Hypotheses expl (3,)'!N38,'Hypotheses expl (3,)'!N46,'Hypotheses expl (3,)'!N50,'Hypotheses expl (3,)'!N54,'Hypotheses expl (3,)'!N58,'Hypotheses expl (3,)'!N62,'Hypotheses expl (3,)'!N66)/SUM('Hypotheses expl (3,)'!$O$10,'Hypotheses expl (3,)'!$O$14,'Hypotheses expl (3,)'!$O$18,'Hypotheses expl (3,)'!$O$22,'Hypotheses expl (3,)'!$O$26,'Hypotheses expl (3,)'!$O$30,'Hypotheses expl (3,)'!$O$34,'Hypotheses expl (3,)'!$O$42,'Hypotheses expl (3,)'!$O$38,'Hypotheses expl (3,)'!$O$46,'Hypotheses expl (3,)'!$O$50,'Hypotheses expl (3,)'!$O$54,'Hypotheses expl (3,)'!$O$58,'Hypotheses expl (3,)'!$O$62,'Hypotheses expl (3,)'!$O$66)),0)</f>
        <v>0</v>
      </c>
    </row>
    <row r="13" ht="15">
      <c r="A13" s="163" t="s">
        <v>300</v>
      </c>
      <c r="B13" s="163"/>
      <c r="C13" s="164"/>
      <c r="D13" s="164"/>
      <c r="E13" s="164"/>
      <c r="F13" s="164"/>
      <c r="G13" s="164"/>
      <c r="H13" s="164"/>
      <c r="I13" s="164"/>
      <c r="J13" s="164"/>
      <c r="K13" s="164"/>
      <c r="L13" s="164"/>
      <c r="M13" s="164"/>
      <c r="N13" s="164"/>
    </row>
    <row r="14" ht="15"/>
  </sheetData>
  <mergeCells count="1">
    <mergeCell ref="A2:B2"/>
  </mergeCells>
  <printOptions headings="0" gridLines="0"/>
  <pageMargins left="0.69999999999999996" right="0.69999999999999996" top="0.75" bottom="0.75" header="0.29999999999999999" footer="0.29999999999999999"/>
  <pageSetup paperSize="9" scale="100" fitToWidth="1" fitToHeight="1" pageOrder="downThenOver" orientation="portrait" usePrinterDefaults="1" blackAndWhite="0" draft="0" cellComments="none" useFirstPageNumber="0" errors="displayed" horizontalDpi="600" verticalDpi="600" copies="1"/>
  <headerFooter/>
  <drawing r:id="rId1"/>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sheetViews>
    <sheetView zoomScale="70" workbookViewId="0">
      <selection activeCell="H47" activeCellId="0" sqref="H47"/>
    </sheetView>
  </sheetViews>
  <sheetFormatPr baseColWidth="10" defaultColWidth="10.6640625" defaultRowHeight="14.4"/>
  <cols>
    <col customWidth="1" min="1" max="1" style="36" width="45.44140625"/>
    <col customWidth="1" min="2" max="2" style="36" width="26.33203125"/>
    <col customWidth="1" min="3" max="14" style="36" width="13.6640625"/>
    <col min="15" max="16384" style="36" width="10.6640625"/>
  </cols>
  <sheetData>
    <row r="1" ht="21">
      <c r="A1" s="68" t="s">
        <v>161</v>
      </c>
      <c r="B1" s="157">
        <f>DATE(YEAR('Hypotheses expl'!B1)+2,MONTH('Hypotheses expl'!B1),DAY('Hypotheses expl'!B1))</f>
        <v>45658</v>
      </c>
    </row>
    <row r="2" ht="21">
      <c r="A2" s="72" t="s">
        <v>296</v>
      </c>
      <c r="B2" s="72"/>
    </row>
    <row r="3">
      <c r="C3" s="74">
        <f>B1</f>
        <v>45658</v>
      </c>
      <c r="D3" s="74">
        <f>DATE(YEAR(C3),MONTH(C3)+1,DAY(C3))</f>
        <v>45689</v>
      </c>
      <c r="E3" s="74">
        <f t="shared" ref="E3:N3" si="205">DATE(YEAR(D3),MONTH(D3)+1,DAY(D3))</f>
        <v>45717</v>
      </c>
      <c r="F3" s="74">
        <f t="shared" si="205"/>
        <v>45748</v>
      </c>
      <c r="G3" s="74">
        <f t="shared" si="205"/>
        <v>45778</v>
      </c>
      <c r="H3" s="74">
        <f t="shared" si="205"/>
        <v>45809</v>
      </c>
      <c r="I3" s="74">
        <f t="shared" si="205"/>
        <v>45839</v>
      </c>
      <c r="J3" s="74">
        <f t="shared" si="205"/>
        <v>45870</v>
      </c>
      <c r="K3" s="74">
        <f t="shared" si="205"/>
        <v>45901</v>
      </c>
      <c r="L3" s="74">
        <f t="shared" si="205"/>
        <v>45931</v>
      </c>
      <c r="M3" s="74">
        <f t="shared" si="205"/>
        <v>45962</v>
      </c>
      <c r="N3" s="74">
        <f t="shared" si="205"/>
        <v>45992</v>
      </c>
    </row>
    <row r="4" ht="35.700000000000003" customHeight="1">
      <c r="A4" s="81" t="s">
        <v>297</v>
      </c>
      <c r="B4" s="158"/>
      <c r="C4" s="83"/>
      <c r="D4" s="83"/>
      <c r="E4" s="83"/>
      <c r="F4" s="83"/>
      <c r="G4" s="83"/>
      <c r="H4" s="83"/>
      <c r="I4" s="83"/>
      <c r="J4" s="83"/>
      <c r="K4" s="83"/>
      <c r="L4" s="83"/>
      <c r="M4" s="83"/>
      <c r="N4" s="83"/>
    </row>
    <row r="5" ht="15">
      <c r="A5" s="159" t="s">
        <v>298</v>
      </c>
      <c r="B5" s="159"/>
      <c r="C5" s="160"/>
      <c r="D5" s="160"/>
      <c r="E5" s="160"/>
      <c r="F5" s="160"/>
      <c r="G5" s="160"/>
      <c r="H5" s="160"/>
      <c r="I5" s="160"/>
      <c r="J5" s="160"/>
      <c r="K5" s="160"/>
      <c r="L5" s="160"/>
      <c r="M5" s="160"/>
      <c r="N5" s="160"/>
    </row>
    <row r="6">
      <c r="A6" s="161" t="s">
        <v>299</v>
      </c>
      <c r="B6" s="161"/>
      <c r="C6" s="162"/>
      <c r="D6" s="162"/>
      <c r="E6" s="162"/>
      <c r="F6" s="162"/>
      <c r="G6" s="162"/>
      <c r="H6" s="162"/>
      <c r="I6" s="162"/>
      <c r="J6" s="162"/>
      <c r="K6" s="162"/>
      <c r="L6" s="162"/>
      <c r="M6" s="162"/>
      <c r="N6" s="162"/>
    </row>
    <row r="7" ht="15">
      <c r="A7" s="163" t="s">
        <v>300</v>
      </c>
      <c r="B7" s="163"/>
      <c r="C7" s="164"/>
      <c r="D7" s="164"/>
      <c r="E7" s="164"/>
      <c r="F7" s="164"/>
      <c r="G7" s="164"/>
      <c r="H7" s="164"/>
      <c r="I7" s="164"/>
      <c r="J7" s="164"/>
      <c r="K7" s="164"/>
      <c r="L7" s="164"/>
      <c r="M7" s="164"/>
      <c r="N7" s="164"/>
    </row>
    <row r="8" ht="15">
      <c r="C8" s="165"/>
      <c r="D8" s="165"/>
      <c r="E8" s="165"/>
      <c r="F8" s="165"/>
      <c r="G8" s="165"/>
      <c r="H8" s="165"/>
      <c r="I8" s="165"/>
      <c r="J8" s="165"/>
      <c r="K8" s="165"/>
      <c r="L8" s="165"/>
      <c r="M8" s="165"/>
      <c r="N8" s="165"/>
    </row>
    <row r="9" ht="15">
      <c r="A9" s="81" t="s">
        <v>301</v>
      </c>
      <c r="B9" s="158"/>
      <c r="C9" s="166"/>
      <c r="D9" s="166"/>
      <c r="E9" s="166"/>
      <c r="F9" s="166"/>
      <c r="G9" s="166"/>
      <c r="H9" s="166"/>
      <c r="I9" s="166"/>
      <c r="J9" s="166"/>
      <c r="K9" s="166"/>
      <c r="L9" s="166"/>
      <c r="M9" s="166"/>
      <c r="N9" s="166"/>
    </row>
    <row r="10" ht="15">
      <c r="A10" s="159" t="s">
        <v>302</v>
      </c>
      <c r="B10" s="159"/>
      <c r="C10" s="160"/>
      <c r="D10" s="160"/>
      <c r="E10" s="160"/>
      <c r="F10" s="160"/>
      <c r="G10" s="160"/>
      <c r="H10" s="160"/>
      <c r="I10" s="160"/>
      <c r="J10" s="160"/>
      <c r="K10" s="160"/>
      <c r="L10" s="160"/>
      <c r="M10" s="160"/>
      <c r="N10" s="160"/>
    </row>
    <row r="11">
      <c r="A11" s="161" t="s">
        <v>303</v>
      </c>
      <c r="B11" s="161"/>
      <c r="C11" s="162"/>
      <c r="D11" s="162"/>
      <c r="E11" s="162"/>
      <c r="F11" s="162"/>
      <c r="G11" s="162"/>
      <c r="H11" s="162"/>
      <c r="I11" s="162"/>
      <c r="J11" s="162"/>
      <c r="K11" s="162"/>
      <c r="L11" s="162"/>
      <c r="M11" s="162"/>
      <c r="N11" s="162"/>
    </row>
    <row r="12">
      <c r="A12" s="167" t="s">
        <v>304</v>
      </c>
      <c r="B12" s="167"/>
      <c r="C12" s="168">
        <f>IFERROR('Compte résultat prévi'!$O$156*(SUM('Hypotheses expl (2)'!C10,'Hypotheses expl (2)'!C14,'Hypotheses expl (2)'!C18,'Hypotheses expl (2)'!C22,'Hypotheses expl (2)'!C26,'Hypotheses expl (2)'!C30,'Hypotheses expl (2)'!C34,'Hypotheses expl (2)'!C42,'Hypotheses expl (2)'!C38,'Hypotheses expl (2)'!C46,'Hypotheses expl (2)'!C50,'Hypotheses expl (2)'!C54,'Hypotheses expl (2)'!C58,'Hypotheses expl (2)'!C62,'Hypotheses expl (2)'!C66)/SUM('Hypotheses expl (2)'!$O$10,'Hypotheses expl (2)'!$O$14,'Hypotheses expl (2)'!$O$18,'Hypotheses expl (2)'!$O$22,'Hypotheses expl (2)'!$O$26,'Hypotheses expl (2)'!$O$30,'Hypotheses expl (2)'!$O$34,'Hypotheses expl (2)'!$O$42,'Hypotheses expl (2)'!$O$38,'Hypotheses expl (2)'!$O$46,'Hypotheses expl (2)'!$O$50,'Hypotheses expl (2)'!$O$54,'Hypotheses expl (2)'!$O$58,'Hypotheses expl (2)'!$O$62,'Hypotheses expl (2)'!$O$66)),0)</f>
        <v>0</v>
      </c>
      <c r="D12" s="168">
        <f>IFERROR('Compte résultat prévi'!$O$156*(SUM('Hypotheses expl (2)'!D10,'Hypotheses expl (2)'!D14,'Hypotheses expl (2)'!D18,'Hypotheses expl (2)'!D22,'Hypotheses expl (2)'!D26,'Hypotheses expl (2)'!D30,'Hypotheses expl (2)'!D34,'Hypotheses expl (2)'!D42,'Hypotheses expl (2)'!D38,'Hypotheses expl (2)'!D46,'Hypotheses expl (2)'!D50,'Hypotheses expl (2)'!D54,'Hypotheses expl (2)'!D58,'Hypotheses expl (2)'!D62,'Hypotheses expl (2)'!D66)/SUM('Hypotheses expl (2)'!$O$10,'Hypotheses expl (2)'!$O$14,'Hypotheses expl (2)'!$O$18,'Hypotheses expl (2)'!$O$22,'Hypotheses expl (2)'!$O$26,'Hypotheses expl (2)'!$O$30,'Hypotheses expl (2)'!$O$34,'Hypotheses expl (2)'!$O$42,'Hypotheses expl (2)'!$O$38,'Hypotheses expl (2)'!$O$46,'Hypotheses expl (2)'!$O$50,'Hypotheses expl (2)'!$O$54,'Hypotheses expl (2)'!$O$58,'Hypotheses expl (2)'!$O$62,'Hypotheses expl (2)'!$O$66)),0)</f>
        <v>0</v>
      </c>
      <c r="E12" s="168">
        <f>IFERROR('Compte résultat prévi'!$O$156*(SUM('Hypotheses expl (2)'!E10,'Hypotheses expl (2)'!E14,'Hypotheses expl (2)'!E18,'Hypotheses expl (2)'!E22,'Hypotheses expl (2)'!E26,'Hypotheses expl (2)'!E30,'Hypotheses expl (2)'!E34,'Hypotheses expl (2)'!E42,'Hypotheses expl (2)'!E38,'Hypotheses expl (2)'!E46,'Hypotheses expl (2)'!E50,'Hypotheses expl (2)'!E54,'Hypotheses expl (2)'!E58,'Hypotheses expl (2)'!E62,'Hypotheses expl (2)'!E66)/SUM('Hypotheses expl (2)'!$O$10,'Hypotheses expl (2)'!$O$14,'Hypotheses expl (2)'!$O$18,'Hypotheses expl (2)'!$O$22,'Hypotheses expl (2)'!$O$26,'Hypotheses expl (2)'!$O$30,'Hypotheses expl (2)'!$O$34,'Hypotheses expl (2)'!$O$42,'Hypotheses expl (2)'!$O$38,'Hypotheses expl (2)'!$O$46,'Hypotheses expl (2)'!$O$50,'Hypotheses expl (2)'!$O$54,'Hypotheses expl (2)'!$O$58,'Hypotheses expl (2)'!$O$62,'Hypotheses expl (2)'!$O$66)),0)</f>
        <v>0</v>
      </c>
      <c r="F12" s="168">
        <f>IFERROR('Compte résultat prévi'!$O$156*(SUM('Hypotheses expl (2)'!F10,'Hypotheses expl (2)'!F14,'Hypotheses expl (2)'!F18,'Hypotheses expl (2)'!F22,'Hypotheses expl (2)'!F26,'Hypotheses expl (2)'!F30,'Hypotheses expl (2)'!F34,'Hypotheses expl (2)'!F42,'Hypotheses expl (2)'!F38,'Hypotheses expl (2)'!F46,'Hypotheses expl (2)'!F50,'Hypotheses expl (2)'!F54,'Hypotheses expl (2)'!F58,'Hypotheses expl (2)'!F62,'Hypotheses expl (2)'!F66)/SUM('Hypotheses expl (2)'!$O$10,'Hypotheses expl (2)'!$O$14,'Hypotheses expl (2)'!$O$18,'Hypotheses expl (2)'!$O$22,'Hypotheses expl (2)'!$O$26,'Hypotheses expl (2)'!$O$30,'Hypotheses expl (2)'!$O$34,'Hypotheses expl (2)'!$O$42,'Hypotheses expl (2)'!$O$38,'Hypotheses expl (2)'!$O$46,'Hypotheses expl (2)'!$O$50,'Hypotheses expl (2)'!$O$54,'Hypotheses expl (2)'!$O$58,'Hypotheses expl (2)'!$O$62,'Hypotheses expl (2)'!$O$66)),0)</f>
        <v>0</v>
      </c>
      <c r="G12" s="168">
        <f>IFERROR('Compte résultat prévi'!$O$156*(SUM('Hypotheses expl (2)'!G10,'Hypotheses expl (2)'!G14,'Hypotheses expl (2)'!G18,'Hypotheses expl (2)'!G22,'Hypotheses expl (2)'!G26,'Hypotheses expl (2)'!G30,'Hypotheses expl (2)'!G34,'Hypotheses expl (2)'!G42,'Hypotheses expl (2)'!G38,'Hypotheses expl (2)'!G46,'Hypotheses expl (2)'!G50,'Hypotheses expl (2)'!G54,'Hypotheses expl (2)'!G58,'Hypotheses expl (2)'!G62,'Hypotheses expl (2)'!G66)/SUM('Hypotheses expl (2)'!$O$10,'Hypotheses expl (2)'!$O$14,'Hypotheses expl (2)'!$O$18,'Hypotheses expl (2)'!$O$22,'Hypotheses expl (2)'!$O$26,'Hypotheses expl (2)'!$O$30,'Hypotheses expl (2)'!$O$34,'Hypotheses expl (2)'!$O$42,'Hypotheses expl (2)'!$O$38,'Hypotheses expl (2)'!$O$46,'Hypotheses expl (2)'!$O$50,'Hypotheses expl (2)'!$O$54,'Hypotheses expl (2)'!$O$58,'Hypotheses expl (2)'!$O$62,'Hypotheses expl (2)'!$O$66)),0)</f>
        <v>0</v>
      </c>
      <c r="H12" s="168">
        <f>IFERROR('Compte résultat prévi'!$O$156*(SUM('Hypotheses expl (2)'!H10,'Hypotheses expl (2)'!H14,'Hypotheses expl (2)'!H18,'Hypotheses expl (2)'!H22,'Hypotheses expl (2)'!H26,'Hypotheses expl (2)'!H30,'Hypotheses expl (2)'!H34,'Hypotheses expl (2)'!H42,'Hypotheses expl (2)'!H38,'Hypotheses expl (2)'!H46,'Hypotheses expl (2)'!H50,'Hypotheses expl (2)'!H54,'Hypotheses expl (2)'!H58,'Hypotheses expl (2)'!H62,'Hypotheses expl (2)'!H66)/SUM('Hypotheses expl (2)'!$O$10,'Hypotheses expl (2)'!$O$14,'Hypotheses expl (2)'!$O$18,'Hypotheses expl (2)'!$O$22,'Hypotheses expl (2)'!$O$26,'Hypotheses expl (2)'!$O$30,'Hypotheses expl (2)'!$O$34,'Hypotheses expl (2)'!$O$42,'Hypotheses expl (2)'!$O$38,'Hypotheses expl (2)'!$O$46,'Hypotheses expl (2)'!$O$50,'Hypotheses expl (2)'!$O$54,'Hypotheses expl (2)'!$O$58,'Hypotheses expl (2)'!$O$62,'Hypotheses expl (2)'!$O$66)),0)</f>
        <v>0</v>
      </c>
      <c r="I12" s="168">
        <f>IFERROR('Compte résultat prévi'!$O$156*(SUM('Hypotheses expl (2)'!I10,'Hypotheses expl (2)'!I14,'Hypotheses expl (2)'!I18,'Hypotheses expl (2)'!I22,'Hypotheses expl (2)'!I26,'Hypotheses expl (2)'!I30,'Hypotheses expl (2)'!I34,'Hypotheses expl (2)'!I42,'Hypotheses expl (2)'!I38,'Hypotheses expl (2)'!I46,'Hypotheses expl (2)'!I50,'Hypotheses expl (2)'!I54,'Hypotheses expl (2)'!I58,'Hypotheses expl (2)'!I62,'Hypotheses expl (2)'!I66)/SUM('Hypotheses expl (2)'!$O$10,'Hypotheses expl (2)'!$O$14,'Hypotheses expl (2)'!$O$18,'Hypotheses expl (2)'!$O$22,'Hypotheses expl (2)'!$O$26,'Hypotheses expl (2)'!$O$30,'Hypotheses expl (2)'!$O$34,'Hypotheses expl (2)'!$O$42,'Hypotheses expl (2)'!$O$38,'Hypotheses expl (2)'!$O$46,'Hypotheses expl (2)'!$O$50,'Hypotheses expl (2)'!$O$54,'Hypotheses expl (2)'!$O$58,'Hypotheses expl (2)'!$O$62,'Hypotheses expl (2)'!$O$66)),0)</f>
        <v>0</v>
      </c>
      <c r="J12" s="168">
        <f>IFERROR('Compte résultat prévi'!$O$156*(SUM('Hypotheses expl (2)'!J10,'Hypotheses expl (2)'!J14,'Hypotheses expl (2)'!J18,'Hypotheses expl (2)'!J22,'Hypotheses expl (2)'!J26,'Hypotheses expl (2)'!J30,'Hypotheses expl (2)'!J34,'Hypotheses expl (2)'!J42,'Hypotheses expl (2)'!J38,'Hypotheses expl (2)'!J46,'Hypotheses expl (2)'!J50,'Hypotheses expl (2)'!J54,'Hypotheses expl (2)'!J58,'Hypotheses expl (2)'!J62,'Hypotheses expl (2)'!J66)/SUM('Hypotheses expl (2)'!$O$10,'Hypotheses expl (2)'!$O$14,'Hypotheses expl (2)'!$O$18,'Hypotheses expl (2)'!$O$22,'Hypotheses expl (2)'!$O$26,'Hypotheses expl (2)'!$O$30,'Hypotheses expl (2)'!$O$34,'Hypotheses expl (2)'!$O$42,'Hypotheses expl (2)'!$O$38,'Hypotheses expl (2)'!$O$46,'Hypotheses expl (2)'!$O$50,'Hypotheses expl (2)'!$O$54,'Hypotheses expl (2)'!$O$58,'Hypotheses expl (2)'!$O$62,'Hypotheses expl (2)'!$O$66)),0)</f>
        <v>0</v>
      </c>
      <c r="K12" s="168">
        <f>IFERROR('Compte résultat prévi'!$O$156*(SUM('Hypotheses expl (2)'!K10,'Hypotheses expl (2)'!K14,'Hypotheses expl (2)'!K18,'Hypotheses expl (2)'!K22,'Hypotheses expl (2)'!K26,'Hypotheses expl (2)'!K30,'Hypotheses expl (2)'!K34,'Hypotheses expl (2)'!K42,'Hypotheses expl (2)'!K38,'Hypotheses expl (2)'!K46,'Hypotheses expl (2)'!K50,'Hypotheses expl (2)'!K54,'Hypotheses expl (2)'!K58,'Hypotheses expl (2)'!K62,'Hypotheses expl (2)'!K66)/SUM('Hypotheses expl (2)'!$O$10,'Hypotheses expl (2)'!$O$14,'Hypotheses expl (2)'!$O$18,'Hypotheses expl (2)'!$O$22,'Hypotheses expl (2)'!$O$26,'Hypotheses expl (2)'!$O$30,'Hypotheses expl (2)'!$O$34,'Hypotheses expl (2)'!$O$42,'Hypotheses expl (2)'!$O$38,'Hypotheses expl (2)'!$O$46,'Hypotheses expl (2)'!$O$50,'Hypotheses expl (2)'!$O$54,'Hypotheses expl (2)'!$O$58,'Hypotheses expl (2)'!$O$62,'Hypotheses expl (2)'!$O$66)),0)</f>
        <v>0</v>
      </c>
      <c r="L12" s="168">
        <f>IFERROR('Compte résultat prévi'!$O$156*(SUM('Hypotheses expl (2)'!L10,'Hypotheses expl (2)'!L14,'Hypotheses expl (2)'!L18,'Hypotheses expl (2)'!L22,'Hypotheses expl (2)'!L26,'Hypotheses expl (2)'!L30,'Hypotheses expl (2)'!L34,'Hypotheses expl (2)'!L42,'Hypotheses expl (2)'!L38,'Hypotheses expl (2)'!L46,'Hypotheses expl (2)'!L50,'Hypotheses expl (2)'!L54,'Hypotheses expl (2)'!L58,'Hypotheses expl (2)'!L62,'Hypotheses expl (2)'!L66)/SUM('Hypotheses expl (2)'!$O$10,'Hypotheses expl (2)'!$O$14,'Hypotheses expl (2)'!$O$18,'Hypotheses expl (2)'!$O$22,'Hypotheses expl (2)'!$O$26,'Hypotheses expl (2)'!$O$30,'Hypotheses expl (2)'!$O$34,'Hypotheses expl (2)'!$O$42,'Hypotheses expl (2)'!$O$38,'Hypotheses expl (2)'!$O$46,'Hypotheses expl (2)'!$O$50,'Hypotheses expl (2)'!$O$54,'Hypotheses expl (2)'!$O$58,'Hypotheses expl (2)'!$O$62,'Hypotheses expl (2)'!$O$66)),0)</f>
        <v>0</v>
      </c>
      <c r="M12" s="168">
        <f>IFERROR('Compte résultat prévi'!$O$156*(SUM('Hypotheses expl (2)'!M10,'Hypotheses expl (2)'!M14,'Hypotheses expl (2)'!M18,'Hypotheses expl (2)'!M22,'Hypotheses expl (2)'!M26,'Hypotheses expl (2)'!M30,'Hypotheses expl (2)'!M34,'Hypotheses expl (2)'!M42,'Hypotheses expl (2)'!M38,'Hypotheses expl (2)'!M46,'Hypotheses expl (2)'!M50,'Hypotheses expl (2)'!M54,'Hypotheses expl (2)'!M58,'Hypotheses expl (2)'!M62,'Hypotheses expl (2)'!M66)/SUM('Hypotheses expl (2)'!$O$10,'Hypotheses expl (2)'!$O$14,'Hypotheses expl (2)'!$O$18,'Hypotheses expl (2)'!$O$22,'Hypotheses expl (2)'!$O$26,'Hypotheses expl (2)'!$O$30,'Hypotheses expl (2)'!$O$34,'Hypotheses expl (2)'!$O$42,'Hypotheses expl (2)'!$O$38,'Hypotheses expl (2)'!$O$46,'Hypotheses expl (2)'!$O$50,'Hypotheses expl (2)'!$O$54,'Hypotheses expl (2)'!$O$58,'Hypotheses expl (2)'!$O$62,'Hypotheses expl (2)'!$O$66)),0)</f>
        <v>0</v>
      </c>
      <c r="N12" s="168">
        <f>IFERROR('Compte résultat prévi'!$O$156*(SUM('Hypotheses expl (2)'!N10,'Hypotheses expl (2)'!N14,'Hypotheses expl (2)'!N18,'Hypotheses expl (2)'!N22,'Hypotheses expl (2)'!N26,'Hypotheses expl (2)'!N30,'Hypotheses expl (2)'!N34,'Hypotheses expl (2)'!N42,'Hypotheses expl (2)'!N38,'Hypotheses expl (2)'!N46,'Hypotheses expl (2)'!N50,'Hypotheses expl (2)'!N54,'Hypotheses expl (2)'!N58,'Hypotheses expl (2)'!N62,'Hypotheses expl (2)'!N66)/SUM('Hypotheses expl (2)'!$O$10,'Hypotheses expl (2)'!$O$14,'Hypotheses expl (2)'!$O$18,'Hypotheses expl (2)'!$O$22,'Hypotheses expl (2)'!$O$26,'Hypotheses expl (2)'!$O$30,'Hypotheses expl (2)'!$O$34,'Hypotheses expl (2)'!$O$42,'Hypotheses expl (2)'!$O$38,'Hypotheses expl (2)'!$O$46,'Hypotheses expl (2)'!$O$50,'Hypotheses expl (2)'!$O$54,'Hypotheses expl (2)'!$O$58,'Hypotheses expl (2)'!$O$62,'Hypotheses expl (2)'!$O$66)),0)</f>
        <v>0</v>
      </c>
    </row>
    <row r="13" ht="15">
      <c r="A13" s="163" t="s">
        <v>300</v>
      </c>
      <c r="B13" s="163"/>
      <c r="C13" s="164"/>
      <c r="D13" s="164"/>
      <c r="E13" s="164"/>
      <c r="F13" s="164"/>
      <c r="G13" s="164"/>
      <c r="H13" s="164"/>
      <c r="I13" s="164"/>
      <c r="J13" s="164"/>
      <c r="K13" s="164"/>
      <c r="L13" s="164"/>
      <c r="M13" s="164"/>
      <c r="N13" s="164"/>
    </row>
    <row r="14" ht="15"/>
  </sheetData>
  <mergeCells count="1">
    <mergeCell ref="A2:B2"/>
  </mergeCells>
  <printOptions headings="0" gridLines="0"/>
  <pageMargins left="0.69999999999999996" right="0.69999999999999996" top="0.75" bottom="0.75" header="0.29999999999999999" footer="0.29999999999999999"/>
  <pageSetup paperSize="9" scale="100" fitToWidth="1" fitToHeight="1" pageOrder="downThenOver" orientation="portrait" usePrinterDefaults="1" blackAndWhite="0" draft="0" cellComments="none" useFirstPageNumber="0" errors="displayed" horizontalDpi="600" verticalDpi="600" copies="1"/>
  <headerFooter/>
  <drawing r:id="rId1"/>
</worksheet>
</file>

<file path=xl/worksheets/sheet1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sheetPr>
    <outlinePr applyStyles="0" summaryBelow="1" summaryRight="1" showOutlineSymbols="1"/>
    <pageSetUpPr autoPageBreaks="1" fitToPage="1"/>
  </sheetPr>
  <sheetViews>
    <sheetView zoomScale="60" workbookViewId="0">
      <pane xSplit="2" ySplit="5" topLeftCell="C6" activePane="bottomRight" state="frozen"/>
      <selection activeCell="J77" activeCellId="0" sqref="J77"/>
    </sheetView>
  </sheetViews>
  <sheetFormatPr baseColWidth="10" defaultColWidth="11.44140625" defaultRowHeight="14.4" outlineLevelRow="1" outlineLevelCol="1"/>
  <cols>
    <col bestFit="1" customWidth="1" min="1" max="1" style="36" width="89.33203125"/>
    <col customWidth="1" min="2" max="2" style="87" width="5"/>
    <col customWidth="1" min="3" max="3" style="169" width="16.6640625"/>
    <col customWidth="1" min="4" max="7" outlineLevel="1" style="36" width="13"/>
    <col customWidth="1" min="8" max="8" outlineLevel="1" style="36" width="17.33203125"/>
    <col customWidth="1" min="9" max="9" style="169" width="16.6640625"/>
    <col customWidth="1" min="10" max="13" outlineLevel="1" style="36" width="13"/>
    <col customWidth="1" min="14" max="14" outlineLevel="1" style="36" width="17"/>
    <col customWidth="1" min="15" max="15" style="169" width="16.6640625"/>
    <col customWidth="1" min="16" max="20" outlineLevel="1" style="36" width="13"/>
    <col customWidth="1" min="21" max="21" style="170" width="22.44140625"/>
    <col customWidth="1" min="22" max="22" style="170" width="22.88671875"/>
    <col min="23" max="257" style="36" width="10.6640625"/>
    <col bestFit="1" customWidth="1" min="258" max="258" style="36" width="11.6640625"/>
    <col customWidth="1" min="259" max="260" style="36" width="11.6640625"/>
    <col bestFit="1" customWidth="1" min="261" max="261" style="36" width="15.33203125"/>
    <col customWidth="1" min="262" max="262" style="36" width="11.6640625"/>
    <col bestFit="1" customWidth="1" min="263" max="263" style="36" width="54.33203125"/>
    <col bestFit="1" customWidth="1" min="264" max="264" style="36" width="13.44140625"/>
    <col min="265" max="265" style="36" width="10.6640625"/>
    <col bestFit="1" customWidth="1" min="266" max="266" style="36" width="11.44140625"/>
    <col min="267" max="513" style="36" width="10.6640625"/>
    <col bestFit="1" customWidth="1" min="514" max="514" style="36" width="11.6640625"/>
    <col customWidth="1" min="515" max="516" style="36" width="11.6640625"/>
    <col bestFit="1" customWidth="1" min="517" max="517" style="36" width="15.33203125"/>
    <col customWidth="1" min="518" max="518" style="36" width="11.6640625"/>
    <col bestFit="1" customWidth="1" min="519" max="519" style="36" width="54.33203125"/>
    <col bestFit="1" customWidth="1" min="520" max="520" style="36" width="13.44140625"/>
    <col min="521" max="521" style="36" width="10.6640625"/>
    <col bestFit="1" customWidth="1" min="522" max="522" style="36" width="11.44140625"/>
    <col min="523" max="769" style="36" width="10.6640625"/>
    <col bestFit="1" customWidth="1" min="770" max="770" style="36" width="11.6640625"/>
    <col customWidth="1" min="771" max="772" style="36" width="11.6640625"/>
    <col bestFit="1" customWidth="1" min="773" max="773" style="36" width="15.33203125"/>
    <col customWidth="1" min="774" max="774" style="36" width="11.6640625"/>
    <col bestFit="1" customWidth="1" min="775" max="775" style="36" width="54.33203125"/>
    <col bestFit="1" customWidth="1" min="776" max="776" style="36" width="13.44140625"/>
    <col min="777" max="777" style="36" width="10.6640625"/>
    <col bestFit="1" customWidth="1" min="778" max="778" style="36" width="11.44140625"/>
    <col min="779" max="1025" style="36" width="10.6640625"/>
    <col bestFit="1" customWidth="1" min="1026" max="1026" style="36" width="11.6640625"/>
    <col customWidth="1" min="1027" max="1028" style="36" width="11.6640625"/>
    <col bestFit="1" customWidth="1" min="1029" max="1029" style="36" width="15.33203125"/>
    <col customWidth="1" min="1030" max="1030" style="36" width="11.6640625"/>
    <col bestFit="1" customWidth="1" min="1031" max="1031" style="36" width="54.33203125"/>
    <col bestFit="1" customWidth="1" min="1032" max="1032" style="36" width="13.44140625"/>
    <col min="1033" max="1033" style="36" width="10.6640625"/>
    <col bestFit="1" customWidth="1" min="1034" max="1034" style="36" width="11.44140625"/>
    <col min="1035" max="1281" style="36" width="10.6640625"/>
    <col bestFit="1" customWidth="1" min="1282" max="1282" style="36" width="11.6640625"/>
    <col customWidth="1" min="1283" max="1284" style="36" width="11.6640625"/>
    <col bestFit="1" customWidth="1" min="1285" max="1285" style="36" width="15.33203125"/>
    <col customWidth="1" min="1286" max="1286" style="36" width="11.6640625"/>
    <col bestFit="1" customWidth="1" min="1287" max="1287" style="36" width="54.33203125"/>
    <col bestFit="1" customWidth="1" min="1288" max="1288" style="36" width="13.44140625"/>
    <col min="1289" max="1289" style="36" width="10.6640625"/>
    <col bestFit="1" customWidth="1" min="1290" max="1290" style="36" width="11.44140625"/>
    <col min="1291" max="1537" style="36" width="10.6640625"/>
    <col bestFit="1" customWidth="1" min="1538" max="1538" style="36" width="11.6640625"/>
    <col customWidth="1" min="1539" max="1540" style="36" width="11.6640625"/>
    <col bestFit="1" customWidth="1" min="1541" max="1541" style="36" width="15.33203125"/>
    <col customWidth="1" min="1542" max="1542" style="36" width="11.6640625"/>
    <col bestFit="1" customWidth="1" min="1543" max="1543" style="36" width="54.33203125"/>
    <col bestFit="1" customWidth="1" min="1544" max="1544" style="36" width="13.44140625"/>
    <col min="1545" max="1545" style="36" width="10.6640625"/>
    <col bestFit="1" customWidth="1" min="1546" max="1546" style="36" width="11.44140625"/>
    <col min="1547" max="1793" style="36" width="10.6640625"/>
    <col bestFit="1" customWidth="1" min="1794" max="1794" style="36" width="11.6640625"/>
    <col customWidth="1" min="1795" max="1796" style="36" width="11.6640625"/>
    <col bestFit="1" customWidth="1" min="1797" max="1797" style="36" width="15.33203125"/>
    <col customWidth="1" min="1798" max="1798" style="36" width="11.6640625"/>
    <col bestFit="1" customWidth="1" min="1799" max="1799" style="36" width="54.33203125"/>
    <col bestFit="1" customWidth="1" min="1800" max="1800" style="36" width="13.44140625"/>
    <col min="1801" max="1801" style="36" width="10.6640625"/>
    <col bestFit="1" customWidth="1" min="1802" max="1802" style="36" width="11.44140625"/>
    <col min="1803" max="2049" style="36" width="10.6640625"/>
    <col bestFit="1" customWidth="1" min="2050" max="2050" style="36" width="11.6640625"/>
    <col customWidth="1" min="2051" max="2052" style="36" width="11.6640625"/>
    <col bestFit="1" customWidth="1" min="2053" max="2053" style="36" width="15.33203125"/>
    <col customWidth="1" min="2054" max="2054" style="36" width="11.6640625"/>
    <col bestFit="1" customWidth="1" min="2055" max="2055" style="36" width="54.33203125"/>
    <col bestFit="1" customWidth="1" min="2056" max="2056" style="36" width="13.44140625"/>
    <col min="2057" max="2057" style="36" width="10.6640625"/>
    <col bestFit="1" customWidth="1" min="2058" max="2058" style="36" width="11.44140625"/>
    <col min="2059" max="2305" style="36" width="10.6640625"/>
    <col bestFit="1" customWidth="1" min="2306" max="2306" style="36" width="11.6640625"/>
    <col customWidth="1" min="2307" max="2308" style="36" width="11.6640625"/>
    <col bestFit="1" customWidth="1" min="2309" max="2309" style="36" width="15.33203125"/>
    <col customWidth="1" min="2310" max="2310" style="36" width="11.6640625"/>
    <col bestFit="1" customWidth="1" min="2311" max="2311" style="36" width="54.33203125"/>
    <col bestFit="1" customWidth="1" min="2312" max="2312" style="36" width="13.44140625"/>
    <col min="2313" max="2313" style="36" width="10.6640625"/>
    <col bestFit="1" customWidth="1" min="2314" max="2314" style="36" width="11.44140625"/>
    <col min="2315" max="2561" style="36" width="10.6640625"/>
    <col bestFit="1" customWidth="1" min="2562" max="2562" style="36" width="11.6640625"/>
    <col customWidth="1" min="2563" max="2564" style="36" width="11.6640625"/>
    <col bestFit="1" customWidth="1" min="2565" max="2565" style="36" width="15.33203125"/>
    <col customWidth="1" min="2566" max="2566" style="36" width="11.6640625"/>
    <col bestFit="1" customWidth="1" min="2567" max="2567" style="36" width="54.33203125"/>
    <col bestFit="1" customWidth="1" min="2568" max="2568" style="36" width="13.44140625"/>
    <col min="2569" max="2569" style="36" width="10.6640625"/>
    <col bestFit="1" customWidth="1" min="2570" max="2570" style="36" width="11.44140625"/>
    <col min="2571" max="2817" style="36" width="10.6640625"/>
    <col bestFit="1" customWidth="1" min="2818" max="2818" style="36" width="11.6640625"/>
    <col customWidth="1" min="2819" max="2820" style="36" width="11.6640625"/>
    <col bestFit="1" customWidth="1" min="2821" max="2821" style="36" width="15.33203125"/>
    <col customWidth="1" min="2822" max="2822" style="36" width="11.6640625"/>
    <col bestFit="1" customWidth="1" min="2823" max="2823" style="36" width="54.33203125"/>
    <col bestFit="1" customWidth="1" min="2824" max="2824" style="36" width="13.44140625"/>
    <col min="2825" max="2825" style="36" width="10.6640625"/>
    <col bestFit="1" customWidth="1" min="2826" max="2826" style="36" width="11.44140625"/>
    <col min="2827" max="3073" style="36" width="10.6640625"/>
    <col bestFit="1" customWidth="1" min="3074" max="3074" style="36" width="11.6640625"/>
    <col customWidth="1" min="3075" max="3076" style="36" width="11.6640625"/>
    <col bestFit="1" customWidth="1" min="3077" max="3077" style="36" width="15.33203125"/>
    <col customWidth="1" min="3078" max="3078" style="36" width="11.6640625"/>
    <col bestFit="1" customWidth="1" min="3079" max="3079" style="36" width="54.33203125"/>
    <col bestFit="1" customWidth="1" min="3080" max="3080" style="36" width="13.44140625"/>
    <col min="3081" max="3081" style="36" width="10.6640625"/>
    <col bestFit="1" customWidth="1" min="3082" max="3082" style="36" width="11.44140625"/>
    <col min="3083" max="3329" style="36" width="10.6640625"/>
    <col bestFit="1" customWidth="1" min="3330" max="3330" style="36" width="11.6640625"/>
    <col customWidth="1" min="3331" max="3332" style="36" width="11.6640625"/>
    <col bestFit="1" customWidth="1" min="3333" max="3333" style="36" width="15.33203125"/>
    <col customWidth="1" min="3334" max="3334" style="36" width="11.6640625"/>
    <col bestFit="1" customWidth="1" min="3335" max="3335" style="36" width="54.33203125"/>
    <col bestFit="1" customWidth="1" min="3336" max="3336" style="36" width="13.44140625"/>
    <col min="3337" max="3337" style="36" width="10.6640625"/>
    <col bestFit="1" customWidth="1" min="3338" max="3338" style="36" width="11.44140625"/>
    <col min="3339" max="3585" style="36" width="10.6640625"/>
    <col bestFit="1" customWidth="1" min="3586" max="3586" style="36" width="11.6640625"/>
    <col customWidth="1" min="3587" max="3588" style="36" width="11.6640625"/>
    <col bestFit="1" customWidth="1" min="3589" max="3589" style="36" width="15.33203125"/>
    <col customWidth="1" min="3590" max="3590" style="36" width="11.6640625"/>
    <col bestFit="1" customWidth="1" min="3591" max="3591" style="36" width="54.33203125"/>
    <col bestFit="1" customWidth="1" min="3592" max="3592" style="36" width="13.44140625"/>
    <col min="3593" max="3593" style="36" width="10.6640625"/>
    <col bestFit="1" customWidth="1" min="3594" max="3594" style="36" width="11.44140625"/>
    <col min="3595" max="3841" style="36" width="10.6640625"/>
    <col bestFit="1" customWidth="1" min="3842" max="3842" style="36" width="11.6640625"/>
    <col customWidth="1" min="3843" max="3844" style="36" width="11.6640625"/>
    <col bestFit="1" customWidth="1" min="3845" max="3845" style="36" width="15.33203125"/>
    <col customWidth="1" min="3846" max="3846" style="36" width="11.6640625"/>
    <col bestFit="1" customWidth="1" min="3847" max="3847" style="36" width="54.33203125"/>
    <col bestFit="1" customWidth="1" min="3848" max="3848" style="36" width="13.44140625"/>
    <col min="3849" max="3849" style="36" width="10.6640625"/>
    <col bestFit="1" customWidth="1" min="3850" max="3850" style="36" width="11.44140625"/>
    <col min="3851" max="4097" style="36" width="10.6640625"/>
    <col bestFit="1" customWidth="1" min="4098" max="4098" style="36" width="11.6640625"/>
    <col customWidth="1" min="4099" max="4100" style="36" width="11.6640625"/>
    <col bestFit="1" customWidth="1" min="4101" max="4101" style="36" width="15.33203125"/>
    <col customWidth="1" min="4102" max="4102" style="36" width="11.6640625"/>
    <col bestFit="1" customWidth="1" min="4103" max="4103" style="36" width="54.33203125"/>
    <col bestFit="1" customWidth="1" min="4104" max="4104" style="36" width="13.44140625"/>
    <col min="4105" max="4105" style="36" width="10.6640625"/>
    <col bestFit="1" customWidth="1" min="4106" max="4106" style="36" width="11.44140625"/>
    <col min="4107" max="4353" style="36" width="10.6640625"/>
    <col bestFit="1" customWidth="1" min="4354" max="4354" style="36" width="11.6640625"/>
    <col customWidth="1" min="4355" max="4356" style="36" width="11.6640625"/>
    <col bestFit="1" customWidth="1" min="4357" max="4357" style="36" width="15.33203125"/>
    <col customWidth="1" min="4358" max="4358" style="36" width="11.6640625"/>
    <col bestFit="1" customWidth="1" min="4359" max="4359" style="36" width="54.33203125"/>
    <col bestFit="1" customWidth="1" min="4360" max="4360" style="36" width="13.44140625"/>
    <col min="4361" max="4361" style="36" width="10.6640625"/>
    <col bestFit="1" customWidth="1" min="4362" max="4362" style="36" width="11.44140625"/>
    <col min="4363" max="4609" style="36" width="10.6640625"/>
    <col bestFit="1" customWidth="1" min="4610" max="4610" style="36" width="11.6640625"/>
    <col customWidth="1" min="4611" max="4612" style="36" width="11.6640625"/>
    <col bestFit="1" customWidth="1" min="4613" max="4613" style="36" width="15.33203125"/>
    <col customWidth="1" min="4614" max="4614" style="36" width="11.6640625"/>
    <col bestFit="1" customWidth="1" min="4615" max="4615" style="36" width="54.33203125"/>
    <col bestFit="1" customWidth="1" min="4616" max="4616" style="36" width="13.44140625"/>
    <col min="4617" max="4617" style="36" width="10.6640625"/>
    <col bestFit="1" customWidth="1" min="4618" max="4618" style="36" width="11.44140625"/>
    <col min="4619" max="4865" style="36" width="10.6640625"/>
    <col bestFit="1" customWidth="1" min="4866" max="4866" style="36" width="11.6640625"/>
    <col customWidth="1" min="4867" max="4868" style="36" width="11.6640625"/>
    <col bestFit="1" customWidth="1" min="4869" max="4869" style="36" width="15.33203125"/>
    <col customWidth="1" min="4870" max="4870" style="36" width="11.6640625"/>
    <col bestFit="1" customWidth="1" min="4871" max="4871" style="36" width="54.33203125"/>
    <col bestFit="1" customWidth="1" min="4872" max="4872" style="36" width="13.44140625"/>
    <col min="4873" max="4873" style="36" width="10.6640625"/>
    <col bestFit="1" customWidth="1" min="4874" max="4874" style="36" width="11.44140625"/>
    <col min="4875" max="5121" style="36" width="10.6640625"/>
    <col bestFit="1" customWidth="1" min="5122" max="5122" style="36" width="11.6640625"/>
    <col customWidth="1" min="5123" max="5124" style="36" width="11.6640625"/>
    <col bestFit="1" customWidth="1" min="5125" max="5125" style="36" width="15.33203125"/>
    <col customWidth="1" min="5126" max="5126" style="36" width="11.6640625"/>
    <col bestFit="1" customWidth="1" min="5127" max="5127" style="36" width="54.33203125"/>
    <col bestFit="1" customWidth="1" min="5128" max="5128" style="36" width="13.44140625"/>
    <col min="5129" max="5129" style="36" width="10.6640625"/>
    <col bestFit="1" customWidth="1" min="5130" max="5130" style="36" width="11.44140625"/>
    <col min="5131" max="5377" style="36" width="10.6640625"/>
    <col bestFit="1" customWidth="1" min="5378" max="5378" style="36" width="11.6640625"/>
    <col customWidth="1" min="5379" max="5380" style="36" width="11.6640625"/>
    <col bestFit="1" customWidth="1" min="5381" max="5381" style="36" width="15.33203125"/>
    <col customWidth="1" min="5382" max="5382" style="36" width="11.6640625"/>
    <col bestFit="1" customWidth="1" min="5383" max="5383" style="36" width="54.33203125"/>
    <col bestFit="1" customWidth="1" min="5384" max="5384" style="36" width="13.44140625"/>
    <col min="5385" max="5385" style="36" width="10.6640625"/>
    <col bestFit="1" customWidth="1" min="5386" max="5386" style="36" width="11.44140625"/>
    <col min="5387" max="5633" style="36" width="10.6640625"/>
    <col bestFit="1" customWidth="1" min="5634" max="5634" style="36" width="11.6640625"/>
    <col customWidth="1" min="5635" max="5636" style="36" width="11.6640625"/>
    <col bestFit="1" customWidth="1" min="5637" max="5637" style="36" width="15.33203125"/>
    <col customWidth="1" min="5638" max="5638" style="36" width="11.6640625"/>
    <col bestFit="1" customWidth="1" min="5639" max="5639" style="36" width="54.33203125"/>
    <col bestFit="1" customWidth="1" min="5640" max="5640" style="36" width="13.44140625"/>
    <col min="5641" max="5641" style="36" width="10.6640625"/>
    <col bestFit="1" customWidth="1" min="5642" max="5642" style="36" width="11.44140625"/>
    <col min="5643" max="5889" style="36" width="10.6640625"/>
    <col bestFit="1" customWidth="1" min="5890" max="5890" style="36" width="11.6640625"/>
    <col customWidth="1" min="5891" max="5892" style="36" width="11.6640625"/>
    <col bestFit="1" customWidth="1" min="5893" max="5893" style="36" width="15.33203125"/>
    <col customWidth="1" min="5894" max="5894" style="36" width="11.6640625"/>
    <col bestFit="1" customWidth="1" min="5895" max="5895" style="36" width="54.33203125"/>
    <col bestFit="1" customWidth="1" min="5896" max="5896" style="36" width="13.44140625"/>
    <col min="5897" max="5897" style="36" width="10.6640625"/>
    <col bestFit="1" customWidth="1" min="5898" max="5898" style="36" width="11.44140625"/>
    <col min="5899" max="6145" style="36" width="10.6640625"/>
    <col bestFit="1" customWidth="1" min="6146" max="6146" style="36" width="11.6640625"/>
    <col customWidth="1" min="6147" max="6148" style="36" width="11.6640625"/>
    <col bestFit="1" customWidth="1" min="6149" max="6149" style="36" width="15.33203125"/>
    <col customWidth="1" min="6150" max="6150" style="36" width="11.6640625"/>
    <col bestFit="1" customWidth="1" min="6151" max="6151" style="36" width="54.33203125"/>
    <col bestFit="1" customWidth="1" min="6152" max="6152" style="36" width="13.44140625"/>
    <col min="6153" max="6153" style="36" width="10.6640625"/>
    <col bestFit="1" customWidth="1" min="6154" max="6154" style="36" width="11.44140625"/>
    <col min="6155" max="6401" style="36" width="10.6640625"/>
    <col bestFit="1" customWidth="1" min="6402" max="6402" style="36" width="11.6640625"/>
    <col customWidth="1" min="6403" max="6404" style="36" width="11.6640625"/>
    <col bestFit="1" customWidth="1" min="6405" max="6405" style="36" width="15.33203125"/>
    <col customWidth="1" min="6406" max="6406" style="36" width="11.6640625"/>
    <col bestFit="1" customWidth="1" min="6407" max="6407" style="36" width="54.33203125"/>
    <col bestFit="1" customWidth="1" min="6408" max="6408" style="36" width="13.44140625"/>
    <col min="6409" max="6409" style="36" width="10.6640625"/>
    <col bestFit="1" customWidth="1" min="6410" max="6410" style="36" width="11.44140625"/>
    <col min="6411" max="6657" style="36" width="10.6640625"/>
    <col bestFit="1" customWidth="1" min="6658" max="6658" style="36" width="11.6640625"/>
    <col customWidth="1" min="6659" max="6660" style="36" width="11.6640625"/>
    <col bestFit="1" customWidth="1" min="6661" max="6661" style="36" width="15.33203125"/>
    <col customWidth="1" min="6662" max="6662" style="36" width="11.6640625"/>
    <col bestFit="1" customWidth="1" min="6663" max="6663" style="36" width="54.33203125"/>
    <col bestFit="1" customWidth="1" min="6664" max="6664" style="36" width="13.44140625"/>
    <col min="6665" max="6665" style="36" width="10.6640625"/>
    <col bestFit="1" customWidth="1" min="6666" max="6666" style="36" width="11.44140625"/>
    <col min="6667" max="6913" style="36" width="10.6640625"/>
    <col bestFit="1" customWidth="1" min="6914" max="6914" style="36" width="11.6640625"/>
    <col customWidth="1" min="6915" max="6916" style="36" width="11.6640625"/>
    <col bestFit="1" customWidth="1" min="6917" max="6917" style="36" width="15.33203125"/>
    <col customWidth="1" min="6918" max="6918" style="36" width="11.6640625"/>
    <col bestFit="1" customWidth="1" min="6919" max="6919" style="36" width="54.33203125"/>
    <col bestFit="1" customWidth="1" min="6920" max="6920" style="36" width="13.44140625"/>
    <col min="6921" max="6921" style="36" width="10.6640625"/>
    <col bestFit="1" customWidth="1" min="6922" max="6922" style="36" width="11.44140625"/>
    <col min="6923" max="7169" style="36" width="10.6640625"/>
    <col bestFit="1" customWidth="1" min="7170" max="7170" style="36" width="11.6640625"/>
    <col customWidth="1" min="7171" max="7172" style="36" width="11.6640625"/>
    <col bestFit="1" customWidth="1" min="7173" max="7173" style="36" width="15.33203125"/>
    <col customWidth="1" min="7174" max="7174" style="36" width="11.6640625"/>
    <col bestFit="1" customWidth="1" min="7175" max="7175" style="36" width="54.33203125"/>
    <col bestFit="1" customWidth="1" min="7176" max="7176" style="36" width="13.44140625"/>
    <col min="7177" max="7177" style="36" width="10.6640625"/>
    <col bestFit="1" customWidth="1" min="7178" max="7178" style="36" width="11.44140625"/>
    <col min="7179" max="7425" style="36" width="10.6640625"/>
    <col bestFit="1" customWidth="1" min="7426" max="7426" style="36" width="11.6640625"/>
    <col customWidth="1" min="7427" max="7428" style="36" width="11.6640625"/>
    <col bestFit="1" customWidth="1" min="7429" max="7429" style="36" width="15.33203125"/>
    <col customWidth="1" min="7430" max="7430" style="36" width="11.6640625"/>
    <col bestFit="1" customWidth="1" min="7431" max="7431" style="36" width="54.33203125"/>
    <col bestFit="1" customWidth="1" min="7432" max="7432" style="36" width="13.44140625"/>
    <col min="7433" max="7433" style="36" width="10.6640625"/>
    <col bestFit="1" customWidth="1" min="7434" max="7434" style="36" width="11.44140625"/>
    <col min="7435" max="7681" style="36" width="10.6640625"/>
    <col bestFit="1" customWidth="1" min="7682" max="7682" style="36" width="11.6640625"/>
    <col customWidth="1" min="7683" max="7684" style="36" width="11.6640625"/>
    <col bestFit="1" customWidth="1" min="7685" max="7685" style="36" width="15.33203125"/>
    <col customWidth="1" min="7686" max="7686" style="36" width="11.6640625"/>
    <col bestFit="1" customWidth="1" min="7687" max="7687" style="36" width="54.33203125"/>
    <col bestFit="1" customWidth="1" min="7688" max="7688" style="36" width="13.44140625"/>
    <col min="7689" max="7689" style="36" width="10.6640625"/>
    <col bestFit="1" customWidth="1" min="7690" max="7690" style="36" width="11.44140625"/>
    <col min="7691" max="7937" style="36" width="10.6640625"/>
    <col bestFit="1" customWidth="1" min="7938" max="7938" style="36" width="11.6640625"/>
    <col customWidth="1" min="7939" max="7940" style="36" width="11.6640625"/>
    <col bestFit="1" customWidth="1" min="7941" max="7941" style="36" width="15.33203125"/>
    <col customWidth="1" min="7942" max="7942" style="36" width="11.6640625"/>
    <col bestFit="1" customWidth="1" min="7943" max="7943" style="36" width="54.33203125"/>
    <col bestFit="1" customWidth="1" min="7944" max="7944" style="36" width="13.44140625"/>
    <col min="7945" max="7945" style="36" width="10.6640625"/>
    <col bestFit="1" customWidth="1" min="7946" max="7946" style="36" width="11.44140625"/>
    <col min="7947" max="8193" style="36" width="10.6640625"/>
    <col bestFit="1" customWidth="1" min="8194" max="8194" style="36" width="11.6640625"/>
    <col customWidth="1" min="8195" max="8196" style="36" width="11.6640625"/>
    <col bestFit="1" customWidth="1" min="8197" max="8197" style="36" width="15.33203125"/>
    <col customWidth="1" min="8198" max="8198" style="36" width="11.6640625"/>
    <col bestFit="1" customWidth="1" min="8199" max="8199" style="36" width="54.33203125"/>
    <col bestFit="1" customWidth="1" min="8200" max="8200" style="36" width="13.44140625"/>
    <col min="8201" max="8201" style="36" width="10.6640625"/>
    <col bestFit="1" customWidth="1" min="8202" max="8202" style="36" width="11.44140625"/>
    <col min="8203" max="8449" style="36" width="10.6640625"/>
    <col bestFit="1" customWidth="1" min="8450" max="8450" style="36" width="11.6640625"/>
    <col customWidth="1" min="8451" max="8452" style="36" width="11.6640625"/>
    <col bestFit="1" customWidth="1" min="8453" max="8453" style="36" width="15.33203125"/>
    <col customWidth="1" min="8454" max="8454" style="36" width="11.6640625"/>
    <col bestFit="1" customWidth="1" min="8455" max="8455" style="36" width="54.33203125"/>
    <col bestFit="1" customWidth="1" min="8456" max="8456" style="36" width="13.44140625"/>
    <col min="8457" max="8457" style="36" width="10.6640625"/>
    <col bestFit="1" customWidth="1" min="8458" max="8458" style="36" width="11.44140625"/>
    <col min="8459" max="8705" style="36" width="10.6640625"/>
    <col bestFit="1" customWidth="1" min="8706" max="8706" style="36" width="11.6640625"/>
    <col customWidth="1" min="8707" max="8708" style="36" width="11.6640625"/>
    <col bestFit="1" customWidth="1" min="8709" max="8709" style="36" width="15.33203125"/>
    <col customWidth="1" min="8710" max="8710" style="36" width="11.6640625"/>
    <col bestFit="1" customWidth="1" min="8711" max="8711" style="36" width="54.33203125"/>
    <col bestFit="1" customWidth="1" min="8712" max="8712" style="36" width="13.44140625"/>
    <col min="8713" max="8713" style="36" width="10.6640625"/>
    <col bestFit="1" customWidth="1" min="8714" max="8714" style="36" width="11.44140625"/>
    <col min="8715" max="8961" style="36" width="10.6640625"/>
    <col bestFit="1" customWidth="1" min="8962" max="8962" style="36" width="11.6640625"/>
    <col customWidth="1" min="8963" max="8964" style="36" width="11.6640625"/>
    <col bestFit="1" customWidth="1" min="8965" max="8965" style="36" width="15.33203125"/>
    <col customWidth="1" min="8966" max="8966" style="36" width="11.6640625"/>
    <col bestFit="1" customWidth="1" min="8967" max="8967" style="36" width="54.33203125"/>
    <col bestFit="1" customWidth="1" min="8968" max="8968" style="36" width="13.44140625"/>
    <col min="8969" max="8969" style="36" width="10.6640625"/>
    <col bestFit="1" customWidth="1" min="8970" max="8970" style="36" width="11.44140625"/>
    <col min="8971" max="9217" style="36" width="10.6640625"/>
    <col bestFit="1" customWidth="1" min="9218" max="9218" style="36" width="11.6640625"/>
    <col customWidth="1" min="9219" max="9220" style="36" width="11.6640625"/>
    <col bestFit="1" customWidth="1" min="9221" max="9221" style="36" width="15.33203125"/>
    <col customWidth="1" min="9222" max="9222" style="36" width="11.6640625"/>
    <col bestFit="1" customWidth="1" min="9223" max="9223" style="36" width="54.33203125"/>
    <col bestFit="1" customWidth="1" min="9224" max="9224" style="36" width="13.44140625"/>
    <col min="9225" max="9225" style="36" width="10.6640625"/>
    <col bestFit="1" customWidth="1" min="9226" max="9226" style="36" width="11.44140625"/>
    <col min="9227" max="9473" style="36" width="10.6640625"/>
    <col bestFit="1" customWidth="1" min="9474" max="9474" style="36" width="11.6640625"/>
    <col customWidth="1" min="9475" max="9476" style="36" width="11.6640625"/>
    <col bestFit="1" customWidth="1" min="9477" max="9477" style="36" width="15.33203125"/>
    <col customWidth="1" min="9478" max="9478" style="36" width="11.6640625"/>
    <col bestFit="1" customWidth="1" min="9479" max="9479" style="36" width="54.33203125"/>
    <col bestFit="1" customWidth="1" min="9480" max="9480" style="36" width="13.44140625"/>
    <col min="9481" max="9481" style="36" width="10.6640625"/>
    <col bestFit="1" customWidth="1" min="9482" max="9482" style="36" width="11.44140625"/>
    <col min="9483" max="9729" style="36" width="10.6640625"/>
    <col bestFit="1" customWidth="1" min="9730" max="9730" style="36" width="11.6640625"/>
    <col customWidth="1" min="9731" max="9732" style="36" width="11.6640625"/>
    <col bestFit="1" customWidth="1" min="9733" max="9733" style="36" width="15.33203125"/>
    <col customWidth="1" min="9734" max="9734" style="36" width="11.6640625"/>
    <col bestFit="1" customWidth="1" min="9735" max="9735" style="36" width="54.33203125"/>
    <col bestFit="1" customWidth="1" min="9736" max="9736" style="36" width="13.44140625"/>
    <col min="9737" max="9737" style="36" width="10.6640625"/>
    <col bestFit="1" customWidth="1" min="9738" max="9738" style="36" width="11.44140625"/>
    <col min="9739" max="9985" style="36" width="10.6640625"/>
    <col bestFit="1" customWidth="1" min="9986" max="9986" style="36" width="11.6640625"/>
    <col customWidth="1" min="9987" max="9988" style="36" width="11.6640625"/>
    <col bestFit="1" customWidth="1" min="9989" max="9989" style="36" width="15.33203125"/>
    <col customWidth="1" min="9990" max="9990" style="36" width="11.6640625"/>
    <col bestFit="1" customWidth="1" min="9991" max="9991" style="36" width="54.33203125"/>
    <col bestFit="1" customWidth="1" min="9992" max="9992" style="36" width="13.44140625"/>
    <col min="9993" max="9993" style="36" width="10.6640625"/>
    <col bestFit="1" customWidth="1" min="9994" max="9994" style="36" width="11.44140625"/>
    <col min="9995" max="10241" style="36" width="10.6640625"/>
    <col bestFit="1" customWidth="1" min="10242" max="10242" style="36" width="11.6640625"/>
    <col customWidth="1" min="10243" max="10244" style="36" width="11.6640625"/>
    <col bestFit="1" customWidth="1" min="10245" max="10245" style="36" width="15.33203125"/>
    <col customWidth="1" min="10246" max="10246" style="36" width="11.6640625"/>
    <col bestFit="1" customWidth="1" min="10247" max="10247" style="36" width="54.33203125"/>
    <col bestFit="1" customWidth="1" min="10248" max="10248" style="36" width="13.44140625"/>
    <col min="10249" max="10249" style="36" width="10.6640625"/>
    <col bestFit="1" customWidth="1" min="10250" max="10250" style="36" width="11.44140625"/>
    <col min="10251" max="10497" style="36" width="10.6640625"/>
    <col bestFit="1" customWidth="1" min="10498" max="10498" style="36" width="11.6640625"/>
    <col customWidth="1" min="10499" max="10500" style="36" width="11.6640625"/>
    <col bestFit="1" customWidth="1" min="10501" max="10501" style="36" width="15.33203125"/>
    <col customWidth="1" min="10502" max="10502" style="36" width="11.6640625"/>
    <col bestFit="1" customWidth="1" min="10503" max="10503" style="36" width="54.33203125"/>
    <col bestFit="1" customWidth="1" min="10504" max="10504" style="36" width="13.44140625"/>
    <col min="10505" max="10505" style="36" width="10.6640625"/>
    <col bestFit="1" customWidth="1" min="10506" max="10506" style="36" width="11.44140625"/>
    <col min="10507" max="10753" style="36" width="10.6640625"/>
    <col bestFit="1" customWidth="1" min="10754" max="10754" style="36" width="11.6640625"/>
    <col customWidth="1" min="10755" max="10756" style="36" width="11.6640625"/>
    <col bestFit="1" customWidth="1" min="10757" max="10757" style="36" width="15.33203125"/>
    <col customWidth="1" min="10758" max="10758" style="36" width="11.6640625"/>
    <col bestFit="1" customWidth="1" min="10759" max="10759" style="36" width="54.33203125"/>
    <col bestFit="1" customWidth="1" min="10760" max="10760" style="36" width="13.44140625"/>
    <col min="10761" max="10761" style="36" width="10.6640625"/>
    <col bestFit="1" customWidth="1" min="10762" max="10762" style="36" width="11.44140625"/>
    <col min="10763" max="11009" style="36" width="10.6640625"/>
    <col bestFit="1" customWidth="1" min="11010" max="11010" style="36" width="11.6640625"/>
    <col customWidth="1" min="11011" max="11012" style="36" width="11.6640625"/>
    <col bestFit="1" customWidth="1" min="11013" max="11013" style="36" width="15.33203125"/>
    <col customWidth="1" min="11014" max="11014" style="36" width="11.6640625"/>
    <col bestFit="1" customWidth="1" min="11015" max="11015" style="36" width="54.33203125"/>
    <col bestFit="1" customWidth="1" min="11016" max="11016" style="36" width="13.44140625"/>
    <col min="11017" max="11017" style="36" width="10.6640625"/>
    <col bestFit="1" customWidth="1" min="11018" max="11018" style="36" width="11.44140625"/>
    <col min="11019" max="11265" style="36" width="10.6640625"/>
    <col bestFit="1" customWidth="1" min="11266" max="11266" style="36" width="11.6640625"/>
    <col customWidth="1" min="11267" max="11268" style="36" width="11.6640625"/>
    <col bestFit="1" customWidth="1" min="11269" max="11269" style="36" width="15.33203125"/>
    <col customWidth="1" min="11270" max="11270" style="36" width="11.6640625"/>
    <col bestFit="1" customWidth="1" min="11271" max="11271" style="36" width="54.33203125"/>
    <col bestFit="1" customWidth="1" min="11272" max="11272" style="36" width="13.44140625"/>
    <col min="11273" max="11273" style="36" width="10.6640625"/>
    <col bestFit="1" customWidth="1" min="11274" max="11274" style="36" width="11.44140625"/>
    <col min="11275" max="11521" style="36" width="10.6640625"/>
    <col bestFit="1" customWidth="1" min="11522" max="11522" style="36" width="11.6640625"/>
    <col customWidth="1" min="11523" max="11524" style="36" width="11.6640625"/>
    <col bestFit="1" customWidth="1" min="11525" max="11525" style="36" width="15.33203125"/>
    <col customWidth="1" min="11526" max="11526" style="36" width="11.6640625"/>
    <col bestFit="1" customWidth="1" min="11527" max="11527" style="36" width="54.33203125"/>
    <col bestFit="1" customWidth="1" min="11528" max="11528" style="36" width="13.44140625"/>
    <col min="11529" max="11529" style="36" width="10.6640625"/>
    <col bestFit="1" customWidth="1" min="11530" max="11530" style="36" width="11.44140625"/>
    <col min="11531" max="11777" style="36" width="10.6640625"/>
    <col bestFit="1" customWidth="1" min="11778" max="11778" style="36" width="11.6640625"/>
    <col customWidth="1" min="11779" max="11780" style="36" width="11.6640625"/>
    <col bestFit="1" customWidth="1" min="11781" max="11781" style="36" width="15.33203125"/>
    <col customWidth="1" min="11782" max="11782" style="36" width="11.6640625"/>
    <col bestFit="1" customWidth="1" min="11783" max="11783" style="36" width="54.33203125"/>
    <col bestFit="1" customWidth="1" min="11784" max="11784" style="36" width="13.44140625"/>
    <col min="11785" max="11785" style="36" width="10.6640625"/>
    <col bestFit="1" customWidth="1" min="11786" max="11786" style="36" width="11.44140625"/>
    <col min="11787" max="12033" style="36" width="10.6640625"/>
    <col bestFit="1" customWidth="1" min="12034" max="12034" style="36" width="11.6640625"/>
    <col customWidth="1" min="12035" max="12036" style="36" width="11.6640625"/>
    <col bestFit="1" customWidth="1" min="12037" max="12037" style="36" width="15.33203125"/>
    <col customWidth="1" min="12038" max="12038" style="36" width="11.6640625"/>
    <col bestFit="1" customWidth="1" min="12039" max="12039" style="36" width="54.33203125"/>
    <col bestFit="1" customWidth="1" min="12040" max="12040" style="36" width="13.44140625"/>
    <col min="12041" max="12041" style="36" width="10.6640625"/>
    <col bestFit="1" customWidth="1" min="12042" max="12042" style="36" width="11.44140625"/>
    <col min="12043" max="12289" style="36" width="10.6640625"/>
    <col bestFit="1" customWidth="1" min="12290" max="12290" style="36" width="11.6640625"/>
    <col customWidth="1" min="12291" max="12292" style="36" width="11.6640625"/>
    <col bestFit="1" customWidth="1" min="12293" max="12293" style="36" width="15.33203125"/>
    <col customWidth="1" min="12294" max="12294" style="36" width="11.6640625"/>
    <col bestFit="1" customWidth="1" min="12295" max="12295" style="36" width="54.33203125"/>
    <col bestFit="1" customWidth="1" min="12296" max="12296" style="36" width="13.44140625"/>
    <col min="12297" max="12297" style="36" width="10.6640625"/>
    <col bestFit="1" customWidth="1" min="12298" max="12298" style="36" width="11.44140625"/>
    <col min="12299" max="12545" style="36" width="10.6640625"/>
    <col bestFit="1" customWidth="1" min="12546" max="12546" style="36" width="11.6640625"/>
    <col customWidth="1" min="12547" max="12548" style="36" width="11.6640625"/>
    <col bestFit="1" customWidth="1" min="12549" max="12549" style="36" width="15.33203125"/>
    <col customWidth="1" min="12550" max="12550" style="36" width="11.6640625"/>
    <col bestFit="1" customWidth="1" min="12551" max="12551" style="36" width="54.33203125"/>
    <col bestFit="1" customWidth="1" min="12552" max="12552" style="36" width="13.44140625"/>
    <col min="12553" max="12553" style="36" width="10.6640625"/>
    <col bestFit="1" customWidth="1" min="12554" max="12554" style="36" width="11.44140625"/>
    <col min="12555" max="12801" style="36" width="10.6640625"/>
    <col bestFit="1" customWidth="1" min="12802" max="12802" style="36" width="11.6640625"/>
    <col customWidth="1" min="12803" max="12804" style="36" width="11.6640625"/>
    <col bestFit="1" customWidth="1" min="12805" max="12805" style="36" width="15.33203125"/>
    <col customWidth="1" min="12806" max="12806" style="36" width="11.6640625"/>
    <col bestFit="1" customWidth="1" min="12807" max="12807" style="36" width="54.33203125"/>
    <col bestFit="1" customWidth="1" min="12808" max="12808" style="36" width="13.44140625"/>
    <col min="12809" max="12809" style="36" width="10.6640625"/>
    <col bestFit="1" customWidth="1" min="12810" max="12810" style="36" width="11.44140625"/>
    <col min="12811" max="13057" style="36" width="10.6640625"/>
    <col bestFit="1" customWidth="1" min="13058" max="13058" style="36" width="11.6640625"/>
    <col customWidth="1" min="13059" max="13060" style="36" width="11.6640625"/>
    <col bestFit="1" customWidth="1" min="13061" max="13061" style="36" width="15.33203125"/>
    <col customWidth="1" min="13062" max="13062" style="36" width="11.6640625"/>
    <col bestFit="1" customWidth="1" min="13063" max="13063" style="36" width="54.33203125"/>
    <col bestFit="1" customWidth="1" min="13064" max="13064" style="36" width="13.44140625"/>
    <col min="13065" max="13065" style="36" width="10.6640625"/>
    <col bestFit="1" customWidth="1" min="13066" max="13066" style="36" width="11.44140625"/>
    <col min="13067" max="13313" style="36" width="10.6640625"/>
    <col bestFit="1" customWidth="1" min="13314" max="13314" style="36" width="11.6640625"/>
    <col customWidth="1" min="13315" max="13316" style="36" width="11.6640625"/>
    <col bestFit="1" customWidth="1" min="13317" max="13317" style="36" width="15.33203125"/>
    <col customWidth="1" min="13318" max="13318" style="36" width="11.6640625"/>
    <col bestFit="1" customWidth="1" min="13319" max="13319" style="36" width="54.33203125"/>
    <col bestFit="1" customWidth="1" min="13320" max="13320" style="36" width="13.44140625"/>
    <col min="13321" max="13321" style="36" width="10.6640625"/>
    <col bestFit="1" customWidth="1" min="13322" max="13322" style="36" width="11.44140625"/>
    <col min="13323" max="13569" style="36" width="10.6640625"/>
    <col bestFit="1" customWidth="1" min="13570" max="13570" style="36" width="11.6640625"/>
    <col customWidth="1" min="13571" max="13572" style="36" width="11.6640625"/>
    <col bestFit="1" customWidth="1" min="13573" max="13573" style="36" width="15.33203125"/>
    <col customWidth="1" min="13574" max="13574" style="36" width="11.6640625"/>
    <col bestFit="1" customWidth="1" min="13575" max="13575" style="36" width="54.33203125"/>
    <col bestFit="1" customWidth="1" min="13576" max="13576" style="36" width="13.44140625"/>
    <col min="13577" max="13577" style="36" width="10.6640625"/>
    <col bestFit="1" customWidth="1" min="13578" max="13578" style="36" width="11.44140625"/>
    <col min="13579" max="13825" style="36" width="10.6640625"/>
    <col bestFit="1" customWidth="1" min="13826" max="13826" style="36" width="11.6640625"/>
    <col customWidth="1" min="13827" max="13828" style="36" width="11.6640625"/>
    <col bestFit="1" customWidth="1" min="13829" max="13829" style="36" width="15.33203125"/>
    <col customWidth="1" min="13830" max="13830" style="36" width="11.6640625"/>
    <col bestFit="1" customWidth="1" min="13831" max="13831" style="36" width="54.33203125"/>
    <col bestFit="1" customWidth="1" min="13832" max="13832" style="36" width="13.44140625"/>
    <col min="13833" max="13833" style="36" width="10.6640625"/>
    <col bestFit="1" customWidth="1" min="13834" max="13834" style="36" width="11.44140625"/>
    <col min="13835" max="14081" style="36" width="10.6640625"/>
    <col bestFit="1" customWidth="1" min="14082" max="14082" style="36" width="11.6640625"/>
    <col customWidth="1" min="14083" max="14084" style="36" width="11.6640625"/>
    <col bestFit="1" customWidth="1" min="14085" max="14085" style="36" width="15.33203125"/>
    <col customWidth="1" min="14086" max="14086" style="36" width="11.6640625"/>
    <col bestFit="1" customWidth="1" min="14087" max="14087" style="36" width="54.33203125"/>
    <col bestFit="1" customWidth="1" min="14088" max="14088" style="36" width="13.44140625"/>
    <col min="14089" max="14089" style="36" width="10.6640625"/>
    <col bestFit="1" customWidth="1" min="14090" max="14090" style="36" width="11.44140625"/>
    <col min="14091" max="14337" style="36" width="10.6640625"/>
    <col bestFit="1" customWidth="1" min="14338" max="14338" style="36" width="11.6640625"/>
    <col customWidth="1" min="14339" max="14340" style="36" width="11.6640625"/>
    <col bestFit="1" customWidth="1" min="14341" max="14341" style="36" width="15.33203125"/>
    <col customWidth="1" min="14342" max="14342" style="36" width="11.6640625"/>
    <col bestFit="1" customWidth="1" min="14343" max="14343" style="36" width="54.33203125"/>
    <col bestFit="1" customWidth="1" min="14344" max="14344" style="36" width="13.44140625"/>
    <col min="14345" max="14345" style="36" width="10.6640625"/>
    <col bestFit="1" customWidth="1" min="14346" max="14346" style="36" width="11.44140625"/>
    <col min="14347" max="14593" style="36" width="10.6640625"/>
    <col bestFit="1" customWidth="1" min="14594" max="14594" style="36" width="11.6640625"/>
    <col customWidth="1" min="14595" max="14596" style="36" width="11.6640625"/>
    <col bestFit="1" customWidth="1" min="14597" max="14597" style="36" width="15.33203125"/>
    <col customWidth="1" min="14598" max="14598" style="36" width="11.6640625"/>
    <col bestFit="1" customWidth="1" min="14599" max="14599" style="36" width="54.33203125"/>
    <col bestFit="1" customWidth="1" min="14600" max="14600" style="36" width="13.44140625"/>
    <col min="14601" max="14601" style="36" width="10.6640625"/>
    <col bestFit="1" customWidth="1" min="14602" max="14602" style="36" width="11.44140625"/>
    <col min="14603" max="14849" style="36" width="10.6640625"/>
    <col bestFit="1" customWidth="1" min="14850" max="14850" style="36" width="11.6640625"/>
    <col customWidth="1" min="14851" max="14852" style="36" width="11.6640625"/>
    <col bestFit="1" customWidth="1" min="14853" max="14853" style="36" width="15.33203125"/>
    <col customWidth="1" min="14854" max="14854" style="36" width="11.6640625"/>
    <col bestFit="1" customWidth="1" min="14855" max="14855" style="36" width="54.33203125"/>
    <col bestFit="1" customWidth="1" min="14856" max="14856" style="36" width="13.44140625"/>
    <col min="14857" max="14857" style="36" width="10.6640625"/>
    <col bestFit="1" customWidth="1" min="14858" max="14858" style="36" width="11.44140625"/>
    <col min="14859" max="15105" style="36" width="10.6640625"/>
    <col bestFit="1" customWidth="1" min="15106" max="15106" style="36" width="11.6640625"/>
    <col customWidth="1" min="15107" max="15108" style="36" width="11.6640625"/>
    <col bestFit="1" customWidth="1" min="15109" max="15109" style="36" width="15.33203125"/>
    <col customWidth="1" min="15110" max="15110" style="36" width="11.6640625"/>
    <col bestFit="1" customWidth="1" min="15111" max="15111" style="36" width="54.33203125"/>
    <col bestFit="1" customWidth="1" min="15112" max="15112" style="36" width="13.44140625"/>
    <col min="15113" max="15113" style="36" width="10.6640625"/>
    <col bestFit="1" customWidth="1" min="15114" max="15114" style="36" width="11.44140625"/>
    <col min="15115" max="15361" style="36" width="10.6640625"/>
    <col bestFit="1" customWidth="1" min="15362" max="15362" style="36" width="11.6640625"/>
    <col customWidth="1" min="15363" max="15364" style="36" width="11.6640625"/>
    <col bestFit="1" customWidth="1" min="15365" max="15365" style="36" width="15.33203125"/>
    <col customWidth="1" min="15366" max="15366" style="36" width="11.6640625"/>
    <col bestFit="1" customWidth="1" min="15367" max="15367" style="36" width="54.33203125"/>
    <col bestFit="1" customWidth="1" min="15368" max="15368" style="36" width="13.44140625"/>
    <col min="15369" max="15369" style="36" width="10.6640625"/>
    <col bestFit="1" customWidth="1" min="15370" max="15370" style="36" width="11.44140625"/>
    <col min="15371" max="15617" style="36" width="10.6640625"/>
    <col bestFit="1" customWidth="1" min="15618" max="15618" style="36" width="11.6640625"/>
    <col customWidth="1" min="15619" max="15620" style="36" width="11.6640625"/>
    <col bestFit="1" customWidth="1" min="15621" max="15621" style="36" width="15.33203125"/>
    <col customWidth="1" min="15622" max="15622" style="36" width="11.6640625"/>
    <col bestFit="1" customWidth="1" min="15623" max="15623" style="36" width="54.33203125"/>
    <col bestFit="1" customWidth="1" min="15624" max="15624" style="36" width="13.44140625"/>
    <col min="15625" max="15625" style="36" width="10.6640625"/>
    <col bestFit="1" customWidth="1" min="15626" max="15626" style="36" width="11.44140625"/>
    <col min="15627" max="15873" style="36" width="10.6640625"/>
    <col bestFit="1" customWidth="1" min="15874" max="15874" style="36" width="11.6640625"/>
    <col customWidth="1" min="15875" max="15876" style="36" width="11.6640625"/>
    <col bestFit="1" customWidth="1" min="15877" max="15877" style="36" width="15.33203125"/>
    <col customWidth="1" min="15878" max="15878" style="36" width="11.6640625"/>
    <col bestFit="1" customWidth="1" min="15879" max="15879" style="36" width="54.33203125"/>
    <col bestFit="1" customWidth="1" min="15880" max="15880" style="36" width="13.44140625"/>
    <col min="15881" max="15881" style="36" width="10.6640625"/>
    <col bestFit="1" customWidth="1" min="15882" max="15882" style="36" width="11.44140625"/>
    <col min="15883" max="16129" style="36" width="10.6640625"/>
    <col bestFit="1" customWidth="1" min="16130" max="16130" style="36" width="11.6640625"/>
    <col customWidth="1" min="16131" max="16132" style="36" width="11.6640625"/>
    <col bestFit="1" customWidth="1" min="16133" max="16133" style="36" width="15.33203125"/>
    <col customWidth="1" min="16134" max="16134" style="36" width="11.6640625"/>
    <col bestFit="1" customWidth="1" min="16135" max="16135" style="36" width="54.33203125"/>
    <col bestFit="1" customWidth="1" min="16136" max="16136" style="36" width="13.44140625"/>
    <col min="16137" max="16137" style="36" width="10.6640625"/>
    <col bestFit="1" customWidth="1" min="16138" max="16138" style="36" width="11.44140625"/>
    <col min="16139" max="16384" style="36" width="10.6640625"/>
  </cols>
  <sheetData>
    <row r="1" ht="21">
      <c r="A1" s="171" t="s">
        <v>305</v>
      </c>
      <c r="D1" s="169"/>
      <c r="J1" s="169"/>
      <c r="P1" s="169"/>
    </row>
    <row r="2" ht="15"/>
    <row r="3" ht="14.699999999999999" customHeight="1">
      <c r="A3" s="172" t="s">
        <v>306</v>
      </c>
      <c r="B3" s="173" t="s">
        <v>307</v>
      </c>
      <c r="C3" s="174">
        <f>DATE(YEAR('Hypotheses expl'!B1),12,31)</f>
        <v>45291</v>
      </c>
      <c r="D3" s="175"/>
      <c r="E3" s="175"/>
      <c r="F3" s="175"/>
      <c r="G3" s="175"/>
      <c r="H3" s="176"/>
      <c r="I3" s="174">
        <f>DATE(YEAR('Hypotheses expl'!B1)+1,12,31)</f>
        <v>45657</v>
      </c>
      <c r="J3" s="175"/>
      <c r="K3" s="175"/>
      <c r="L3" s="175"/>
      <c r="M3" s="175"/>
      <c r="N3" s="176"/>
      <c r="O3" s="174">
        <f>DATE(YEAR('Hypotheses expl'!B1)+2,12,31)</f>
        <v>46022</v>
      </c>
      <c r="P3" s="175"/>
      <c r="Q3" s="175"/>
      <c r="R3" s="175"/>
      <c r="S3" s="175"/>
      <c r="T3" s="176"/>
      <c r="U3" s="177">
        <f>DATE(YEAR(C3)+3,MONTH(C3),DAY(C3))</f>
        <v>46387</v>
      </c>
      <c r="V3" s="178">
        <f>DATE(YEAR(U3)+1,MONTH(U3),DAY(U3))</f>
        <v>46752</v>
      </c>
    </row>
    <row r="4" ht="15" customHeight="1">
      <c r="A4" s="179"/>
      <c r="B4" s="180"/>
      <c r="C4" s="181"/>
      <c r="D4" s="182"/>
      <c r="E4" s="182"/>
      <c r="F4" s="182"/>
      <c r="G4" s="182"/>
      <c r="H4" s="183"/>
      <c r="I4" s="181"/>
      <c r="J4" s="182"/>
      <c r="K4" s="182"/>
      <c r="L4" s="182"/>
      <c r="M4" s="182"/>
      <c r="N4" s="183"/>
      <c r="O4" s="181"/>
      <c r="P4" s="182"/>
      <c r="Q4" s="182"/>
      <c r="R4" s="182"/>
      <c r="S4" s="182"/>
      <c r="T4" s="183"/>
      <c r="U4" s="184"/>
      <c r="V4" s="185"/>
    </row>
    <row r="5" ht="24">
      <c r="A5" s="186"/>
      <c r="B5" s="187"/>
      <c r="C5" s="188" t="s">
        <v>308</v>
      </c>
      <c r="D5" s="189" t="str">
        <f>BDD!A2</f>
        <v xml:space="preserve">FI ES</v>
      </c>
      <c r="E5" s="189" t="str">
        <f>BDD!A3</f>
        <v xml:space="preserve">FI ME</v>
      </c>
      <c r="F5" s="189" t="str">
        <f>BDD!A4</f>
        <v xml:space="preserve">FI AVION</v>
      </c>
      <c r="G5" s="189" t="str">
        <f>BDD!A5</f>
        <v>FC</v>
      </c>
      <c r="H5" s="190" t="str">
        <f>BDD!A6</f>
        <v>Structure</v>
      </c>
      <c r="I5" s="188" t="str">
        <f>C5</f>
        <v>GLOBAL</v>
      </c>
      <c r="J5" s="189" t="str">
        <f t="shared" ref="J5:N5" si="206">D5</f>
        <v xml:space="preserve">FI ES</v>
      </c>
      <c r="K5" s="189" t="str">
        <f t="shared" si="206"/>
        <v xml:space="preserve">FI ME</v>
      </c>
      <c r="L5" s="189" t="str">
        <f t="shared" si="206"/>
        <v xml:space="preserve">FI AVION</v>
      </c>
      <c r="M5" s="189" t="str">
        <f t="shared" si="206"/>
        <v>FC</v>
      </c>
      <c r="N5" s="190" t="str">
        <f t="shared" si="206"/>
        <v>Structure</v>
      </c>
      <c r="O5" s="188" t="str">
        <f>C5</f>
        <v>GLOBAL</v>
      </c>
      <c r="P5" s="189" t="str">
        <f t="shared" ref="P5:T5" si="207">D5</f>
        <v xml:space="preserve">FI ES</v>
      </c>
      <c r="Q5" s="189" t="str">
        <f t="shared" si="207"/>
        <v xml:space="preserve">FI ME</v>
      </c>
      <c r="R5" s="189" t="str">
        <f t="shared" si="207"/>
        <v xml:space="preserve">FI AVION</v>
      </c>
      <c r="S5" s="189" t="str">
        <f t="shared" si="207"/>
        <v>FC</v>
      </c>
      <c r="T5" s="190" t="str">
        <f t="shared" si="207"/>
        <v>Structure</v>
      </c>
      <c r="U5" s="191"/>
      <c r="V5" s="192"/>
    </row>
    <row r="6" ht="18">
      <c r="A6" s="193" t="s">
        <v>309</v>
      </c>
      <c r="B6" s="194"/>
      <c r="C6" s="195">
        <f t="shared" ref="C6:T6" si="208">SUM(C7:C17)</f>
        <v>490029</v>
      </c>
      <c r="D6" s="196">
        <f t="shared" si="208"/>
        <v>63331</v>
      </c>
      <c r="E6" s="196">
        <f t="shared" si="208"/>
        <v>55110</v>
      </c>
      <c r="F6" s="196">
        <f t="shared" si="208"/>
        <v>52659</v>
      </c>
      <c r="G6" s="196">
        <f t="shared" si="208"/>
        <v>318929</v>
      </c>
      <c r="H6" s="197">
        <f t="shared" si="208"/>
        <v>0</v>
      </c>
      <c r="I6" s="195">
        <f t="shared" si="208"/>
        <v>607365</v>
      </c>
      <c r="J6" s="196">
        <f t="shared" si="208"/>
        <v>63331</v>
      </c>
      <c r="K6" s="196">
        <f t="shared" si="208"/>
        <v>37990</v>
      </c>
      <c r="L6" s="196">
        <f t="shared" si="208"/>
        <v>52659</v>
      </c>
      <c r="M6" s="196">
        <f t="shared" si="208"/>
        <v>443385</v>
      </c>
      <c r="N6" s="197">
        <f t="shared" si="208"/>
        <v>10000</v>
      </c>
      <c r="O6" s="195">
        <f t="shared" si="208"/>
        <v>670865</v>
      </c>
      <c r="P6" s="196">
        <f t="shared" si="208"/>
        <v>63331</v>
      </c>
      <c r="Q6" s="196">
        <f t="shared" si="208"/>
        <v>37990</v>
      </c>
      <c r="R6" s="196">
        <f t="shared" si="208"/>
        <v>62659</v>
      </c>
      <c r="S6" s="196">
        <f t="shared" si="208"/>
        <v>386885</v>
      </c>
      <c r="T6" s="197">
        <f t="shared" si="208"/>
        <v>120000</v>
      </c>
      <c r="U6" s="195">
        <f>SUM(U7:U12)</f>
        <v>0</v>
      </c>
      <c r="V6" s="197">
        <f>SUM(V7:V12)</f>
        <v>0</v>
      </c>
    </row>
    <row r="7" outlineLevel="1">
      <c r="A7" s="198" t="str">
        <f>'Hypotheses expl'!A7</f>
        <v xml:space="preserve">Droits d'inscription</v>
      </c>
      <c r="B7" s="199"/>
      <c r="C7" s="200">
        <f>'Hypotheses expl'!O10</f>
        <v>106300</v>
      </c>
      <c r="D7" s="201">
        <f>+SUMIF('Hypotheses expl'!$R$10,'Compte résultat prévi'!$D$5,'Hypotheses expl'!$S$10)+SUMIF('Hypotheses expl'!$T$10,'Compte résultat prévi'!$D$5,'Hypotheses expl'!$U$10)+SUMIF('Hypotheses expl'!$V$10,'Compte résultat prévi'!$D$5,'Hypotheses expl'!$W$10)+SUMIF('Hypotheses expl'!$X$10,'Compte résultat prévi'!$D$5,'Hypotheses expl'!$Y$10)+SUMIF('Hypotheses expl'!$Z$10,'Compte résultat prévi'!$D$5,'Hypotheses expl'!$AA$10)+SUMIF('Hypotheses expl'!$AB$10,'Compte résultat prévi'!$D$5,'Hypotheses expl'!$AC$10)</f>
        <v>54931</v>
      </c>
      <c r="E7" s="201">
        <f>+SUMIF('Hypotheses expl'!$R$10,'Compte résultat prévi'!$E$5,'Hypotheses expl'!$S$10)+SUMIF('Hypotheses expl'!$T$10,'Compte résultat prévi'!$E$5,'Hypotheses expl'!$U$10)+SUMIF('Hypotheses expl'!$V$10,'Compte résultat prévi'!$E$5,'Hypotheses expl'!$W$10)+SUMIF('Hypotheses expl'!$X$10,'Compte résultat prévi'!$E$5,'Hypotheses expl'!$Y$10)+SUMIF('Hypotheses expl'!$Z$10,'Compte résultat prévi'!$E$5,'Hypotheses expl'!$AA$10)+SUMIF('Hypotheses expl'!$AB$10,'Compte résultat prévi'!$E$5,'Hypotheses expl'!$AC$10)</f>
        <v>27610</v>
      </c>
      <c r="F7" s="201">
        <f>+SUMIF('Hypotheses expl'!$R$10,'Compte résultat prévi'!$F$5,'Hypotheses expl'!$S$10)+SUMIF('Hypotheses expl'!$T$10,'Compte résultat prévi'!$F$5,'Hypotheses expl'!$U$10)+SUMIF('Hypotheses expl'!$V$10,'Compte résultat prévi'!$F$5,'Hypotheses expl'!$W$10)+SUMIF('Hypotheses expl'!$X$10,'Compte résultat prévi'!$F$5,'Hypotheses expl'!$Y$10)+SUMIF('Hypotheses expl'!$Z$10,'Compte résultat prévi'!$F$5,'Hypotheses expl'!$AA$10)+SUMIF('Hypotheses expl'!$AB$10,'Compte résultat prévi'!$F$5,'Hypotheses expl'!$AC$10)</f>
        <v>23759</v>
      </c>
      <c r="G7" s="201">
        <f>+SUMIF('Hypotheses expl'!$R$10,'Compte résultat prévi'!$G$5,'Hypotheses expl'!$S$10)+SUMIF('Hypotheses expl'!$T$10,'Compte résultat prévi'!$G$5,'Hypotheses expl'!$U$10)+SUMIF('Hypotheses expl'!$V$10,'Compte résultat prévi'!$G$5,'Hypotheses expl'!$W$10)+SUMIF('Hypotheses expl'!$X$10,'Compte résultat prévi'!$G$5,'Hypotheses expl'!$Y$10)+SUMIF('Hypotheses expl'!$Z$10,'Compte résultat prévi'!$G$5,'Hypotheses expl'!$AA$10)+SUMIF('Hypotheses expl'!$AB$10,'Compte résultat prévi'!$G$5,'Hypotheses expl'!$AC$10)</f>
        <v>0</v>
      </c>
      <c r="H7" s="202">
        <f>+SUMIF('Hypotheses expl'!$R$10,'Compte résultat prévi'!$H$5,'Hypotheses expl'!$S$10)+SUMIF('Hypotheses expl'!$T$10,'Compte résultat prévi'!$H$5,'Hypotheses expl'!$U$10)+SUMIF('Hypotheses expl'!$V$10,'Compte résultat prévi'!$H$5,'Hypotheses expl'!$W$10)+SUMIF('Hypotheses expl'!$X$10,'Compte résultat prévi'!$H$5,'Hypotheses expl'!$Y$10)+SUMIF('Hypotheses expl'!$Z$10,'Compte résultat prévi'!$H$5,'Hypotheses expl'!$AA$10)+SUMIF('Hypotheses expl'!$AB$10,'Compte résultat prévi'!$H$5,'Hypotheses expl'!$AC$10)</f>
        <v>0</v>
      </c>
      <c r="I7" s="200">
        <f>'Hypotheses expl (3,)'!O10</f>
        <v>106300</v>
      </c>
      <c r="J7" s="201">
        <f>+SUMIF('Hypotheses expl (3,)'!$R$10,'Compte résultat prévi'!$J$5,'Hypotheses expl (3,)'!$S$10)+SUMIF('Hypotheses expl (3,)'!$T$10,'Compte résultat prévi'!$J$5,'Hypotheses expl (3,)'!$U$10)+SUMIF('Hypotheses expl (3,)'!$V$10,'Compte résultat prévi'!$J$5,'Hypotheses expl (3,)'!$W$10)+SUMIF('Hypotheses expl (3,)'!$X$10,'Compte résultat prévi'!$J$5,'Hypotheses expl (3,)'!$Y$10)+SUMIF('Hypotheses expl (3,)'!$Z$10,'Compte résultat prévi'!$J$5,'Hypotheses expl (3,)'!$AA$10)+SUMIF('Hypotheses expl (3,)'!$AB$10,'Compte résultat prévi'!$J$5,'Hypotheses expl (3,)'!$AC$10)</f>
        <v>54931</v>
      </c>
      <c r="K7" s="201">
        <f>+SUMIF('Hypotheses expl (3,)'!$R$10,'Compte résultat prévi'!$K$5,'Hypotheses expl (3,)'!$S$10)+SUMIF('Hypotheses expl (3,)'!$T$10,'Compte résultat prévi'!$K$5,'Hypotheses expl (3,)'!$U$10)+SUMIF('Hypotheses expl (3,)'!$V$10,'Compte résultat prévi'!$K$5,'Hypotheses expl (3,)'!$W$10)+SUMIF('Hypotheses expl (3,)'!$X$10,'Compte résultat prévi'!$K$5,'Hypotheses expl (3,)'!$Y$10)+SUMIF('Hypotheses expl (3,)'!$Z$10,'Compte résultat prévi'!$K$5,'Hypotheses expl (3,)'!$AA$10)+SUMIF('Hypotheses expl (3,)'!$AB$10,'Compte résultat prévi'!$K$5,'Hypotheses expl (3,)'!$AC$10)</f>
        <v>27610</v>
      </c>
      <c r="L7" s="201">
        <f>+SUMIF('Hypotheses expl (3,)'!$R$10,'Compte résultat prévi'!$L$5,'Hypotheses expl (3,)'!$S$10)+SUMIF('Hypotheses expl (3,)'!$T$10,'Compte résultat prévi'!$L$5,'Hypotheses expl (3,)'!$U$10)+SUMIF('Hypotheses expl (3,)'!$V$10,'Compte résultat prévi'!$L$5,'Hypotheses expl (3,)'!$W$10)+SUMIF('Hypotheses expl (3,)'!$X$10,'Compte résultat prévi'!$L$5,'Hypotheses expl (3,)'!$Y$10)+SUMIF('Hypotheses expl (3,)'!$Z$10,'Compte résultat prévi'!$L$5,'Hypotheses expl (3,)'!$AA$10)+SUMIF('Hypotheses expl (3,)'!$AB$10,'Compte résultat prévi'!$L$5,'Hypotheses expl (3,)'!$AC$10)</f>
        <v>23759</v>
      </c>
      <c r="M7" s="201">
        <f>+SUMIF('Hypotheses expl (3,)'!$R$10,'Compte résultat prévi'!$M$5,'Hypotheses expl (3,)'!$S$10)+SUMIF('Hypotheses expl (3,)'!$T$10,'Compte résultat prévi'!$M$5,'Hypotheses expl (3,)'!$U$10)+SUMIF('Hypotheses expl (3,)'!$V$10,'Compte résultat prévi'!$M$5,'Hypotheses expl (3,)'!$W$10)+SUMIF('Hypotheses expl (3,)'!$X$10,'Compte résultat prévi'!$M$5,'Hypotheses expl (3,)'!$Y$10)+SUMIF('Hypotheses expl (3,)'!$Z$10,'Compte résultat prévi'!$M$5,'Hypotheses expl (3,)'!$AA$10)+SUMIF('Hypotheses expl (3,)'!$AB$10,'Compte résultat prévi'!$M$5,'Hypotheses expl (3,)'!$AC$10)</f>
        <v>0</v>
      </c>
      <c r="N7" s="202">
        <f>+SUMIF('Hypotheses expl (3,)'!$R$10,'Compte résultat prévi'!$N$5,'Hypotheses expl (3,)'!$S$10)+SUMIF('Hypotheses expl (3,)'!$T$10,'Compte résultat prévi'!$N$5,'Hypotheses expl (3,)'!$U$10)+SUMIF('Hypotheses expl (3,)'!$V$10,'Compte résultat prévi'!$N$5,'Hypotheses expl (3,)'!$W$10)+SUMIF('Hypotheses expl (3,)'!$X$10,'Compte résultat prévi'!$N$5,'Hypotheses expl (3,)'!$Y$10)+SUMIF('Hypotheses expl (3,)'!$Z$10,'Compte résultat prévi'!$N$5,'Hypotheses expl (3,)'!$AA$10)+SUMIF('Hypotheses expl (3,)'!$AB$10,'Compte résultat prévi'!$N$5,'Hypotheses expl (3,)'!$AC$10)</f>
        <v>0</v>
      </c>
      <c r="O7" s="200">
        <f>'Hypotheses expl (2)'!O10</f>
        <v>106300</v>
      </c>
      <c r="P7" s="201">
        <f>+SUMIF('Hypotheses expl (2)'!$R$10,'Compte résultat prévi'!$P$5,'Hypotheses expl (2)'!$S$10)+SUMIF('Hypotheses expl (2)'!$T$10,'Compte résultat prévi'!$P$5,'Hypotheses expl (2)'!$U$10)+SUMIF('Hypotheses expl (2)'!$V$10,'Compte résultat prévi'!$P$5,'Hypotheses expl (2)'!$W$10)+SUMIF('Hypotheses expl (2)'!$X$10,'Compte résultat prévi'!$P$5,'Hypotheses expl (2)'!$Y$10)+SUMIF('Hypotheses expl (2)'!$Z$10,'Compte résultat prévi'!$P$5,'Hypotheses expl (2)'!$AA$10)+SUMIF('Hypotheses expl (2)'!$AB$10,'Compte résultat prévi'!$P$5,'Hypotheses expl (2)'!$AC$10)</f>
        <v>54931</v>
      </c>
      <c r="Q7" s="201">
        <f>+SUMIF('Hypotheses expl (2)'!$R$10,'Compte résultat prévi'!$Q$5,'Hypotheses expl (2)'!$S$10)+SUMIF('Hypotheses expl (2)'!$T$10,'Compte résultat prévi'!$Q$5,'Hypotheses expl (2)'!$U$10)+SUMIF('Hypotheses expl (2)'!$V$10,'Compte résultat prévi'!$Q$5,'Hypotheses expl (2)'!$W$10)+SUMIF('Hypotheses expl (2)'!$X$10,'Compte résultat prévi'!$Q$5,'Hypotheses expl (2)'!$Y$10)+SUMIF('Hypotheses expl (2)'!$Z$10,'Compte résultat prévi'!$Q$5,'Hypotheses expl (2)'!$AA$10)+SUMIF('Hypotheses expl (2)'!$AB$10,'Compte résultat prévi'!$Q$5,'Hypotheses expl (2)'!$AC$10)</f>
        <v>27610</v>
      </c>
      <c r="R7" s="201">
        <f>+SUMIF('Hypotheses expl (2)'!$R$10,'Compte résultat prévi'!$R$5,'Hypotheses expl (2)'!$S$10)+SUMIF('Hypotheses expl (2)'!$T$10,'Compte résultat prévi'!$R$5,'Hypotheses expl (2)'!$U$10)+SUMIF('Hypotheses expl (2)'!$V$10,'Compte résultat prévi'!$R$5,'Hypotheses expl (2)'!$W$10)+SUMIF('Hypotheses expl (2)'!$X$10,'Compte résultat prévi'!$R$5,'Hypotheses expl (2)'!$Y$10)+SUMIF('Hypotheses expl (2)'!$Z$10,'Compte résultat prévi'!$R$5,'Hypotheses expl (2)'!$AA$10)+SUMIF('Hypotheses expl (2)'!$AB$10,'Compte résultat prévi'!$R$5,'Hypotheses expl (2)'!$AC$10)</f>
        <v>23759</v>
      </c>
      <c r="S7" s="201">
        <f>+SUMIF('Hypotheses expl (2)'!$R$10,'Compte résultat prévi'!$S$5,'Hypotheses expl (2)'!$S$10)+SUMIF('Hypotheses expl (2)'!$T$10,'Compte résultat prévi'!$S$5,'Hypotheses expl (2)'!$U$10)+SUMIF('Hypotheses expl (2)'!$V$10,'Compte résultat prévi'!$S$5,'Hypotheses expl (2)'!$W$10)+SUMIF('Hypotheses expl (2)'!$X$10,'Compte résultat prévi'!$S$5,'Hypotheses expl (2)'!$Y$10)+SUMIF('Hypotheses expl (2)'!$Z$10,'Compte résultat prévi'!$S$5,'Hypotheses expl (2)'!$AA$10)+SUMIF('Hypotheses expl (2)'!$AB$10,'Compte résultat prévi'!$S$5,'Hypotheses expl (2)'!$AC$10)</f>
        <v>0</v>
      </c>
      <c r="T7" s="202">
        <f>+SUMIF('Hypotheses expl (2)'!$R$10,'Compte résultat prévi'!$T$5,'Hypotheses expl (2)'!$S$10)+SUMIF('Hypotheses expl (2)'!$T$10,'Compte résultat prévi'!$T$5,'Hypotheses expl (2)'!$U$10)+SUMIF('Hypotheses expl (2)'!$V$10,'Compte résultat prévi'!$T$5,'Hypotheses expl (2)'!$W$10)+SUMIF('Hypotheses expl (2)'!$X$10,'Compte résultat prévi'!$T$5,'Hypotheses expl (2)'!$Y$10)+SUMIF('Hypotheses expl (2)'!$Z$10,'Compte résultat prévi'!$T$5,'Hypotheses expl (2)'!$AA$10)+SUMIF('Hypotheses expl (2)'!$AB$10,'Compte résultat prévi'!$T$5,'Hypotheses expl (2)'!$AC$10)</f>
        <v>0</v>
      </c>
      <c r="U7" s="203"/>
      <c r="V7" s="204"/>
    </row>
    <row r="8" outlineLevel="1">
      <c r="A8" s="198" t="str">
        <f>('Hypotheses expl'!A11)</f>
        <v xml:space="preserve">Frais de selection</v>
      </c>
      <c r="B8" s="199"/>
      <c r="C8" s="200">
        <f>'Hypotheses expl'!O14</f>
        <v>42800</v>
      </c>
      <c r="D8" s="201">
        <f>+SUMIF('Hypotheses expl'!$R$14,'Compte résultat prévi'!$D$5,'Hypotheses expl'!$S$14)+SUMIF('Hypotheses expl'!$T$14,'Compte résultat prévi'!$D$5,'Hypotheses expl'!$U$14)+SUMIF('Hypotheses expl'!$V$14,'Compte résultat prévi'!$D$5,'Hypotheses expl'!$W$14)+SUMIF('Hypotheses expl'!$X$14,'Compte résultat prévi'!$D$5,'Hypotheses expl'!$Y$14)+SUMIF('Hypotheses expl'!$Z$14,'Compte résultat prévi'!$D$5,'Hypotheses expl'!$AA$14)+SUMIF('Hypotheses expl'!$AB$14,'Compte résultat prévi'!$D$5,'Hypotheses expl'!$AC$14)</f>
        <v>8400</v>
      </c>
      <c r="E8" s="201">
        <f>+SUMIF('Hypotheses expl'!$R$14,'Compte résultat prévi'!$E$5,'Hypotheses expl'!$S$14)+SUMIF('Hypotheses expl'!$T$14,'Compte résultat prévi'!$E$5,'Hypotheses expl'!$U$14)+SUMIF('Hypotheses expl'!$V$14,'Compte résultat prévi'!$E$5,'Hypotheses expl'!$W$14)+SUMIF('Hypotheses expl'!$X$14,'Compte résultat prévi'!$E$5,'Hypotheses expl'!$Y$14)+SUMIF('Hypotheses expl'!$Z$14,'Compte résultat prévi'!$E$5,'Hypotheses expl'!$AA$14)+SUMIF('Hypotheses expl'!$AB$14,'Compte résultat prévi'!$E$5,'Hypotheses expl'!$AC$14)</f>
        <v>27500</v>
      </c>
      <c r="F8" s="201">
        <f>+SUMIF('Hypotheses expl'!$R$14,'Compte résultat prévi'!$F$5,'Hypotheses expl'!$S$14)+SUMIF('Hypotheses expl'!$T$14,'Compte résultat prévi'!$F$5,'Hypotheses expl'!$U$14)+SUMIF('Hypotheses expl'!$V$14,'Compte résultat prévi'!$F$5,'Hypotheses expl'!$W$14)+SUMIF('Hypotheses expl'!$X$14,'Compte résultat prévi'!$F$5,'Hypotheses expl'!$Y$14)+SUMIF('Hypotheses expl'!$Z$14,'Compte résultat prévi'!$F$5,'Hypotheses expl'!$AA$14)+SUMIF('Hypotheses expl'!$AB$14,'Compte résultat prévi'!$F$5,'Hypotheses expl'!$AC$14)</f>
        <v>6900</v>
      </c>
      <c r="G8" s="201">
        <f>+SUMIF('Hypotheses expl'!$R$14,'Compte résultat prévi'!$G$5,'Hypotheses expl'!$S$14)+SUMIF('Hypotheses expl'!$T$14,'Compte résultat prévi'!$G$5,'Hypotheses expl'!$U$14)+SUMIF('Hypotheses expl'!$V$14,'Compte résultat prévi'!$G$5,'Hypotheses expl'!$W$14)+SUMIF('Hypotheses expl'!$X$14,'Compte résultat prévi'!$G$5,'Hypotheses expl'!$Y$14)+SUMIF('Hypotheses expl'!$Z$14,'Compte résultat prévi'!$G$5,'Hypotheses expl'!$AA$14)+SUMIF('Hypotheses expl'!$AB$14,'Compte résultat prévi'!$G$5,'Hypotheses expl'!$AC$14)</f>
        <v>0</v>
      </c>
      <c r="H8" s="202">
        <f>+SUMIF('Hypotheses expl'!$R$14,'Compte résultat prévi'!$H$5,'Hypotheses expl'!$S$14)+SUMIF('Hypotheses expl'!$T$14,'Compte résultat prévi'!$H$5,'Hypotheses expl'!$U$14)+SUMIF('Hypotheses expl'!$V$14,'Compte résultat prévi'!$H$5,'Hypotheses expl'!$W$14)+SUMIF('Hypotheses expl'!$X$14,'Compte résultat prévi'!$H$5,'Hypotheses expl'!$Y$14)+SUMIF('Hypotheses expl'!$Z$14,'Compte résultat prévi'!$H$5,'Hypotheses expl'!$AA$14)+SUMIF('Hypotheses expl'!$AB$14,'Compte résultat prévi'!$H$5,'Hypotheses expl'!$AC$14)</f>
        <v>0</v>
      </c>
      <c r="I8" s="200">
        <f>'Hypotheses expl (3,)'!O14</f>
        <v>25680</v>
      </c>
      <c r="J8" s="201">
        <f>+SUMIF('Hypotheses expl (3,)'!$R$14,'Compte résultat prévi'!$J$5,'Hypotheses expl (3,)'!$S$14)+SUMIF('Hypotheses expl (3,)'!$T$14,'Compte résultat prévi'!$J$5,'Hypotheses expl (3,)'!$U$14)+SUMIF('Hypotheses expl (3,)'!$V$14,'Compte résultat prévi'!$J$5,'Hypotheses expl (3,)'!$W$14)+SUMIF('Hypotheses expl (3,)'!$X$14,'Compte résultat prévi'!$J$5,'Hypotheses expl (3,)'!$Y$14)+SUMIF('Hypotheses expl (3,)'!$Z$14,'Compte résultat prévi'!$J$5,'Hypotheses expl (3,)'!$AA$14)+SUMIF('Hypotheses expl (3,)'!$AB$14,'Compte résultat prévi'!$J$5,'Hypotheses expl (3,)'!$AC$14)</f>
        <v>8400</v>
      </c>
      <c r="K8" s="201">
        <f>+SUMIF('Hypotheses expl (3,)'!$R$14,'Compte résultat prévi'!$K$5,'Hypotheses expl (3,)'!$S$14)+SUMIF('Hypotheses expl (3,)'!$T$14,'Compte résultat prévi'!$K$5,'Hypotheses expl (3,)'!$U$14)+SUMIF('Hypotheses expl (3,)'!$V$14,'Compte résultat prévi'!$K$5,'Hypotheses expl (3,)'!$W$14)+SUMIF('Hypotheses expl (3,)'!$X$14,'Compte résultat prévi'!$K$5,'Hypotheses expl (3,)'!$Y$14)+SUMIF('Hypotheses expl (3,)'!$Z$14,'Compte résultat prévi'!$K$5,'Hypotheses expl (3,)'!$AA$14)+SUMIF('Hypotheses expl (3,)'!$AB$14,'Compte résultat prévi'!$K$5,'Hypotheses expl (3,)'!$AC$14)</f>
        <v>10380</v>
      </c>
      <c r="L8" s="201">
        <f>+SUMIF('Hypotheses expl (3,)'!$R$14,'Compte résultat prévi'!$L$5,'Hypotheses expl (3,)'!$S$14)+SUMIF('Hypotheses expl (3,)'!$T$14,'Compte résultat prévi'!$L$5,'Hypotheses expl (3,)'!$U$14)+SUMIF('Hypotheses expl (3,)'!$V$14,'Compte résultat prévi'!$L$5,'Hypotheses expl (3,)'!$W$14)+SUMIF('Hypotheses expl (3,)'!$X$14,'Compte résultat prévi'!$L$5,'Hypotheses expl (3,)'!$Y$14)+SUMIF('Hypotheses expl (3,)'!$Z$14,'Compte résultat prévi'!$L$5,'Hypotheses expl (3,)'!$AA$14)+SUMIF('Hypotheses expl (3,)'!$AB$14,'Compte résultat prévi'!$L$5,'Hypotheses expl (3,)'!$AC$14)</f>
        <v>6900</v>
      </c>
      <c r="M8" s="201">
        <f>+SUMIF('Hypotheses expl (3,)'!$R$14,'Compte résultat prévi'!$M$5,'Hypotheses expl (3,)'!$S$14)+SUMIF('Hypotheses expl (3,)'!$T$14,'Compte résultat prévi'!$M$5,'Hypotheses expl (3,)'!$U$14)+SUMIF('Hypotheses expl (3,)'!$V$14,'Compte résultat prévi'!$M$5,'Hypotheses expl (3,)'!$W$14)+SUMIF('Hypotheses expl (3,)'!$X$14,'Compte résultat prévi'!$M$5,'Hypotheses expl (3,)'!$Y$14)+SUMIF('Hypotheses expl (3,)'!$Z$14,'Compte résultat prévi'!$M$5,'Hypotheses expl (3,)'!$AA$14)+SUMIF('Hypotheses expl (3,)'!$AB$14,'Compte résultat prévi'!$M$5,'Hypotheses expl (3,)'!$AC$14)</f>
        <v>0</v>
      </c>
      <c r="N8" s="202">
        <f>+SUMIF('Hypotheses expl (3,)'!$R$14,'Compte résultat prévi'!$N$5,'Hypotheses expl (3,)'!$S$14)+SUMIF('Hypotheses expl (3,)'!$T$14,'Compte résultat prévi'!$N$5,'Hypotheses expl (3,)'!$U$14)+SUMIF('Hypotheses expl (3,)'!$V$14,'Compte résultat prévi'!$N$5,'Hypotheses expl (3,)'!$W$14)+SUMIF('Hypotheses expl (3,)'!$X$14,'Compte résultat prévi'!$N$5,'Hypotheses expl (3,)'!$Y$14)+SUMIF('Hypotheses expl (3,)'!$Z$14,'Compte résultat prévi'!$N$5,'Hypotheses expl (3,)'!$AA$14)+SUMIF('Hypotheses expl (3,)'!$AB$14,'Compte résultat prévi'!$N$5,'Hypotheses expl (3,)'!$AC$14)</f>
        <v>0</v>
      </c>
      <c r="O8" s="200">
        <f>'Hypotheses expl (2)'!O14</f>
        <v>25680</v>
      </c>
      <c r="P8" s="201">
        <f>+SUMIF('Hypotheses expl (2)'!$R$14,'Compte résultat prévi'!$P$5,'Hypotheses expl (2)'!$S$14)+SUMIF('Hypotheses expl (2)'!$T$14,'Compte résultat prévi'!$P$5,'Hypotheses expl (2)'!$U$14)+SUMIF('Hypotheses expl (2)'!$V$14,'Compte résultat prévi'!$P$5,'Hypotheses expl (2)'!$W$14)+SUMIF('Hypotheses expl (2)'!$X$14,'Compte résultat prévi'!$P$5,'Hypotheses expl (2)'!$Y$14)+SUMIF('Hypotheses expl (2)'!$Z$14,'Compte résultat prévi'!$P$5,'Hypotheses expl (2)'!$AA$14)+SUMIF('Hypotheses expl (2)'!$AB$14,'Compte résultat prévi'!$P$5,'Hypotheses expl (2)'!$AC$14)</f>
        <v>8400</v>
      </c>
      <c r="Q8" s="201">
        <f>+SUMIF('Hypotheses expl (2)'!$R$14,'Compte résultat prévi'!$Q$5,'Hypotheses expl (2)'!$S$14)+SUMIF('Hypotheses expl (2)'!$T$14,'Compte résultat prévi'!$Q$5,'Hypotheses expl (2)'!$U$14)+SUMIF('Hypotheses expl (2)'!$V$14,'Compte résultat prévi'!$Q$5,'Hypotheses expl (2)'!$W$14)+SUMIF('Hypotheses expl (2)'!$X$14,'Compte résultat prévi'!$Q$5,'Hypotheses expl (2)'!$Y$14)+SUMIF('Hypotheses expl (2)'!$Z$14,'Compte résultat prévi'!$Q$5,'Hypotheses expl (2)'!$AA$14)+SUMIF('Hypotheses expl (2)'!$AB$14,'Compte résultat prévi'!$Q$5,'Hypotheses expl (2)'!$AC$14)</f>
        <v>10380</v>
      </c>
      <c r="R8" s="201">
        <f>+SUMIF('Hypotheses expl (2)'!$R$14,'Compte résultat prévi'!$R$5,'Hypotheses expl (2)'!$S$14)+SUMIF('Hypotheses expl (2)'!$T$14,'Compte résultat prévi'!$R$5,'Hypotheses expl (2)'!$U$14)+SUMIF('Hypotheses expl (2)'!$V$14,'Compte résultat prévi'!$R$5,'Hypotheses expl (2)'!$W$14)+SUMIF('Hypotheses expl (2)'!$X$14,'Compte résultat prévi'!$R$5,'Hypotheses expl (2)'!$Y$14)+SUMIF('Hypotheses expl (2)'!$Z$14,'Compte résultat prévi'!$R$5,'Hypotheses expl (2)'!$AA$14)+SUMIF('Hypotheses expl (2)'!$AB$14,'Compte résultat prévi'!$R$5,'Hypotheses expl (2)'!$AC$14)</f>
        <v>6900</v>
      </c>
      <c r="S8" s="201">
        <f>+SUMIF('Hypotheses expl (2)'!$R$14,'Compte résultat prévi'!$S$5,'Hypotheses expl (2)'!$S$14)+SUMIF('Hypotheses expl (2)'!$T$14,'Compte résultat prévi'!$S$5,'Hypotheses expl (2)'!$U$14)+SUMIF('Hypotheses expl (2)'!$V$14,'Compte résultat prévi'!$S$5,'Hypotheses expl (2)'!$W$14)+SUMIF('Hypotheses expl (2)'!$X$14,'Compte résultat prévi'!$S$5,'Hypotheses expl (2)'!$Y$14)+SUMIF('Hypotheses expl (2)'!$Z$14,'Compte résultat prévi'!$S$5,'Hypotheses expl (2)'!$AA$14)+SUMIF('Hypotheses expl (2)'!$AB$14,'Compte résultat prévi'!$S$5,'Hypotheses expl (2)'!$AC$14)</f>
        <v>0</v>
      </c>
      <c r="T8" s="202">
        <f>+SUMIF('Hypotheses expl (2)'!$R$14,'Compte résultat prévi'!$T$5,'Hypotheses expl (2)'!$S$14)+SUMIF('Hypotheses expl (2)'!$T$14,'Compte résultat prévi'!$T$5,'Hypotheses expl (2)'!$U$14)+SUMIF('Hypotheses expl (2)'!$V$14,'Compte résultat prévi'!$T$5,'Hypotheses expl (2)'!$W$14)+SUMIF('Hypotheses expl (2)'!$X$14,'Compte résultat prévi'!$T$5,'Hypotheses expl (2)'!$Y$14)+SUMIF('Hypotheses expl (2)'!$Z$14,'Compte résultat prévi'!$T$5,'Hypotheses expl (2)'!$AA$14)+SUMIF('Hypotheses expl (2)'!$AB$14,'Compte résultat prévi'!$T$5,'Hypotheses expl (2)'!$AC$14)</f>
        <v>0</v>
      </c>
      <c r="U8" s="203"/>
      <c r="V8" s="204"/>
    </row>
    <row r="9" outlineLevel="1">
      <c r="A9" s="198" t="str">
        <f>('Hypotheses expl'!A15)</f>
        <v xml:space="preserve">Conventions formation (CAFERUIS, ALEFPA, Prepa, CNFPT, GAP, Formation perm)</v>
      </c>
      <c r="B9" s="199"/>
      <c r="C9" s="200">
        <f>'Hypotheses expl'!O18</f>
        <v>218021</v>
      </c>
      <c r="D9" s="201">
        <f>+SUMIF('Hypotheses expl'!$R$18,'Compte résultat prévi'!$D$5,'Hypotheses expl'!$S$18)+SUMIF('Hypotheses expl'!$T$18,'Compte résultat prévi'!$D$5,'Hypotheses expl'!$U$18)+SUMIF('Hypotheses expl'!$V$18,'Compte résultat prévi'!$D$5,'Hypotheses expl'!$W$18)+SUMIF('Hypotheses expl'!$X$18,'Compte résultat prévi'!$D$5,'Hypotheses expl'!$Y$18)+SUMIF('Hypotheses expl'!$Z$18,'Compte résultat prévi'!$D$5,'Hypotheses expl'!$AA$18)+SUMIF('Hypotheses expl'!$AB$18,'Compte résultat prévi'!$D$5,'Hypotheses expl'!$AC$18)</f>
        <v>0</v>
      </c>
      <c r="E9" s="201">
        <f>+SUMIF('Hypotheses expl'!$R$18,'Compte résultat prévi'!$E$5,'Hypotheses expl'!$S$18)+SUMIF('Hypotheses expl'!$T$18,'Compte résultat prévi'!$E$5,'Hypotheses expl'!$U$18)+SUMIF('Hypotheses expl'!$V$18,'Compte résultat prévi'!$E$5,'Hypotheses expl'!$W$18)+SUMIF('Hypotheses expl'!$X$18,'Compte résultat prévi'!$E$5,'Hypotheses expl'!$Y$18)+SUMIF('Hypotheses expl'!$Z$18,'Compte résultat prévi'!$E$5,'Hypotheses expl'!$AA$18)+SUMIF('Hypotheses expl'!$AB$18,'Compte résultat prévi'!$E$5,'Hypotheses expl'!$AC$18)</f>
        <v>0</v>
      </c>
      <c r="F9" s="201">
        <f>+SUMIF('Hypotheses expl'!$R$18,'Compte résultat prévi'!$F$5,'Hypotheses expl'!$S$18)+SUMIF('Hypotheses expl'!$T$18,'Compte résultat prévi'!$F$5,'Hypotheses expl'!$U$18)+SUMIF('Hypotheses expl'!$V$18,'Compte résultat prévi'!$F$5,'Hypotheses expl'!$W$18)+SUMIF('Hypotheses expl'!$X$18,'Compte résultat prévi'!$F$5,'Hypotheses expl'!$Y$18)+SUMIF('Hypotheses expl'!$Z$18,'Compte résultat prévi'!$F$5,'Hypotheses expl'!$AA$18)+SUMIF('Hypotheses expl'!$AB$18,'Compte résultat prévi'!$F$5,'Hypotheses expl'!$AC$18)</f>
        <v>0</v>
      </c>
      <c r="G9" s="201">
        <f>+SUMIF('Hypotheses expl'!$R$18,'Compte résultat prévi'!$G$5,'Hypotheses expl'!$S$18)+SUMIF('Hypotheses expl'!$T$18,'Compte résultat prévi'!$G$5,'Hypotheses expl'!$U$18)+SUMIF('Hypotheses expl'!$V$18,'Compte résultat prévi'!$G$5,'Hypotheses expl'!$W$18)+SUMIF('Hypotheses expl'!$X$18,'Compte résultat prévi'!$G$5,'Hypotheses expl'!$Y$18)+SUMIF('Hypotheses expl'!$Z$18,'Compte résultat prévi'!$G$5,'Hypotheses expl'!$AA$18)+SUMIF('Hypotheses expl'!$AB$18,'Compte résultat prévi'!$G$5,'Hypotheses expl'!$AC$18)</f>
        <v>218021</v>
      </c>
      <c r="H9" s="202">
        <f>+SUMIF('Hypotheses expl'!$R$18,'Compte résultat prévi'!$H$5,'Hypotheses expl'!$S$18)+SUMIF('Hypotheses expl'!$T$18,'Compte résultat prévi'!$H$5,'Hypotheses expl'!$U$18)+SUMIF('Hypotheses expl'!$V$18,'Compte résultat prévi'!$H$5,'Hypotheses expl'!$W$18)+SUMIF('Hypotheses expl'!$X$18,'Compte résultat prévi'!$H$5,'Hypotheses expl'!$Y$18)+SUMIF('Hypotheses expl'!$Z$18,'Compte résultat prévi'!$H$5,'Hypotheses expl'!$AA$18)+SUMIF('Hypotheses expl'!$AB$18,'Compte résultat prévi'!$H$5,'Hypotheses expl'!$AC$18)</f>
        <v>0</v>
      </c>
      <c r="I9" s="200">
        <f>'Hypotheses expl (3,)'!O18</f>
        <v>218021</v>
      </c>
      <c r="J9" s="201">
        <f>+SUMIF('Hypotheses expl (3,)'!$R$18,'Compte résultat prévi'!$J$5,'Hypotheses expl (3,)'!$S$18)+SUMIF('Hypotheses expl (3,)'!$T$18,'Compte résultat prévi'!$J$5,'Hypotheses expl (3,)'!$U$18)+SUMIF('Hypotheses expl (3,)'!$V$18,'Compte résultat prévi'!$J$5,'Hypotheses expl (3,)'!$W$18)+SUMIF('Hypotheses expl (3,)'!$X$18,'Compte résultat prévi'!$J$5,'Hypotheses expl (3,)'!$Y$18)+SUMIF('Hypotheses expl (3,)'!$Z$18,'Compte résultat prévi'!$J$5,'Hypotheses expl (3,)'!$AA$18)+SUMIF('Hypotheses expl (3,)'!$AB$18,'Compte résultat prévi'!$J$5,'Hypotheses expl (3,)'!$AC$18)</f>
        <v>0</v>
      </c>
      <c r="K9" s="201">
        <f>+SUMIF('Hypotheses expl (3,)'!$R$18,'Compte résultat prévi'!$K$5,'Hypotheses expl (3,)'!$S$18)+SUMIF('Hypotheses expl (3,)'!$T$18,'Compte résultat prévi'!$K$5,'Hypotheses expl (3,)'!$U$18)+SUMIF('Hypotheses expl (3,)'!$V$18,'Compte résultat prévi'!$K$5,'Hypotheses expl (3,)'!$W$18)+SUMIF('Hypotheses expl (3,)'!$X$18,'Compte résultat prévi'!$K$5,'Hypotheses expl (3,)'!$Y$18)+SUMIF('Hypotheses expl (3,)'!$Z$18,'Compte résultat prévi'!$K$5,'Hypotheses expl (3,)'!$AA$18)+SUMIF('Hypotheses expl (3,)'!$AB$18,'Compte résultat prévi'!$K$5,'Hypotheses expl (3,)'!$AC$18)</f>
        <v>0</v>
      </c>
      <c r="L9" s="201">
        <f>+SUMIF('Hypotheses expl (3,)'!$R$18,'Compte résultat prévi'!$L$5,'Hypotheses expl (3,)'!$S$18)+SUMIF('Hypotheses expl (3,)'!$T$18,'Compte résultat prévi'!$L$5,'Hypotheses expl (3,)'!$U$18)+SUMIF('Hypotheses expl (3,)'!$V$18,'Compte résultat prévi'!$L$5,'Hypotheses expl (3,)'!$W$18)+SUMIF('Hypotheses expl (3,)'!$X$18,'Compte résultat prévi'!$L$5,'Hypotheses expl (3,)'!$Y$18)+SUMIF('Hypotheses expl (3,)'!$Z$18,'Compte résultat prévi'!$L$5,'Hypotheses expl (3,)'!$AA$18)+SUMIF('Hypotheses expl (3,)'!$AB$18,'Compte résultat prévi'!$L$5,'Hypotheses expl (3,)'!$AC$18)</f>
        <v>0</v>
      </c>
      <c r="M9" s="201">
        <f>+SUMIF('Hypotheses expl (3,)'!$R$18,'Compte résultat prévi'!$M$5,'Hypotheses expl (3,)'!$S$18)+SUMIF('Hypotheses expl (3,)'!$T$18,'Compte résultat prévi'!$M$5,'Hypotheses expl (3,)'!$U$18)+SUMIF('Hypotheses expl (3,)'!$V$18,'Compte résultat prévi'!$M$5,'Hypotheses expl (3,)'!$W$18)+SUMIF('Hypotheses expl (3,)'!$X$18,'Compte résultat prévi'!$M$5,'Hypotheses expl (3,)'!$Y$18)+SUMIF('Hypotheses expl (3,)'!$Z$18,'Compte résultat prévi'!$M$5,'Hypotheses expl (3,)'!$AA$18)+SUMIF('Hypotheses expl (3,)'!$AB$18,'Compte résultat prévi'!$M$5,'Hypotheses expl (3,)'!$AC$18)</f>
        <v>218021</v>
      </c>
      <c r="N9" s="202">
        <f>+SUMIF('Hypotheses expl (3,)'!$R$18,'Compte résultat prévi'!$N$5,'Hypotheses expl (3,)'!$S$18)+SUMIF('Hypotheses expl (3,)'!$T$18,'Compte résultat prévi'!$N$5,'Hypotheses expl (3,)'!$U$18)+SUMIF('Hypotheses expl (3,)'!$V$18,'Compte résultat prévi'!$N$5,'Hypotheses expl (3,)'!$W$18)+SUMIF('Hypotheses expl (3,)'!$X$18,'Compte résultat prévi'!$N$5,'Hypotheses expl (3,)'!$Y$18)+SUMIF('Hypotheses expl (3,)'!$Z$18,'Compte résultat prévi'!$N$5,'Hypotheses expl (3,)'!$AA$18)+SUMIF('Hypotheses expl (3,)'!$AB$18,'Compte résultat prévi'!$N$5,'Hypotheses expl (3,)'!$AC$18)</f>
        <v>0</v>
      </c>
      <c r="O9" s="200">
        <f>'Hypotheses expl (2)'!O18</f>
        <v>218021</v>
      </c>
      <c r="P9" s="201">
        <f>+SUMIF('Hypotheses expl (2)'!$R$18,'Compte résultat prévi'!$P$5,'Hypotheses expl (2)'!$S$18)+SUMIF('Hypotheses expl (2)'!$T$18,'Compte résultat prévi'!$P$5,'Hypotheses expl (2)'!$U$18)+SUMIF('Hypotheses expl (2)'!$V$18,'Compte résultat prévi'!$P$5,'Hypotheses expl (2)'!$W$18)+SUMIF('Hypotheses expl (2)'!$X$18,'Compte résultat prévi'!$P$5,'Hypotheses expl (2)'!$Y$18)+SUMIF('Hypotheses expl (2)'!$Z$18,'Compte résultat prévi'!$P$5,'Hypotheses expl (2)'!$AA$18)+SUMIF('Hypotheses expl (2)'!$AB$18,'Compte résultat prévi'!$P$5,'Hypotheses expl (2)'!$AC$18)</f>
        <v>0</v>
      </c>
      <c r="Q9" s="201">
        <f>+SUMIF('Hypotheses expl (2)'!$R$18,'Compte résultat prévi'!$Q$5,'Hypotheses expl (2)'!$S$18)+SUMIF('Hypotheses expl (2)'!$T$18,'Compte résultat prévi'!$Q$5,'Hypotheses expl (2)'!$U$18)+SUMIF('Hypotheses expl (2)'!$V$18,'Compte résultat prévi'!$Q$5,'Hypotheses expl (2)'!$W$18)+SUMIF('Hypotheses expl (2)'!$X$18,'Compte résultat prévi'!$Q$5,'Hypotheses expl (2)'!$Y$18)+SUMIF('Hypotheses expl (2)'!$Z$18,'Compte résultat prévi'!$Q$5,'Hypotheses expl (2)'!$AA$18)+SUMIF('Hypotheses expl (2)'!$AB$18,'Compte résultat prévi'!$Q$5,'Hypotheses expl (2)'!$AC$18)</f>
        <v>0</v>
      </c>
      <c r="R9" s="201">
        <f>+SUMIF('Hypotheses expl (2)'!$R$18,'Compte résultat prévi'!$R$5,'Hypotheses expl (2)'!$S$18)+SUMIF('Hypotheses expl (2)'!$T$18,'Compte résultat prévi'!$R$5,'Hypotheses expl (2)'!$U$18)+SUMIF('Hypotheses expl (2)'!$V$18,'Compte résultat prévi'!$R$5,'Hypotheses expl (2)'!$W$18)+SUMIF('Hypotheses expl (2)'!$X$18,'Compte résultat prévi'!$R$5,'Hypotheses expl (2)'!$Y$18)+SUMIF('Hypotheses expl (2)'!$Z$18,'Compte résultat prévi'!$R$5,'Hypotheses expl (2)'!$AA$18)+SUMIF('Hypotheses expl (2)'!$AB$18,'Compte résultat prévi'!$R$5,'Hypotheses expl (2)'!$AC$18)</f>
        <v>0</v>
      </c>
      <c r="S9" s="201">
        <f>+SUMIF('Hypotheses expl (2)'!$R$18,'Compte résultat prévi'!$S$5,'Hypotheses expl (2)'!$S$18)+SUMIF('Hypotheses expl (2)'!$T$18,'Compte résultat prévi'!$S$5,'Hypotheses expl (2)'!$U$18)+SUMIF('Hypotheses expl (2)'!$V$18,'Compte résultat prévi'!$S$5,'Hypotheses expl (2)'!$W$18)+SUMIF('Hypotheses expl (2)'!$X$18,'Compte résultat prévi'!$S$5,'Hypotheses expl (2)'!$Y$18)+SUMIF('Hypotheses expl (2)'!$Z$18,'Compte résultat prévi'!$S$5,'Hypotheses expl (2)'!$AA$18)+SUMIF('Hypotheses expl (2)'!$AB$18,'Compte résultat prévi'!$S$5,'Hypotheses expl (2)'!$AC$18)</f>
        <v>218021</v>
      </c>
      <c r="T9" s="202">
        <f>+SUMIF('Hypotheses expl (2)'!$R$18,'Compte résultat prévi'!$T$5,'Hypotheses expl (2)'!$S$18)+SUMIF('Hypotheses expl (2)'!$T$18,'Compte résultat prévi'!$T$5,'Hypotheses expl (2)'!$U$18)+SUMIF('Hypotheses expl (2)'!$V$18,'Compte résultat prévi'!$T$5,'Hypotheses expl (2)'!$W$18)+SUMIF('Hypotheses expl (2)'!$X$18,'Compte résultat prévi'!$T$5,'Hypotheses expl (2)'!$Y$18)+SUMIF('Hypotheses expl (2)'!$Z$18,'Compte résultat prévi'!$T$5,'Hypotheses expl (2)'!$AA$18)+SUMIF('Hypotheses expl (2)'!$AB$18,'Compte résultat prévi'!$T$5,'Hypotheses expl (2)'!$AC$18)</f>
        <v>0</v>
      </c>
      <c r="U9" s="203"/>
      <c r="V9" s="204"/>
    </row>
    <row r="10" outlineLevel="1">
      <c r="A10" s="198" t="str">
        <f>('Hypotheses expl'!A19)</f>
        <v xml:space="preserve">Conventions formation CAFERUISE</v>
      </c>
      <c r="B10" s="199"/>
      <c r="C10" s="200">
        <f>'Hypotheses expl'!O22</f>
        <v>0</v>
      </c>
      <c r="D10" s="201">
        <f>+SUMIF('Hypotheses expl'!$R$22,'Compte résultat prévi'!$D$5,'Hypotheses expl'!$S$22)+SUMIF('Hypotheses expl'!$T$22,'Compte résultat prévi'!$D$5,'Hypotheses expl'!$U$22)+SUMIF('Hypotheses expl'!$V$22,'Compte résultat prévi'!$D$5,'Hypotheses expl'!$W$22)+SUMIF('Hypotheses expl'!$X$22,'Compte résultat prévi'!$D$5,'Hypotheses expl'!$Y$22)+SUMIF('Hypotheses expl'!$Z$22,'Compte résultat prévi'!$D$5,'Hypotheses expl'!$AA$22)+SUMIF('Hypotheses expl'!$AB$22,'Compte résultat prévi'!$D$5,'Hypotheses expl'!$AC$22)</f>
        <v>0</v>
      </c>
      <c r="E10" s="201">
        <f>+SUMIF('Hypotheses expl'!$R$22,'Compte résultat prévi'!$E$5,'Hypotheses expl'!$S$22)+SUMIF('Hypotheses expl'!$T$22,'Compte résultat prévi'!$E$5,'Hypotheses expl'!$U$22)+SUMIF('Hypotheses expl'!$V$22,'Compte résultat prévi'!$E$5,'Hypotheses expl'!$W$22)+SUMIF('Hypotheses expl'!$X$22,'Compte résultat prévi'!$E$5,'Hypotheses expl'!$Y$22)+SUMIF('Hypotheses expl'!$Z$22,'Compte résultat prévi'!$E$5,'Hypotheses expl'!$AA$22)+SUMIF('Hypotheses expl'!$AB$22,'Compte résultat prévi'!$E$5,'Hypotheses expl'!$AC$22)</f>
        <v>0</v>
      </c>
      <c r="F10" s="201">
        <f>+SUMIF('Hypotheses expl'!$R$22,'Compte résultat prévi'!$F$5,'Hypotheses expl'!$S$22)+SUMIF('Hypotheses expl'!$T$22,'Compte résultat prévi'!$F$5,'Hypotheses expl'!$U$22)+SUMIF('Hypotheses expl'!$V$22,'Compte résultat prévi'!$F$5,'Hypotheses expl'!$W$22)+SUMIF('Hypotheses expl'!$X$22,'Compte résultat prévi'!$F$5,'Hypotheses expl'!$Y$22)+SUMIF('Hypotheses expl'!$Z$22,'Compte résultat prévi'!$F$5,'Hypotheses expl'!$AA$22)+SUMIF('Hypotheses expl'!$AB$22,'Compte résultat prévi'!$F$5,'Hypotheses expl'!$AC$22)</f>
        <v>0</v>
      </c>
      <c r="G10" s="201">
        <f>+SUMIF('Hypotheses expl'!$R$22,'Compte résultat prévi'!$G$5,'Hypotheses expl'!$S$22)+SUMIF('Hypotheses expl'!$T$22,'Compte résultat prévi'!$G$5,'Hypotheses expl'!$U$22)+SUMIF('Hypotheses expl'!$V$22,'Compte résultat prévi'!$G$5,'Hypotheses expl'!$W$22)+SUMIF('Hypotheses expl'!$X$22,'Compte résultat prévi'!$G$5,'Hypotheses expl'!$Y$22)+SUMIF('Hypotheses expl'!$Z$22,'Compte résultat prévi'!$G$5,'Hypotheses expl'!$AA$22)+SUMIF('Hypotheses expl'!$AB$22,'Compte résultat prévi'!$G$5,'Hypotheses expl'!$AC$22)</f>
        <v>0</v>
      </c>
      <c r="H10" s="202">
        <f>+SUMIF('Hypotheses expl'!$R$22,'Compte résultat prévi'!$H$5,'Hypotheses expl'!$S$22)+SUMIF('Hypotheses expl'!$T$22,'Compte résultat prévi'!$H$5,'Hypotheses expl'!$U$22)+SUMIF('Hypotheses expl'!$V$22,'Compte résultat prévi'!$H$5,'Hypotheses expl'!$W$22)+SUMIF('Hypotheses expl'!$X$22,'Compte résultat prévi'!$H$5,'Hypotheses expl'!$Y$22)+SUMIF('Hypotheses expl'!$Z$22,'Compte résultat prévi'!$H$5,'Hypotheses expl'!$AA$22)+SUMIF('Hypotheses expl'!$AB$22,'Compte résultat prévi'!$H$5,'Hypotheses expl'!$AC$22)</f>
        <v>0</v>
      </c>
      <c r="I10" s="200">
        <f>'Hypotheses expl (3,)'!O22</f>
        <v>81500</v>
      </c>
      <c r="J10" s="201">
        <f>+SUMIF('Hypotheses expl (3,)'!$R$22,'Compte résultat prévi'!$J$5,'Hypotheses expl (3,)'!$S$22)+SUMIF('Hypotheses expl (3,)'!$T$22,'Compte résultat prévi'!$J$5,'Hypotheses expl (3,)'!$U$22)+SUMIF('Hypotheses expl (3,)'!$V$22,'Compte résultat prévi'!$J$5,'Hypotheses expl (3,)'!$W$22)+SUMIF('Hypotheses expl (3,)'!$X$22,'Compte résultat prévi'!$J$5,'Hypotheses expl (3,)'!$Y$22)+SUMIF('Hypotheses expl (3,)'!$Z$22,'Compte résultat prévi'!$J$5,'Hypotheses expl (3,)'!$AA$22)+SUMIF('Hypotheses expl (3,)'!$AB$22,'Compte résultat prévi'!$J$5,'Hypotheses expl (3,)'!$AC$22)</f>
        <v>0</v>
      </c>
      <c r="K10" s="201">
        <f>+SUMIF('Hypotheses expl (3,)'!$R$22,'Compte résultat prévi'!$K$5,'Hypotheses expl (3,)'!$S$22)+SUMIF('Hypotheses expl (3,)'!$T$22,'Compte résultat prévi'!$K$5,'Hypotheses expl (3,)'!$U$22)+SUMIF('Hypotheses expl (3,)'!$V$22,'Compte résultat prévi'!$K$5,'Hypotheses expl (3,)'!$W$22)+SUMIF('Hypotheses expl (3,)'!$X$22,'Compte résultat prévi'!$K$5,'Hypotheses expl (3,)'!$Y$22)+SUMIF('Hypotheses expl (3,)'!$Z$22,'Compte résultat prévi'!$K$5,'Hypotheses expl (3,)'!$AA$22)+SUMIF('Hypotheses expl (3,)'!$AB$22,'Compte résultat prévi'!$K$5,'Hypotheses expl (3,)'!$AC$22)</f>
        <v>0</v>
      </c>
      <c r="L10" s="201">
        <f>+SUMIF('Hypotheses expl (3,)'!$R$22,'Compte résultat prévi'!$L$5,'Hypotheses expl (3,)'!$S$22)+SUMIF('Hypotheses expl (3,)'!$T$22,'Compte résultat prévi'!$L$5,'Hypotheses expl (3,)'!$U$22)+SUMIF('Hypotheses expl (3,)'!$V$22,'Compte résultat prévi'!$L$5,'Hypotheses expl (3,)'!$W$22)+SUMIF('Hypotheses expl (3,)'!$X$22,'Compte résultat prévi'!$L$5,'Hypotheses expl (3,)'!$Y$22)+SUMIF('Hypotheses expl (3,)'!$Z$22,'Compte résultat prévi'!$L$5,'Hypotheses expl (3,)'!$AA$22)+SUMIF('Hypotheses expl (3,)'!$AB$22,'Compte résultat prévi'!$L$5,'Hypotheses expl (3,)'!$AC$22)</f>
        <v>0</v>
      </c>
      <c r="M10" s="201">
        <f>+SUMIF('Hypotheses expl (3,)'!$R$22,'Compte résultat prévi'!$M$5,'Hypotheses expl (3,)'!$S$22)+SUMIF('Hypotheses expl (3,)'!$T$22,'Compte résultat prévi'!$M$5,'Hypotheses expl (3,)'!$U$22)+SUMIF('Hypotheses expl (3,)'!$V$22,'Compte résultat prévi'!$M$5,'Hypotheses expl (3,)'!$W$22)+SUMIF('Hypotheses expl (3,)'!$X$22,'Compte résultat prévi'!$M$5,'Hypotheses expl (3,)'!$Y$22)+SUMIF('Hypotheses expl (3,)'!$Z$22,'Compte résultat prévi'!$M$5,'Hypotheses expl (3,)'!$AA$22)+SUMIF('Hypotheses expl (3,)'!$AB$22,'Compte résultat prévi'!$M$5,'Hypotheses expl (3,)'!$AC$22)</f>
        <v>81500</v>
      </c>
      <c r="N10" s="202">
        <f>+SUMIF('Hypotheses expl (3,)'!$R$22,'Compte résultat prévi'!$N$5,'Hypotheses expl (3,)'!$S$22)+SUMIF('Hypotheses expl (3,)'!$T$22,'Compte résultat prévi'!$N$5,'Hypotheses expl (3,)'!$U$22)+SUMIF('Hypotheses expl (3,)'!$V$22,'Compte résultat prévi'!$N$5,'Hypotheses expl (3,)'!$W$22)+SUMIF('Hypotheses expl (3,)'!$X$22,'Compte résultat prévi'!$N$5,'Hypotheses expl (3,)'!$Y$22)+SUMIF('Hypotheses expl (3,)'!$Z$22,'Compte résultat prévi'!$N$5,'Hypotheses expl (3,)'!$AA$22)+SUMIF('Hypotheses expl (3,)'!$AB$22,'Compte résultat prévi'!$N$5,'Hypotheses expl (3,)'!$AC$22)</f>
        <v>0</v>
      </c>
      <c r="O10" s="200">
        <f>'Hypotheses expl (2)'!O22</f>
        <v>0</v>
      </c>
      <c r="P10" s="201">
        <f>+SUMIF('Hypotheses expl (2)'!$R$22,'Compte résultat prévi'!$P$5,'Hypotheses expl (2)'!$S$22)+SUMIF('Hypotheses expl (2)'!$T$22,'Compte résultat prévi'!$P$5,'Hypotheses expl (2)'!$U$22)+SUMIF('Hypotheses expl (2)'!$V$22,'Compte résultat prévi'!$P$5,'Hypotheses expl (2)'!$W$22)+SUMIF('Hypotheses expl (2)'!$X$22,'Compte résultat prévi'!$P$5,'Hypotheses expl (2)'!$Y$22)+SUMIF('Hypotheses expl (2)'!$Z$22,'Compte résultat prévi'!$P$5,'Hypotheses expl (2)'!$AA$22)+SUMIF('Hypotheses expl (2)'!$AB$22,'Compte résultat prévi'!$P$5,'Hypotheses expl (2)'!$AC$22)</f>
        <v>0</v>
      </c>
      <c r="Q10" s="201">
        <f>+SUMIF('Hypotheses expl (2)'!$R$22,'Compte résultat prévi'!$Q$5,'Hypotheses expl (2)'!$S$22)+SUMIF('Hypotheses expl (2)'!$T$22,'Compte résultat prévi'!$Q$5,'Hypotheses expl (2)'!$U$22)+SUMIF('Hypotheses expl (2)'!$V$22,'Compte résultat prévi'!$Q$5,'Hypotheses expl (2)'!$W$22)+SUMIF('Hypotheses expl (2)'!$X$22,'Compte résultat prévi'!$Q$5,'Hypotheses expl (2)'!$Y$22)+SUMIF('Hypotheses expl (2)'!$Z$22,'Compte résultat prévi'!$Q$5,'Hypotheses expl (2)'!$AA$22)+SUMIF('Hypotheses expl (2)'!$AB$22,'Compte résultat prévi'!$Q$5,'Hypotheses expl (2)'!$AC$22)</f>
        <v>0</v>
      </c>
      <c r="R10" s="201">
        <f>+SUMIF('Hypotheses expl (2)'!$R$22,'Compte résultat prévi'!$R$5,'Hypotheses expl (2)'!$S$22)+SUMIF('Hypotheses expl (2)'!$T$22,'Compte résultat prévi'!$R$5,'Hypotheses expl (2)'!$U$22)+SUMIF('Hypotheses expl (2)'!$V$22,'Compte résultat prévi'!$R$5,'Hypotheses expl (2)'!$W$22)+SUMIF('Hypotheses expl (2)'!$X$22,'Compte résultat prévi'!$R$5,'Hypotheses expl (2)'!$Y$22)+SUMIF('Hypotheses expl (2)'!$Z$22,'Compte résultat prévi'!$R$5,'Hypotheses expl (2)'!$AA$22)+SUMIF('Hypotheses expl (2)'!$AB$22,'Compte résultat prévi'!$R$5,'Hypotheses expl (2)'!$AC$22)</f>
        <v>0</v>
      </c>
      <c r="S10" s="201">
        <f>+SUMIF('Hypotheses expl (2)'!$R$22,'Compte résultat prévi'!$S$5,'Hypotheses expl (2)'!$S$22)+SUMIF('Hypotheses expl (2)'!$T$22,'Compte résultat prévi'!$S$5,'Hypotheses expl (2)'!$U$22)+SUMIF('Hypotheses expl (2)'!$V$22,'Compte résultat prévi'!$S$5,'Hypotheses expl (2)'!$W$22)+SUMIF('Hypotheses expl (2)'!$X$22,'Compte résultat prévi'!$S$5,'Hypotheses expl (2)'!$Y$22)+SUMIF('Hypotheses expl (2)'!$Z$22,'Compte résultat prévi'!$S$5,'Hypotheses expl (2)'!$AA$22)+SUMIF('Hypotheses expl (2)'!$AB$22,'Compte résultat prévi'!$S$5,'Hypotheses expl (2)'!$AC$22)</f>
        <v>0</v>
      </c>
      <c r="T10" s="202">
        <f>+SUMIF('Hypotheses expl (2)'!$R$22,'Compte résultat prévi'!$T$5,'Hypotheses expl (2)'!$S$22)+SUMIF('Hypotheses expl (2)'!$T$22,'Compte résultat prévi'!$T$5,'Hypotheses expl (2)'!$U$22)+SUMIF('Hypotheses expl (2)'!$V$22,'Compte résultat prévi'!$T$5,'Hypotheses expl (2)'!$W$22)+SUMIF('Hypotheses expl (2)'!$X$22,'Compte résultat prévi'!$T$5,'Hypotheses expl (2)'!$Y$22)+SUMIF('Hypotheses expl (2)'!$Z$22,'Compte résultat prévi'!$T$5,'Hypotheses expl (2)'!$AA$22)+SUMIF('Hypotheses expl (2)'!$AB$22,'Compte résultat prévi'!$T$5,'Hypotheses expl (2)'!$AC$22)</f>
        <v>0</v>
      </c>
      <c r="U10" s="203"/>
      <c r="V10" s="204"/>
    </row>
    <row r="11" outlineLevel="1">
      <c r="A11" s="198" t="str">
        <f>('Hypotheses expl'!A23)</f>
        <v>Apprentissage</v>
      </c>
      <c r="B11" s="199"/>
      <c r="C11" s="200">
        <f>'Hypotheses expl'!O26</f>
        <v>59508</v>
      </c>
      <c r="D11" s="201">
        <f>+SUMIF('Hypotheses expl'!$R$26,'Compte résultat prévi'!$D$5,'Hypotheses expl'!$S$26)+SUMIF('Hypotheses expl'!$T$26,'Compte résultat prévi'!$D$5,'Hypotheses expl'!$U$26)+SUMIF('Hypotheses expl'!$V$26,'Compte résultat prévi'!$D$5,'Hypotheses expl'!$W$26)+SUMIF('Hypotheses expl'!$X$26,'Compte résultat prévi'!$D$5,'Hypotheses expl'!$Y$26)+SUMIF('Hypotheses expl'!$Z$26,'Compte résultat prévi'!$D$5,'Hypotheses expl'!$AA$26)+SUMIF('Hypotheses expl'!$AB$26,'Compte résultat prévi'!$D$5,'Hypotheses expl'!$AC$26)</f>
        <v>0</v>
      </c>
      <c r="E11" s="201">
        <f>+SUMIF('Hypotheses expl'!$R$26,'Compte résultat prévi'!$E$5,'Hypotheses expl'!$S$26)+SUMIF('Hypotheses expl'!$T$26,'Compte résultat prévi'!$E$5,'Hypotheses expl'!$U$26)+SUMIF('Hypotheses expl'!$V$26,'Compte résultat prévi'!$E$5,'Hypotheses expl'!$W$26)+SUMIF('Hypotheses expl'!$X$26,'Compte résultat prévi'!$E$5,'Hypotheses expl'!$Y$26)+SUMIF('Hypotheses expl'!$Z$26,'Compte résultat prévi'!$E$5,'Hypotheses expl'!$AA$26)+SUMIF('Hypotheses expl'!$AB$26,'Compte résultat prévi'!$E$5,'Hypotheses expl'!$AC$26)</f>
        <v>0</v>
      </c>
      <c r="F11" s="201">
        <f>+SUMIF('Hypotheses expl'!$R$26,'Compte résultat prévi'!$F$5,'Hypotheses expl'!$S$26)+SUMIF('Hypotheses expl'!$T$26,'Compte résultat prévi'!$F$5,'Hypotheses expl'!$U$26)+SUMIF('Hypotheses expl'!$V$26,'Compte résultat prévi'!$F$5,'Hypotheses expl'!$W$26)+SUMIF('Hypotheses expl'!$X$26,'Compte résultat prévi'!$F$5,'Hypotheses expl'!$Y$26)+SUMIF('Hypotheses expl'!$Z$26,'Compte résultat prévi'!$F$5,'Hypotheses expl'!$AA$26)+SUMIF('Hypotheses expl'!$AB$26,'Compte résultat prévi'!$F$5,'Hypotheses expl'!$AC$26)</f>
        <v>0</v>
      </c>
      <c r="G11" s="201">
        <f>+SUMIF('Hypotheses expl'!$R$26,'Compte résultat prévi'!$G$5,'Hypotheses expl'!$S$26)+SUMIF('Hypotheses expl'!$T$26,'Compte résultat prévi'!$G$5,'Hypotheses expl'!$U$26)+SUMIF('Hypotheses expl'!$V$26,'Compte résultat prévi'!$G$5,'Hypotheses expl'!$W$26)+SUMIF('Hypotheses expl'!$X$26,'Compte résultat prévi'!$G$5,'Hypotheses expl'!$Y$26)+SUMIF('Hypotheses expl'!$Z$26,'Compte résultat prévi'!$G$5,'Hypotheses expl'!$AA$26)+SUMIF('Hypotheses expl'!$AB$26,'Compte résultat prévi'!$G$5,'Hypotheses expl'!$AC$26)</f>
        <v>59508</v>
      </c>
      <c r="H11" s="202">
        <f>+SUMIF('Hypotheses expl'!$R$26,'Compte résultat prévi'!$H$5,'Hypotheses expl'!$S$26)+SUMIF('Hypotheses expl'!$T$26,'Compte résultat prévi'!$H$5,'Hypotheses expl'!$U$26)+SUMIF('Hypotheses expl'!$V$26,'Compte résultat prévi'!$H$5,'Hypotheses expl'!$W$26)+SUMIF('Hypotheses expl'!$X$26,'Compte résultat prévi'!$H$5,'Hypotheses expl'!$Y$26)+SUMIF('Hypotheses expl'!$Z$26,'Compte résultat prévi'!$H$5,'Hypotheses expl'!$AA$26)+SUMIF('Hypotheses expl'!$AB$26,'Compte résultat prévi'!$H$5,'Hypotheses expl'!$AC$26)</f>
        <v>0</v>
      </c>
      <c r="I11" s="200">
        <f>'Hypotheses expl (3,)'!O26</f>
        <v>105000</v>
      </c>
      <c r="J11" s="201">
        <f>+SUMIF('Hypotheses expl (3,)'!$R$26,'Compte résultat prévi'!$J$5,'Hypotheses expl (3,)'!$S$26)+SUMIF('Hypotheses expl (3,)'!$T$26,'Compte résultat prévi'!$J$5,'Hypotheses expl (3,)'!$U$26)+SUMIF('Hypotheses expl (3,)'!$V$26,'Compte résultat prévi'!$J$5,'Hypotheses expl (3,)'!$W$26)+SUMIF('Hypotheses expl (3,)'!$X$26,'Compte résultat prévi'!$J$5,'Hypotheses expl (3,)'!$Y$26)+SUMIF('Hypotheses expl (3,)'!$Z$26,'Compte résultat prévi'!$J$5,'Hypotheses expl (3,)'!$AA$26)+SUMIF('Hypotheses expl (3,)'!$AB$26,'Compte résultat prévi'!$J$5,'Hypotheses expl (3,)'!$AC$26)</f>
        <v>0</v>
      </c>
      <c r="K11" s="201">
        <f>+SUMIF('Hypotheses expl (3,)'!$R$26,'Compte résultat prévi'!$K$5,'Hypotheses expl (3,)'!$S$26)+SUMIF('Hypotheses expl (3,)'!$T$26,'Compte résultat prévi'!$K$5,'Hypotheses expl (3,)'!$U$26)+SUMIF('Hypotheses expl (3,)'!$V$26,'Compte résultat prévi'!$K$5,'Hypotheses expl (3,)'!$W$26)+SUMIF('Hypotheses expl (3,)'!$X$26,'Compte résultat prévi'!$K$5,'Hypotheses expl (3,)'!$Y$26)+SUMIF('Hypotheses expl (3,)'!$Z$26,'Compte résultat prévi'!$K$5,'Hypotheses expl (3,)'!$AA$26)+SUMIF('Hypotheses expl (3,)'!$AB$26,'Compte résultat prévi'!$K$5,'Hypotheses expl (3,)'!$AC$26)</f>
        <v>0</v>
      </c>
      <c r="L11" s="201">
        <f>+SUMIF('Hypotheses expl (3,)'!$R$26,'Compte résultat prévi'!$L$5,'Hypotheses expl (3,)'!$S$26)+SUMIF('Hypotheses expl (3,)'!$T$26,'Compte résultat prévi'!$L$5,'Hypotheses expl (3,)'!$U$26)+SUMIF('Hypotheses expl (3,)'!$V$26,'Compte résultat prévi'!$L$5,'Hypotheses expl (3,)'!$W$26)+SUMIF('Hypotheses expl (3,)'!$X$26,'Compte résultat prévi'!$L$5,'Hypotheses expl (3,)'!$Y$26)+SUMIF('Hypotheses expl (3,)'!$Z$26,'Compte résultat prévi'!$L$5,'Hypotheses expl (3,)'!$AA$26)+SUMIF('Hypotheses expl (3,)'!$AB$26,'Compte résultat prévi'!$L$5,'Hypotheses expl (3,)'!$AC$26)</f>
        <v>0</v>
      </c>
      <c r="M11" s="201">
        <f>+SUMIF('Hypotheses expl (3,)'!$R$26,'Compte résultat prévi'!$M$5,'Hypotheses expl (3,)'!$S$26)+SUMIF('Hypotheses expl (3,)'!$T$26,'Compte résultat prévi'!$M$5,'Hypotheses expl (3,)'!$U$26)+SUMIF('Hypotheses expl (3,)'!$V$26,'Compte résultat prévi'!$M$5,'Hypotheses expl (3,)'!$W$26)+SUMIF('Hypotheses expl (3,)'!$X$26,'Compte résultat prévi'!$M$5,'Hypotheses expl (3,)'!$Y$26)+SUMIF('Hypotheses expl (3,)'!$Z$26,'Compte résultat prévi'!$M$5,'Hypotheses expl (3,)'!$AA$26)+SUMIF('Hypotheses expl (3,)'!$AB$26,'Compte résultat prévi'!$M$5,'Hypotheses expl (3,)'!$AC$26)</f>
        <v>105000</v>
      </c>
      <c r="N11" s="202">
        <f>+SUMIF('Hypotheses expl (3,)'!$R$26,'Compte résultat prévi'!$N$5,'Hypotheses expl (3,)'!$S$26)+SUMIF('Hypotheses expl (3,)'!$T$26,'Compte résultat prévi'!$N$5,'Hypotheses expl (3,)'!$U$26)+SUMIF('Hypotheses expl (3,)'!$V$26,'Compte résultat prévi'!$N$5,'Hypotheses expl (3,)'!$W$26)+SUMIF('Hypotheses expl (3,)'!$X$26,'Compte résultat prévi'!$N$5,'Hypotheses expl (3,)'!$Y$26)+SUMIF('Hypotheses expl (3,)'!$Z$26,'Compte résultat prévi'!$N$5,'Hypotheses expl (3,)'!$AA$26)+SUMIF('Hypotheses expl (3,)'!$AB$26,'Compte résultat prévi'!$N$5,'Hypotheses expl (3,)'!$AC$26)</f>
        <v>0</v>
      </c>
      <c r="O11" s="200">
        <f>'Hypotheses expl (2)'!O26</f>
        <v>130000</v>
      </c>
      <c r="P11" s="201">
        <f>+SUMIF('Hypotheses expl (2)'!$R$26,'Compte résultat prévi'!$P$5,'Hypotheses expl (2)'!$S$26)+SUMIF('Hypotheses expl (2)'!$T$26,'Compte résultat prévi'!$P$5,'Hypotheses expl (2)'!$U$26)+SUMIF('Hypotheses expl (2)'!$V$26,'Compte résultat prévi'!$P$5,'Hypotheses expl (2)'!$W$26)+SUMIF('Hypotheses expl (2)'!$X$26,'Compte résultat prévi'!$P$5,'Hypotheses expl (2)'!$Y$26)+SUMIF('Hypotheses expl (2)'!$Z$26,'Compte résultat prévi'!$P$5,'Hypotheses expl (2)'!$AA$26)+SUMIF('Hypotheses expl (2)'!$AB$26,'Compte résultat prévi'!$P$5,'Hypotheses expl (2)'!$AC$26)</f>
        <v>0</v>
      </c>
      <c r="Q11" s="201">
        <f>+SUMIF('Hypotheses expl (2)'!$R$26,'Compte résultat prévi'!$Q$5,'Hypotheses expl (2)'!$S$26)+SUMIF('Hypotheses expl (2)'!$T$26,'Compte résultat prévi'!$Q$5,'Hypotheses expl (2)'!$U$26)+SUMIF('Hypotheses expl (2)'!$V$26,'Compte résultat prévi'!$Q$5,'Hypotheses expl (2)'!$W$26)+SUMIF('Hypotheses expl (2)'!$X$26,'Compte résultat prévi'!$Q$5,'Hypotheses expl (2)'!$Y$26)+SUMIF('Hypotheses expl (2)'!$Z$26,'Compte résultat prévi'!$Q$5,'Hypotheses expl (2)'!$AA$26)+SUMIF('Hypotheses expl (2)'!$AB$26,'Compte résultat prévi'!$Q$5,'Hypotheses expl (2)'!$AC$26)</f>
        <v>0</v>
      </c>
      <c r="R11" s="201">
        <f>+SUMIF('Hypotheses expl (2)'!$R$26,'Compte résultat prévi'!$R$5,'Hypotheses expl (2)'!$S$26)+SUMIF('Hypotheses expl (2)'!$T$26,'Compte résultat prévi'!$R$5,'Hypotheses expl (2)'!$U$26)+SUMIF('Hypotheses expl (2)'!$V$26,'Compte résultat prévi'!$R$5,'Hypotheses expl (2)'!$W$26)+SUMIF('Hypotheses expl (2)'!$X$26,'Compte résultat prévi'!$R$5,'Hypotheses expl (2)'!$Y$26)+SUMIF('Hypotheses expl (2)'!$Z$26,'Compte résultat prévi'!$R$5,'Hypotheses expl (2)'!$AA$26)+SUMIF('Hypotheses expl (2)'!$AB$26,'Compte résultat prévi'!$R$5,'Hypotheses expl (2)'!$AC$26)</f>
        <v>0</v>
      </c>
      <c r="S11" s="201">
        <f>+SUMIF('Hypotheses expl (2)'!$R$26,'Compte résultat prévi'!$S$5,'Hypotheses expl (2)'!$S$26)+SUMIF('Hypotheses expl (2)'!$T$26,'Compte résultat prévi'!$S$5,'Hypotheses expl (2)'!$U$26)+SUMIF('Hypotheses expl (2)'!$V$26,'Compte résultat prévi'!$S$5,'Hypotheses expl (2)'!$W$26)+SUMIF('Hypotheses expl (2)'!$X$26,'Compte résultat prévi'!$S$5,'Hypotheses expl (2)'!$Y$26)+SUMIF('Hypotheses expl (2)'!$Z$26,'Compte résultat prévi'!$S$5,'Hypotheses expl (2)'!$AA$26)+SUMIF('Hypotheses expl (2)'!$AB$26,'Compte résultat prévi'!$S$5,'Hypotheses expl (2)'!$AC$26)</f>
        <v>130000</v>
      </c>
      <c r="T11" s="202">
        <f>+SUMIF('Hypotheses expl (2)'!$R$26,'Compte résultat prévi'!$T$5,'Hypotheses expl (2)'!$S$26)+SUMIF('Hypotheses expl (2)'!$T$26,'Compte résultat prévi'!$T$5,'Hypotheses expl (2)'!$U$26)+SUMIF('Hypotheses expl (2)'!$V$26,'Compte résultat prévi'!$T$5,'Hypotheses expl (2)'!$W$26)+SUMIF('Hypotheses expl (2)'!$X$26,'Compte résultat prévi'!$T$5,'Hypotheses expl (2)'!$Y$26)+SUMIF('Hypotheses expl (2)'!$Z$26,'Compte résultat prévi'!$T$5,'Hypotheses expl (2)'!$AA$26)+SUMIF('Hypotheses expl (2)'!$AB$26,'Compte résultat prévi'!$T$5,'Hypotheses expl (2)'!$AC$26)</f>
        <v>0</v>
      </c>
      <c r="U11" s="203"/>
      <c r="V11" s="204"/>
    </row>
    <row r="12" outlineLevel="1">
      <c r="A12" s="198" t="str">
        <f>('Hypotheses expl'!A27)</f>
        <v>VAE</v>
      </c>
      <c r="B12" s="199"/>
      <c r="C12" s="200">
        <f>'Hypotheses expl'!O30</f>
        <v>33000</v>
      </c>
      <c r="D12" s="201">
        <f>+SUMIF('Hypotheses expl'!$R$30,'Compte résultat prévi'!$D$5,'Hypotheses expl'!$S$30)+SUMIF('Hypotheses expl'!$T$30,'Compte résultat prévi'!$D$5,'Hypotheses expl'!$U$30)+SUMIF('Hypotheses expl'!$V$30,'Compte résultat prévi'!$D$5,'Hypotheses expl'!$W$30)+SUMIF('Hypotheses expl'!$X$30,'Compte résultat prévi'!$D$5,'Hypotheses expl'!$Y$30)+SUMIF('Hypotheses expl'!$Z$30,'Compte résultat prévi'!$D$5,'Hypotheses expl'!$AA$30)+SUMIF('Hypotheses expl'!$AB$30,'Compte résultat prévi'!$D$5,'Hypotheses expl'!$AC$30)</f>
        <v>0</v>
      </c>
      <c r="E12" s="201">
        <f>+SUMIF('Hypotheses expl'!$R$30,'Compte résultat prévi'!$E$5,'Hypotheses expl'!$S$30)+SUMIF('Hypotheses expl'!$T$30,'Compte résultat prévi'!$E$5,'Hypotheses expl'!$U$30)+SUMIF('Hypotheses expl'!$V$30,'Compte résultat prévi'!$E$5,'Hypotheses expl'!$W$30)+SUMIF('Hypotheses expl'!$X$30,'Compte résultat prévi'!$E$5,'Hypotheses expl'!$Y$30)+SUMIF('Hypotheses expl'!$Z$30,'Compte résultat prévi'!$E$5,'Hypotheses expl'!$AA$30)+SUMIF('Hypotheses expl'!$AB$30,'Compte résultat prévi'!$E$5,'Hypotheses expl'!$AC$30)</f>
        <v>0</v>
      </c>
      <c r="F12" s="201">
        <f>+SUMIF('Hypotheses expl'!$R$30,'Compte résultat prévi'!$F$5,'Hypotheses expl'!$S$30)+SUMIF('Hypotheses expl'!$T$30,'Compte résultat prévi'!$F$5,'Hypotheses expl'!$U$30)+SUMIF('Hypotheses expl'!$V$30,'Compte résultat prévi'!$F$5,'Hypotheses expl'!$W$30)+SUMIF('Hypotheses expl'!$X$30,'Compte résultat prévi'!$F$5,'Hypotheses expl'!$Y$30)+SUMIF('Hypotheses expl'!$Z$30,'Compte résultat prévi'!$F$5,'Hypotheses expl'!$AA$30)+SUMIF('Hypotheses expl'!$AB$30,'Compte résultat prévi'!$F$5,'Hypotheses expl'!$AC$30)</f>
        <v>0</v>
      </c>
      <c r="G12" s="201">
        <f>+SUMIF('Hypotheses expl'!$R$30,'Compte résultat prévi'!$G$5,'Hypotheses expl'!$S$30)+SUMIF('Hypotheses expl'!$T$30,'Compte résultat prévi'!$G$5,'Hypotheses expl'!$U$30)+SUMIF('Hypotheses expl'!$V$30,'Compte résultat prévi'!$G$5,'Hypotheses expl'!$W$30)+SUMIF('Hypotheses expl'!$X$30,'Compte résultat prévi'!$G$5,'Hypotheses expl'!$Y$30)+SUMIF('Hypotheses expl'!$Z$30,'Compte résultat prévi'!$G$5,'Hypotheses expl'!$AA$30)+SUMIF('Hypotheses expl'!$AB$30,'Compte résultat prévi'!$G$5,'Hypotheses expl'!$AC$30)</f>
        <v>33000</v>
      </c>
      <c r="H12" s="202">
        <f>+SUMIF('Hypotheses expl'!$R$30,'Compte résultat prévi'!$H$5,'Hypotheses expl'!$S$30)+SUMIF('Hypotheses expl'!$T$30,'Compte résultat prévi'!$H$5,'Hypotheses expl'!$U$30)+SUMIF('Hypotheses expl'!$V$30,'Compte résultat prévi'!$H$5,'Hypotheses expl'!$W$30)+SUMIF('Hypotheses expl'!$X$30,'Compte résultat prévi'!$H$5,'Hypotheses expl'!$Y$30)+SUMIF('Hypotheses expl'!$Z$30,'Compte résultat prévi'!$H$5,'Hypotheses expl'!$AA$30)+SUMIF('Hypotheses expl'!$AB$30,'Compte résultat prévi'!$H$5,'Hypotheses expl'!$AC$30)</f>
        <v>0</v>
      </c>
      <c r="I12" s="200">
        <f>'Hypotheses expl (3,)'!O30</f>
        <v>38864</v>
      </c>
      <c r="J12" s="201">
        <f>+SUMIF('Hypotheses expl (3,)'!$R$30,'Compte résultat prévi'!$J$5,'Hypotheses expl (3,)'!$S$30)+SUMIF('Hypotheses expl (3,)'!$T$30,'Compte résultat prévi'!$J$5,'Hypotheses expl (3,)'!$U$30)+SUMIF('Hypotheses expl (3,)'!$V$30,'Compte résultat prévi'!$J$5,'Hypotheses expl (3,)'!$W$30)+SUMIF('Hypotheses expl (3,)'!$X$30,'Compte résultat prévi'!$J$5,'Hypotheses expl (3,)'!$Y$30)+SUMIF('Hypotheses expl (3,)'!$Z$30,'Compte résultat prévi'!$J$5,'Hypotheses expl (3,)'!$AA$30)+SUMIF('Hypotheses expl (3,)'!$AB$30,'Compte résultat prévi'!$J$5,'Hypotheses expl (3,)'!$AC$30)</f>
        <v>0</v>
      </c>
      <c r="K12" s="201">
        <f>+SUMIF('Hypotheses expl (3,)'!$R$30,'Compte résultat prévi'!$K$5,'Hypotheses expl (3,)'!$S$30)+SUMIF('Hypotheses expl (3,)'!$T$30,'Compte résultat prévi'!$K$5,'Hypotheses expl (3,)'!$U$30)+SUMIF('Hypotheses expl (3,)'!$V$30,'Compte résultat prévi'!$K$5,'Hypotheses expl (3,)'!$W$30)+SUMIF('Hypotheses expl (3,)'!$X$30,'Compte résultat prévi'!$K$5,'Hypotheses expl (3,)'!$Y$30)+SUMIF('Hypotheses expl (3,)'!$Z$30,'Compte résultat prévi'!$K$5,'Hypotheses expl (3,)'!$AA$30)+SUMIF('Hypotheses expl (3,)'!$AB$30,'Compte résultat prévi'!$K$5,'Hypotheses expl (3,)'!$AC$30)</f>
        <v>0</v>
      </c>
      <c r="L12" s="201">
        <f>+SUMIF('Hypotheses expl (3,)'!$R$30,'Compte résultat prévi'!$L$5,'Hypotheses expl (3,)'!$S$30)+SUMIF('Hypotheses expl (3,)'!$T$30,'Compte résultat prévi'!$L$5,'Hypotheses expl (3,)'!$U$30)+SUMIF('Hypotheses expl (3,)'!$V$30,'Compte résultat prévi'!$L$5,'Hypotheses expl (3,)'!$W$30)+SUMIF('Hypotheses expl (3,)'!$X$30,'Compte résultat prévi'!$L$5,'Hypotheses expl (3,)'!$Y$30)+SUMIF('Hypotheses expl (3,)'!$Z$30,'Compte résultat prévi'!$L$5,'Hypotheses expl (3,)'!$AA$30)+SUMIF('Hypotheses expl (3,)'!$AB$30,'Compte résultat prévi'!$L$5,'Hypotheses expl (3,)'!$AC$30)</f>
        <v>0</v>
      </c>
      <c r="M12" s="201">
        <f>+SUMIF('Hypotheses expl (3,)'!$R$30,'Compte résultat prévi'!$M$5,'Hypotheses expl (3,)'!$S$30)+SUMIF('Hypotheses expl (3,)'!$T$30,'Compte résultat prévi'!$M$5,'Hypotheses expl (3,)'!$U$30)+SUMIF('Hypotheses expl (3,)'!$V$30,'Compte résultat prévi'!$M$5,'Hypotheses expl (3,)'!$W$30)+SUMIF('Hypotheses expl (3,)'!$X$30,'Compte résultat prévi'!$M$5,'Hypotheses expl (3,)'!$Y$30)+SUMIF('Hypotheses expl (3,)'!$Z$30,'Compte résultat prévi'!$M$5,'Hypotheses expl (3,)'!$AA$30)+SUMIF('Hypotheses expl (3,)'!$AB$30,'Compte résultat prévi'!$M$5,'Hypotheses expl (3,)'!$AC$30)</f>
        <v>38864</v>
      </c>
      <c r="N12" s="202">
        <f>+SUMIF('Hypotheses expl (3,)'!$R$30,'Compte résultat prévi'!$N$5,'Hypotheses expl (3,)'!$S$30)+SUMIF('Hypotheses expl (3,)'!$T$30,'Compte résultat prévi'!$N$5,'Hypotheses expl (3,)'!$U$30)+SUMIF('Hypotheses expl (3,)'!$V$30,'Compte résultat prévi'!$N$5,'Hypotheses expl (3,)'!$W$30)+SUMIF('Hypotheses expl (3,)'!$X$30,'Compte résultat prévi'!$N$5,'Hypotheses expl (3,)'!$Y$30)+SUMIF('Hypotheses expl (3,)'!$Z$30,'Compte résultat prévi'!$N$5,'Hypotheses expl (3,)'!$AA$30)+SUMIF('Hypotheses expl (3,)'!$AB$30,'Compte résultat prévi'!$N$5,'Hypotheses expl (3,)'!$AC$30)</f>
        <v>0</v>
      </c>
      <c r="O12" s="200">
        <f>'Hypotheses expl (2)'!O30</f>
        <v>38864</v>
      </c>
      <c r="P12" s="201">
        <f>+SUMIF('Hypotheses expl (2)'!$R$30,'Compte résultat prévi'!$P$5,'Hypotheses expl (2)'!$S$30)+SUMIF('Hypotheses expl (2)'!$T$30,'Compte résultat prévi'!$P$5,'Hypotheses expl (2)'!$U$30)+SUMIF('Hypotheses expl (2)'!$V$30,'Compte résultat prévi'!$P$5,'Hypotheses expl (2)'!$W$30)+SUMIF('Hypotheses expl (2)'!$X$30,'Compte résultat prévi'!$P$5,'Hypotheses expl (2)'!$Y$30)+SUMIF('Hypotheses expl (2)'!$Z$30,'Compte résultat prévi'!$P$5,'Hypotheses expl (2)'!$AA$30)+SUMIF('Hypotheses expl (2)'!$AB$30,'Compte résultat prévi'!$P$5,'Hypotheses expl (2)'!$AC$30)</f>
        <v>0</v>
      </c>
      <c r="Q12" s="201">
        <f>+SUMIF('Hypotheses expl (2)'!$R$30,'Compte résultat prévi'!$Q$5,'Hypotheses expl (2)'!$S$30)+SUMIF('Hypotheses expl (2)'!$T$30,'Compte résultat prévi'!$Q$5,'Hypotheses expl (2)'!$U$30)+SUMIF('Hypotheses expl (2)'!$V$30,'Compte résultat prévi'!$Q$5,'Hypotheses expl (2)'!$W$30)+SUMIF('Hypotheses expl (2)'!$X$30,'Compte résultat prévi'!$Q$5,'Hypotheses expl (2)'!$Y$30)+SUMIF('Hypotheses expl (2)'!$Z$30,'Compte résultat prévi'!$Q$5,'Hypotheses expl (2)'!$AA$30)+SUMIF('Hypotheses expl (2)'!$AB$30,'Compte résultat prévi'!$Q$5,'Hypotheses expl (2)'!$AC$30)</f>
        <v>0</v>
      </c>
      <c r="R12" s="201">
        <f>+SUMIF('Hypotheses expl (2)'!$R$30,'Compte résultat prévi'!$R$5,'Hypotheses expl (2)'!$S$30)+SUMIF('Hypotheses expl (2)'!$T$30,'Compte résultat prévi'!$R$5,'Hypotheses expl (2)'!$U$30)+SUMIF('Hypotheses expl (2)'!$V$30,'Compte résultat prévi'!$R$5,'Hypotheses expl (2)'!$W$30)+SUMIF('Hypotheses expl (2)'!$X$30,'Compte résultat prévi'!$R$5,'Hypotheses expl (2)'!$Y$30)+SUMIF('Hypotheses expl (2)'!$Z$30,'Compte résultat prévi'!$R$5,'Hypotheses expl (2)'!$AA$30)+SUMIF('Hypotheses expl (2)'!$AB$30,'Compte résultat prévi'!$R$5,'Hypotheses expl (2)'!$AC$30)</f>
        <v>0</v>
      </c>
      <c r="S12" s="201">
        <f>+SUMIF('Hypotheses expl (2)'!$R$30,'Compte résultat prévi'!$S$5,'Hypotheses expl (2)'!$S$30)+SUMIF('Hypotheses expl (2)'!$T$30,'Compte résultat prévi'!$S$5,'Hypotheses expl (2)'!$U$30)+SUMIF('Hypotheses expl (2)'!$V$30,'Compte résultat prévi'!$S$5,'Hypotheses expl (2)'!$W$30)+SUMIF('Hypotheses expl (2)'!$X$30,'Compte résultat prévi'!$S$5,'Hypotheses expl (2)'!$Y$30)+SUMIF('Hypotheses expl (2)'!$Z$30,'Compte résultat prévi'!$S$5,'Hypotheses expl (2)'!$AA$30)+SUMIF('Hypotheses expl (2)'!$AB$30,'Compte résultat prévi'!$S$5,'Hypotheses expl (2)'!$AC$30)</f>
        <v>38864</v>
      </c>
      <c r="T12" s="202">
        <f>+SUMIF('Hypotheses expl (2)'!$R$30,'Compte résultat prévi'!$T$5,'Hypotheses expl (2)'!$S$30)+SUMIF('Hypotheses expl (2)'!$T$30,'Compte résultat prévi'!$T$5,'Hypotheses expl (2)'!$U$30)+SUMIF('Hypotheses expl (2)'!$V$30,'Compte résultat prévi'!$T$5,'Hypotheses expl (2)'!$W$30)+SUMIF('Hypotheses expl (2)'!$X$30,'Compte résultat prévi'!$T$5,'Hypotheses expl (2)'!$Y$30)+SUMIF('Hypotheses expl (2)'!$Z$30,'Compte résultat prévi'!$T$5,'Hypotheses expl (2)'!$AA$30)+SUMIF('Hypotheses expl (2)'!$AB$30,'Compte résultat prévi'!$T$5,'Hypotheses expl (2)'!$AC$30)</f>
        <v>0</v>
      </c>
      <c r="U12" s="203"/>
      <c r="V12" s="204"/>
    </row>
    <row r="13" outlineLevel="1">
      <c r="A13" s="198" t="str">
        <f>'Hypotheses expl'!A31</f>
        <v xml:space="preserve">Formation continue - micro formation</v>
      </c>
      <c r="B13" s="199"/>
      <c r="C13" s="200">
        <f>'Hypotheses expl'!O34</f>
        <v>0</v>
      </c>
      <c r="D13" s="201">
        <f>+SUMIF('Hypotheses expl'!$R$34,'Compte résultat prévi'!$D$5,'Hypotheses expl'!$S$34)+SUMIF('Hypotheses expl'!$T$34,'Compte résultat prévi'!$D$5,'Hypotheses expl'!$U$34)+SUMIF('Hypotheses expl'!$V$34,'Compte résultat prévi'!$D$5,'Hypotheses expl'!$W$34)+SUMIF('Hypotheses expl'!$X$34,'Compte résultat prévi'!$D$5,'Hypotheses expl'!$Y$34)+SUMIF('Hypotheses expl'!$Z$34,'Compte résultat prévi'!$D$5,'Hypotheses expl'!$AA$34)+SUMIF('Hypotheses expl'!$AB$34,'Compte résultat prévi'!$D$5,'Hypotheses expl'!$AC$34)</f>
        <v>0</v>
      </c>
      <c r="E13" s="201">
        <f>+SUMIF('Hypotheses expl'!$R$34,'Compte résultat prévi'!$E$5,'Hypotheses expl'!$S$34)+SUMIF('Hypotheses expl'!$T$34,'Compte résultat prévi'!$E$5,'Hypotheses expl'!$U$34)+SUMIF('Hypotheses expl'!$V$34,'Compte résultat prévi'!$E$5,'Hypotheses expl'!$W$34)+SUMIF('Hypotheses expl'!$X$34,'Compte résultat prévi'!$E$5,'Hypotheses expl'!$Y$34)+SUMIF('Hypotheses expl'!$Z$34,'Compte résultat prévi'!$E$5,'Hypotheses expl'!$AA$34)+SUMIF('Hypotheses expl'!$AB$34,'Compte résultat prévi'!$E$5,'Hypotheses expl'!$AC$34)</f>
        <v>0</v>
      </c>
      <c r="F13" s="201">
        <f>+SUMIF('Hypotheses expl'!$R$34,'Compte résultat prévi'!$F$5,'Hypotheses expl'!$S$34)+SUMIF('Hypotheses expl'!$T$34,'Compte résultat prévi'!$F$5,'Hypotheses expl'!$U$34)+SUMIF('Hypotheses expl'!$V$34,'Compte résultat prévi'!$F$5,'Hypotheses expl'!$W$34)+SUMIF('Hypotheses expl'!$X$34,'Compte résultat prévi'!$F$5,'Hypotheses expl'!$Y$34)+SUMIF('Hypotheses expl'!$Z$34,'Compte résultat prévi'!$F$5,'Hypotheses expl'!$AA$34)+SUMIF('Hypotheses expl'!$AB$34,'Compte résultat prévi'!$F$5,'Hypotheses expl'!$AC$34)</f>
        <v>0</v>
      </c>
      <c r="G13" s="201">
        <f>+SUMIF('Hypotheses expl'!$R$34,'Compte résultat prévi'!$G$5,'Hypotheses expl'!$S$34)+SUMIF('Hypotheses expl'!$T$34,'Compte résultat prévi'!$G$5,'Hypotheses expl'!$U$34)+SUMIF('Hypotheses expl'!$V$34,'Compte résultat prévi'!$G$5,'Hypotheses expl'!$W$34)+SUMIF('Hypotheses expl'!$X$34,'Compte résultat prévi'!$G$5,'Hypotheses expl'!$Y$34)+SUMIF('Hypotheses expl'!$Z$34,'Compte résultat prévi'!$G$5,'Hypotheses expl'!$AA$34)+SUMIF('Hypotheses expl'!$AB$34,'Compte résultat prévi'!$G$5,'Hypotheses expl'!$AC$34)</f>
        <v>0</v>
      </c>
      <c r="H13" s="202">
        <f>+SUMIF('Hypotheses expl'!$R$34,'Compte résultat prévi'!$H$5,'Hypotheses expl'!$S$34)+SUMIF('Hypotheses expl'!$T$34,'Compte résultat prévi'!$H$5,'Hypotheses expl'!$U$34)+SUMIF('Hypotheses expl'!$V$34,'Compte résultat prévi'!$H$5,'Hypotheses expl'!$W$34)+SUMIF('Hypotheses expl'!$X$34,'Compte résultat prévi'!$H$5,'Hypotheses expl'!$Y$34)+SUMIF('Hypotheses expl'!$Z$34,'Compte résultat prévi'!$H$5,'Hypotheses expl'!$AA$34)+SUMIF('Hypotheses expl'!$AB$34,'Compte résultat prévi'!$H$5,'Hypotheses expl'!$AC$34)</f>
        <v>0</v>
      </c>
      <c r="I13" s="200">
        <f>'Hypotheses expl (3,)'!O34</f>
        <v>0</v>
      </c>
      <c r="J13" s="201">
        <f>+SUMIF('Hypotheses expl (3,)'!$R$34,'Compte résultat prévi'!$J$5,'Hypotheses expl (3,)'!$S$34)+SUMIF('Hypotheses expl (3,)'!$T$34,'Compte résultat prévi'!$J$5,'Hypotheses expl (3,)'!$U$34)+SUMIF('Hypotheses expl (3,)'!$V$34,'Compte résultat prévi'!$J$5,'Hypotheses expl (3,)'!$W$34)+SUMIF('Hypotheses expl (3,)'!$X$34,'Compte résultat prévi'!$J$5,'Hypotheses expl (3,)'!$Y$34)+SUMIF('Hypotheses expl (3,)'!$Z$34,'Compte résultat prévi'!$J$5,'Hypotheses expl (3,)'!$AA$34)+SUMIF('Hypotheses expl (3,)'!$AB$34,'Compte résultat prévi'!$J$5,'Hypotheses expl (3,)'!$AC$34)</f>
        <v>0</v>
      </c>
      <c r="K13" s="201">
        <f>+SUMIF('Hypotheses expl (3,)'!$R$34,'Compte résultat prévi'!$K$5,'Hypotheses expl (3,)'!$S$34)+SUMIF('Hypotheses expl (3,)'!$T$34,'Compte résultat prévi'!$K$5,'Hypotheses expl (3,)'!$U$34)+SUMIF('Hypotheses expl (3,)'!$V$34,'Compte résultat prévi'!$K$5,'Hypotheses expl (3,)'!$W$34)+SUMIF('Hypotheses expl (3,)'!$X$34,'Compte résultat prévi'!$K$5,'Hypotheses expl (3,)'!$Y$34)+SUMIF('Hypotheses expl (3,)'!$Z$34,'Compte résultat prévi'!$K$5,'Hypotheses expl (3,)'!$AA$34)+SUMIF('Hypotheses expl (3,)'!$AB$34,'Compte résultat prévi'!$K$5,'Hypotheses expl (3,)'!$AC$34)</f>
        <v>0</v>
      </c>
      <c r="L13" s="201">
        <f>+SUMIF('Hypotheses expl (3,)'!$R$34,'Compte résultat prévi'!$L$5,'Hypotheses expl (3,)'!$S$34)+SUMIF('Hypotheses expl (3,)'!$T$34,'Compte résultat prévi'!$L$5,'Hypotheses expl (3,)'!$U$34)+SUMIF('Hypotheses expl (3,)'!$V$34,'Compte résultat prévi'!$L$5,'Hypotheses expl (3,)'!$W$34)+SUMIF('Hypotheses expl (3,)'!$X$34,'Compte résultat prévi'!$L$5,'Hypotheses expl (3,)'!$Y$34)+SUMIF('Hypotheses expl (3,)'!$Z$34,'Compte résultat prévi'!$L$5,'Hypotheses expl (3,)'!$AA$34)+SUMIF('Hypotheses expl (3,)'!$AB$34,'Compte résultat prévi'!$L$5,'Hypotheses expl (3,)'!$AC$34)</f>
        <v>0</v>
      </c>
      <c r="M13" s="201">
        <f>+SUMIF('Hypotheses expl (3,)'!$R$34,'Compte résultat prévi'!$M$5,'Hypotheses expl (3,)'!$S$34)+SUMIF('Hypotheses expl (3,)'!$T$34,'Compte résultat prévi'!$M$5,'Hypotheses expl (3,)'!$U$34)+SUMIF('Hypotheses expl (3,)'!$V$34,'Compte résultat prévi'!$M$5,'Hypotheses expl (3,)'!$W$34)+SUMIF('Hypotheses expl (3,)'!$X$34,'Compte résultat prévi'!$M$5,'Hypotheses expl (3,)'!$Y$34)+SUMIF('Hypotheses expl (3,)'!$Z$34,'Compte résultat prévi'!$M$5,'Hypotheses expl (3,)'!$AA$34)+SUMIF('Hypotheses expl (3,)'!$AB$34,'Compte résultat prévi'!$M$5,'Hypotheses expl (3,)'!$AC$34)</f>
        <v>0</v>
      </c>
      <c r="N13" s="202">
        <f>+SUMIF('Hypotheses expl (3,)'!$R$34,'Compte résultat prévi'!$N$5,'Hypotheses expl (3,)'!$S$34)+SUMIF('Hypotheses expl (3,)'!$T$34,'Compte résultat prévi'!$N$5,'Hypotheses expl (3,)'!$U$34)+SUMIF('Hypotheses expl (3,)'!$V$34,'Compte résultat prévi'!$N$5,'Hypotheses expl (3,)'!$W$34)+SUMIF('Hypotheses expl (3,)'!$X$34,'Compte résultat prévi'!$N$5,'Hypotheses expl (3,)'!$Y$34)+SUMIF('Hypotheses expl (3,)'!$Z$34,'Compte résultat prévi'!$N$5,'Hypotheses expl (3,)'!$AA$34)+SUMIF('Hypotheses expl (3,)'!$AB$34,'Compte résultat prévi'!$N$5,'Hypotheses expl (3,)'!$AC$34)</f>
        <v>0</v>
      </c>
      <c r="O13" s="200">
        <f>'Hypotheses expl (2)'!O34</f>
        <v>120000</v>
      </c>
      <c r="P13" s="201">
        <f>+SUMIF('Hypotheses expl (2)'!$R$34,'Compte résultat prévi'!$P$5,'Hypotheses expl (2)'!$S$34)+SUMIF('Hypotheses expl (2)'!$T$34,'Compte résultat prévi'!$P$5,'Hypotheses expl (2)'!$U$34)+SUMIF('Hypotheses expl (2)'!$V$34,'Compte résultat prévi'!$P$5,'Hypotheses expl (2)'!$W$34)+SUMIF('Hypotheses expl (2)'!$X$34,'Compte résultat prévi'!$P$5,'Hypotheses expl (2)'!$Y$34)+SUMIF('Hypotheses expl (2)'!$Z$34,'Compte résultat prévi'!$P$5,'Hypotheses expl (2)'!$AA$34)+SUMIF('Hypotheses expl (2)'!$AB$34,'Compte résultat prévi'!$P$5,'Hypotheses expl (2)'!$AC$34)</f>
        <v>0</v>
      </c>
      <c r="Q13" s="201">
        <f>+SUMIF('Hypotheses expl (2)'!$R$34,'Compte résultat prévi'!$Q$5,'Hypotheses expl (2)'!$S$34)+SUMIF('Hypotheses expl (2)'!$T$34,'Compte résultat prévi'!$Q$5,'Hypotheses expl (2)'!$U$34)+SUMIF('Hypotheses expl (2)'!$V$34,'Compte résultat prévi'!$Q$5,'Hypotheses expl (2)'!$W$34)+SUMIF('Hypotheses expl (2)'!$X$34,'Compte résultat prévi'!$Q$5,'Hypotheses expl (2)'!$Y$34)+SUMIF('Hypotheses expl (2)'!$Z$34,'Compte résultat prévi'!$Q$5,'Hypotheses expl (2)'!$AA$34)+SUMIF('Hypotheses expl (2)'!$AB$34,'Compte résultat prévi'!$Q$5,'Hypotheses expl (2)'!$AC$34)</f>
        <v>0</v>
      </c>
      <c r="R13" s="201">
        <f>+SUMIF('Hypotheses expl (2)'!$R$34,'Compte résultat prévi'!$R$5,'Hypotheses expl (2)'!$S$34)+SUMIF('Hypotheses expl (2)'!$T$34,'Compte résultat prévi'!$R$5,'Hypotheses expl (2)'!$U$34)+SUMIF('Hypotheses expl (2)'!$V$34,'Compte résultat prévi'!$R$5,'Hypotheses expl (2)'!$W$34)+SUMIF('Hypotheses expl (2)'!$X$34,'Compte résultat prévi'!$R$5,'Hypotheses expl (2)'!$Y$34)+SUMIF('Hypotheses expl (2)'!$Z$34,'Compte résultat prévi'!$R$5,'Hypotheses expl (2)'!$AA$34)+SUMIF('Hypotheses expl (2)'!$AB$34,'Compte résultat prévi'!$R$5,'Hypotheses expl (2)'!$AC$34)</f>
        <v>0</v>
      </c>
      <c r="S13" s="201">
        <f>+SUMIF('Hypotheses expl (2)'!$R$34,'Compte résultat prévi'!$S$5,'Hypotheses expl (2)'!$S$34)+SUMIF('Hypotheses expl (2)'!$T$34,'Compte résultat prévi'!$S$5,'Hypotheses expl (2)'!$U$34)+SUMIF('Hypotheses expl (2)'!$V$34,'Compte résultat prévi'!$S$5,'Hypotheses expl (2)'!$W$34)+SUMIF('Hypotheses expl (2)'!$X$34,'Compte résultat prévi'!$S$5,'Hypotheses expl (2)'!$Y$34)+SUMIF('Hypotheses expl (2)'!$Z$34,'Compte résultat prévi'!$S$5,'Hypotheses expl (2)'!$AA$34)+SUMIF('Hypotheses expl (2)'!$AB$34,'Compte résultat prévi'!$S$5,'Hypotheses expl (2)'!$AC$34)</f>
        <v>0</v>
      </c>
      <c r="T13" s="202">
        <f>+SUMIF('Hypotheses expl (2)'!$R$34,'Compte résultat prévi'!$T$5,'Hypotheses expl (2)'!$S$34)+SUMIF('Hypotheses expl (2)'!$T$34,'Compte résultat prévi'!$T$5,'Hypotheses expl (2)'!$U$34)+SUMIF('Hypotheses expl (2)'!$V$34,'Compte résultat prévi'!$T$5,'Hypotheses expl (2)'!$W$34)+SUMIF('Hypotheses expl (2)'!$X$34,'Compte résultat prévi'!$T$5,'Hypotheses expl (2)'!$Y$34)+SUMIF('Hypotheses expl (2)'!$Z$34,'Compte résultat prévi'!$T$5,'Hypotheses expl (2)'!$AA$34)+SUMIF('Hypotheses expl (2)'!$AB$34,'Compte résultat prévi'!$T$5,'Hypotheses expl (2)'!$AC$34)</f>
        <v>120000</v>
      </c>
      <c r="U13" s="203"/>
      <c r="V13" s="204"/>
    </row>
    <row r="14" outlineLevel="1">
      <c r="A14" s="198" t="str">
        <f>('Hypotheses expl'!A35)</f>
        <v>DSB</v>
      </c>
      <c r="B14" s="199"/>
      <c r="C14" s="200">
        <f>'Hypotheses expl'!O38</f>
        <v>8400</v>
      </c>
      <c r="D14" s="201">
        <f>+SUMIF('Hypotheses expl'!$R$38,'Compte résultat prévi'!$D$5,'Hypotheses expl'!$S$38)+SUMIF('Hypotheses expl'!$T$38,'Compte résultat prévi'!$D$5,'Hypotheses expl'!$U$38)+SUMIF('Hypotheses expl'!$V$38,'Compte résultat prévi'!$D$5,'Hypotheses expl'!$W$38)+SUMIF('Hypotheses expl'!$X$38,'Compte résultat prévi'!$D$5,'Hypotheses expl'!$Y$38)+SUMIF('Hypotheses expl'!$Z$38,'Compte résultat prévi'!$D$5,'Hypotheses expl'!$AA$38)+SUMIF('Hypotheses expl'!$AB$38,'Compte résultat prévi'!$D$5,'Hypotheses expl'!$AC$38)</f>
        <v>0</v>
      </c>
      <c r="E14" s="201">
        <f>+SUMIF('Hypotheses expl'!$R$38,'Compte résultat prévi'!$E$5,'Hypotheses expl'!$S$38)+SUMIF('Hypotheses expl'!$T$38,'Compte résultat prévi'!$E$5,'Hypotheses expl'!$U$38)+SUMIF('Hypotheses expl'!$V$38,'Compte résultat prévi'!$E$5,'Hypotheses expl'!$W$38)+SUMIF('Hypotheses expl'!$X$38,'Compte résultat prévi'!$E$5,'Hypotheses expl'!$Y$38)+SUMIF('Hypotheses expl'!$Z$38,'Compte résultat prévi'!$E$5,'Hypotheses expl'!$AA$38)+SUMIF('Hypotheses expl'!$AB$38,'Compte résultat prévi'!$E$5,'Hypotheses expl'!$AC$38)</f>
        <v>0</v>
      </c>
      <c r="F14" s="201">
        <f>+SUMIF('Hypotheses expl'!$R$38,'Compte résultat prévi'!$F$5,'Hypotheses expl'!$S$38)+SUMIF('Hypotheses expl'!$T$38,'Compte résultat prévi'!$F$5,'Hypotheses expl'!$U$38)+SUMIF('Hypotheses expl'!$V$38,'Compte résultat prévi'!$F$5,'Hypotheses expl'!$W$38)+SUMIF('Hypotheses expl'!$X$38,'Compte résultat prévi'!$F$5,'Hypotheses expl'!$Y$38)+SUMIF('Hypotheses expl'!$Z$38,'Compte résultat prévi'!$F$5,'Hypotheses expl'!$AA$38)+SUMIF('Hypotheses expl'!$AB$38,'Compte résultat prévi'!$F$5,'Hypotheses expl'!$AC$38)</f>
        <v>0</v>
      </c>
      <c r="G14" s="201">
        <f>+SUMIF('Hypotheses expl'!$R$38,'Compte résultat prévi'!$G$5,'Hypotheses expl'!$S$38)+SUMIF('Hypotheses expl'!$T$38,'Compte résultat prévi'!$G$5,'Hypotheses expl'!$U$38)+SUMIF('Hypotheses expl'!$V$38,'Compte résultat prévi'!$G$5,'Hypotheses expl'!$W$38)+SUMIF('Hypotheses expl'!$X$38,'Compte résultat prévi'!$G$5,'Hypotheses expl'!$Y$38)+SUMIF('Hypotheses expl'!$Z$38,'Compte résultat prévi'!$G$5,'Hypotheses expl'!$AA$38)+SUMIF('Hypotheses expl'!$AB$38,'Compte résultat prévi'!$G$5,'Hypotheses expl'!$AC$38)</f>
        <v>8400</v>
      </c>
      <c r="H14" s="202">
        <f>+SUMIF('Hypotheses expl'!$R$38,'Compte résultat prévi'!$H$5,'Hypotheses expl'!$S$38)+SUMIF('Hypotheses expl'!$T$38,'Compte résultat prévi'!$H$5,'Hypotheses expl'!$U$38)+SUMIF('Hypotheses expl'!$V$38,'Compte résultat prévi'!$H$5,'Hypotheses expl'!$W$38)+SUMIF('Hypotheses expl'!$X$38,'Compte résultat prévi'!$H$5,'Hypotheses expl'!$Y$38)+SUMIF('Hypotheses expl'!$Z$38,'Compte résultat prévi'!$H$5,'Hypotheses expl'!$AA$38)+SUMIF('Hypotheses expl'!$AB$38,'Compte résultat prévi'!$H$5,'Hypotheses expl'!$AC$38)</f>
        <v>0</v>
      </c>
      <c r="I14" s="200">
        <f>'Hypotheses expl (3,)'!O38</f>
        <v>0</v>
      </c>
      <c r="J14" s="201">
        <f>+SUMIF('Hypotheses expl (3,)'!$R$38,'Compte résultat prévi'!$J$5,'Hypotheses expl (3,)'!$S$38)+SUMIF('Hypotheses expl (3,)'!$T$38,'Compte résultat prévi'!$J$5,'Hypotheses expl (3,)'!$U$38)+SUMIF('Hypotheses expl (3,)'!$V$38,'Compte résultat prévi'!$J$5,'Hypotheses expl (3,)'!$W$38)+SUMIF('Hypotheses expl (3,)'!$X$38,'Compte résultat prévi'!$J$5,'Hypotheses expl (3,)'!$Y$38)+SUMIF('Hypotheses expl (3,)'!$Z$38,'Compte résultat prévi'!$J$5,'Hypotheses expl (3,)'!$AA$38)+SUMIF('Hypotheses expl (3,)'!$AB$38,'Compte résultat prévi'!$J$5,'Hypotheses expl (3,)'!$AC$38)</f>
        <v>0</v>
      </c>
      <c r="K14" s="201">
        <f>+SUMIF('Hypotheses expl (3,)'!$R$38,'Compte résultat prévi'!$K$5,'Hypotheses expl (3,)'!$S$38)+SUMIF('Hypotheses expl (3,)'!$T$38,'Compte résultat prévi'!$K$5,'Hypotheses expl (3,)'!$U$38)+SUMIF('Hypotheses expl (3,)'!$V$38,'Compte résultat prévi'!$K$5,'Hypotheses expl (3,)'!$W$38)+SUMIF('Hypotheses expl (3,)'!$X$38,'Compte résultat prévi'!$K$5,'Hypotheses expl (3,)'!$Y$38)+SUMIF('Hypotheses expl (3,)'!$Z$38,'Compte résultat prévi'!$K$5,'Hypotheses expl (3,)'!$AA$38)+SUMIF('Hypotheses expl (3,)'!$AB$38,'Compte résultat prévi'!$K$5,'Hypotheses expl (3,)'!$AC$38)</f>
        <v>0</v>
      </c>
      <c r="L14" s="201">
        <f>+SUMIF('Hypotheses expl (3,)'!$R$38,'Compte résultat prévi'!$L$5,'Hypotheses expl (3,)'!$S$38)+SUMIF('Hypotheses expl (3,)'!$T$38,'Compte résultat prévi'!$L$5,'Hypotheses expl (3,)'!$U$38)+SUMIF('Hypotheses expl (3,)'!$V$38,'Compte résultat prévi'!$L$5,'Hypotheses expl (3,)'!$W$38)+SUMIF('Hypotheses expl (3,)'!$X$38,'Compte résultat prévi'!$L$5,'Hypotheses expl (3,)'!$Y$38)+SUMIF('Hypotheses expl (3,)'!$Z$38,'Compte résultat prévi'!$L$5,'Hypotheses expl (3,)'!$AA$38)+SUMIF('Hypotheses expl (3,)'!$AB$38,'Compte résultat prévi'!$L$5,'Hypotheses expl (3,)'!$AC$38)</f>
        <v>0</v>
      </c>
      <c r="M14" s="201">
        <f>+SUMIF('Hypotheses expl (3,)'!$R$38,'Compte résultat prévi'!$M$5,'Hypotheses expl (3,)'!$S$38)+SUMIF('Hypotheses expl (3,)'!$T$38,'Compte résultat prévi'!$M$5,'Hypotheses expl (3,)'!$U$38)+SUMIF('Hypotheses expl (3,)'!$V$38,'Compte résultat prévi'!$M$5,'Hypotheses expl (3,)'!$W$38)+SUMIF('Hypotheses expl (3,)'!$X$38,'Compte résultat prévi'!$M$5,'Hypotheses expl (3,)'!$Y$38)+SUMIF('Hypotheses expl (3,)'!$Z$38,'Compte résultat prévi'!$M$5,'Hypotheses expl (3,)'!$AA$38)+SUMIF('Hypotheses expl (3,)'!$AB$38,'Compte résultat prévi'!$M$5,'Hypotheses expl (3,)'!$AC$38)</f>
        <v>0</v>
      </c>
      <c r="N14" s="202">
        <f>+SUMIF('Hypotheses expl (3,)'!$R$38,'Compte résultat prévi'!$N$5,'Hypotheses expl (3,)'!$S$38)+SUMIF('Hypotheses expl (3,)'!$T$38,'Compte résultat prévi'!$N$5,'Hypotheses expl (3,)'!$U$38)+SUMIF('Hypotheses expl (3,)'!$V$38,'Compte résultat prévi'!$N$5,'Hypotheses expl (3,)'!$W$38)+SUMIF('Hypotheses expl (3,)'!$X$38,'Compte résultat prévi'!$N$5,'Hypotheses expl (3,)'!$Y$38)+SUMIF('Hypotheses expl (3,)'!$Z$38,'Compte résultat prévi'!$N$5,'Hypotheses expl (3,)'!$AA$38)+SUMIF('Hypotheses expl (3,)'!$AB$38,'Compte résultat prévi'!$N$5,'Hypotheses expl (3,)'!$AC$38)</f>
        <v>0</v>
      </c>
      <c r="O14" s="200">
        <f>'Hypotheses expl (2)'!O38</f>
        <v>0</v>
      </c>
      <c r="P14" s="201">
        <f>+SUMIF('Hypotheses expl (2)'!$R$38,'Compte résultat prévi'!$P$5,'Hypotheses expl (2)'!$S$38)+SUMIF('Hypotheses expl (2)'!$T$38,'Compte résultat prévi'!$P$5,'Hypotheses expl (2)'!$U$38)+SUMIF('Hypotheses expl (2)'!$V$38,'Compte résultat prévi'!$P$5,'Hypotheses expl (2)'!$W$38)+SUMIF('Hypotheses expl (2)'!$X$38,'Compte résultat prévi'!$P$5,'Hypotheses expl (2)'!$Y$38)+SUMIF('Hypotheses expl (2)'!$Z$38,'Compte résultat prévi'!$P$5,'Hypotheses expl (2)'!$AA$38)+SUMIF('Hypotheses expl (2)'!$AB$38,'Compte résultat prévi'!$P$5,'Hypotheses expl (2)'!$AC$38)</f>
        <v>0</v>
      </c>
      <c r="Q14" s="201">
        <f>+SUMIF('Hypotheses expl (2)'!$R$38,'Compte résultat prévi'!$Q$5,'Hypotheses expl (2)'!$S$38)+SUMIF('Hypotheses expl (2)'!$T$38,'Compte résultat prévi'!$Q$5,'Hypotheses expl (2)'!$U$38)+SUMIF('Hypotheses expl (2)'!$V$38,'Compte résultat prévi'!$Q$5,'Hypotheses expl (2)'!$W$38)+SUMIF('Hypotheses expl (2)'!$X$38,'Compte résultat prévi'!$Q$5,'Hypotheses expl (2)'!$Y$38)+SUMIF('Hypotheses expl (2)'!$Z$38,'Compte résultat prévi'!$Q$5,'Hypotheses expl (2)'!$AA$38)+SUMIF('Hypotheses expl (2)'!$AB$38,'Compte résultat prévi'!$Q$5,'Hypotheses expl (2)'!$AC$38)</f>
        <v>0</v>
      </c>
      <c r="R14" s="201">
        <f>+SUMIF('Hypotheses expl (2)'!$R$38,'Compte résultat prévi'!$R$5,'Hypotheses expl (2)'!$S$38)+SUMIF('Hypotheses expl (2)'!$T$38,'Compte résultat prévi'!$R$5,'Hypotheses expl (2)'!$U$38)+SUMIF('Hypotheses expl (2)'!$V$38,'Compte résultat prévi'!$R$5,'Hypotheses expl (2)'!$W$38)+SUMIF('Hypotheses expl (2)'!$X$38,'Compte résultat prévi'!$R$5,'Hypotheses expl (2)'!$Y$38)+SUMIF('Hypotheses expl (2)'!$Z$38,'Compte résultat prévi'!$R$5,'Hypotheses expl (2)'!$AA$38)+SUMIF('Hypotheses expl (2)'!$AB$38,'Compte résultat prévi'!$R$5,'Hypotheses expl (2)'!$AC$38)</f>
        <v>0</v>
      </c>
      <c r="S14" s="201">
        <f>+SUMIF('Hypotheses expl (2)'!$R$38,'Compte résultat prévi'!$S$5,'Hypotheses expl (2)'!$S$38)+SUMIF('Hypotheses expl (2)'!$T$38,'Compte résultat prévi'!$S$5,'Hypotheses expl (2)'!$U$38)+SUMIF('Hypotheses expl (2)'!$V$38,'Compte résultat prévi'!$S$5,'Hypotheses expl (2)'!$W$38)+SUMIF('Hypotheses expl (2)'!$X$38,'Compte résultat prévi'!$S$5,'Hypotheses expl (2)'!$Y$38)+SUMIF('Hypotheses expl (2)'!$Z$38,'Compte résultat prévi'!$S$5,'Hypotheses expl (2)'!$AA$38)+SUMIF('Hypotheses expl (2)'!$AB$38,'Compte résultat prévi'!$S$5,'Hypotheses expl (2)'!$AC$38)</f>
        <v>0</v>
      </c>
      <c r="T14" s="202">
        <f>+SUMIF('Hypotheses expl (2)'!$R$38,'Compte résultat prévi'!$T$5,'Hypotheses expl (2)'!$S$38)+SUMIF('Hypotheses expl (2)'!$T$38,'Compte résultat prévi'!$T$5,'Hypotheses expl (2)'!$U$38)+SUMIF('Hypotheses expl (2)'!$V$38,'Compte résultat prévi'!$T$5,'Hypotheses expl (2)'!$W$38)+SUMIF('Hypotheses expl (2)'!$X$38,'Compte résultat prévi'!$T$5,'Hypotheses expl (2)'!$Y$38)+SUMIF('Hypotheses expl (2)'!$Z$38,'Compte résultat prévi'!$T$5,'Hypotheses expl (2)'!$AA$38)+SUMIF('Hypotheses expl (2)'!$AB$38,'Compte résultat prévi'!$T$5,'Hypotheses expl (2)'!$AC$38)</f>
        <v>0</v>
      </c>
      <c r="U14" s="203"/>
      <c r="V14" s="204"/>
    </row>
    <row r="15" outlineLevel="1">
      <c r="A15" s="198" t="str">
        <f>('Hypotheses expl'!A39)</f>
        <v xml:space="preserve">Autres segments de CA</v>
      </c>
      <c r="B15" s="199"/>
      <c r="C15" s="200">
        <f>'Hypotheses expl'!O42</f>
        <v>0</v>
      </c>
      <c r="D15" s="201">
        <f>+SUMIF('Hypotheses expl'!$R$42,'Compte résultat prévi'!$D$5,'Hypotheses expl'!$S$42)+SUMIF('Hypotheses expl'!$T$42,'Compte résultat prévi'!$D$5,'Hypotheses expl'!$U$42)+SUMIF('Hypotheses expl'!$V$42,'Compte résultat prévi'!$D$5,'Hypotheses expl'!$W$42)+SUMIF('Hypotheses expl'!$X$42,'Compte résultat prévi'!$D$5,'Hypotheses expl'!$Y$42)+SUMIF('Hypotheses expl'!$Z$42,'Compte résultat prévi'!$D$5,'Hypotheses expl'!$AA$42)+SUMIF('Hypotheses expl'!$AB$42,'Compte résultat prévi'!$D$5,'Hypotheses expl'!$AC$42)</f>
        <v>0</v>
      </c>
      <c r="E15" s="201">
        <f>+SUMIF('Hypotheses expl'!$R$42,'Compte résultat prévi'!$E$5,'Hypotheses expl'!$S$42)+SUMIF('Hypotheses expl'!$T$42,'Compte résultat prévi'!$E$5,'Hypotheses expl'!$U$42)+SUMIF('Hypotheses expl'!$V$42,'Compte résultat prévi'!$E$5,'Hypotheses expl'!$W$42)+SUMIF('Hypotheses expl'!$X$42,'Compte résultat prévi'!$E$5,'Hypotheses expl'!$Y$42)+SUMIF('Hypotheses expl'!$Z$42,'Compte résultat prévi'!$E$5,'Hypotheses expl'!$AA$42)+SUMIF('Hypotheses expl'!$AB$42,'Compte résultat prévi'!$E$5,'Hypotheses expl'!$AC$42)</f>
        <v>0</v>
      </c>
      <c r="F15" s="201">
        <f>+SUMIF('Hypotheses expl'!$R$42,'Compte résultat prévi'!$F$5,'Hypotheses expl'!$S$42)+SUMIF('Hypotheses expl'!$T$42,'Compte résultat prévi'!$F$5,'Hypotheses expl'!$U$42)+SUMIF('Hypotheses expl'!$V$42,'Compte résultat prévi'!$F$5,'Hypotheses expl'!$W$42)+SUMIF('Hypotheses expl'!$X$42,'Compte résultat prévi'!$F$5,'Hypotheses expl'!$Y$42)+SUMIF('Hypotheses expl'!$Z$42,'Compte résultat prévi'!$F$5,'Hypotheses expl'!$AA$42)+SUMIF('Hypotheses expl'!$AB$42,'Compte résultat prévi'!$F$5,'Hypotheses expl'!$AC$42)</f>
        <v>0</v>
      </c>
      <c r="G15" s="201">
        <f>+SUMIF('Hypotheses expl'!$R$42,'Compte résultat prévi'!$G$5,'Hypotheses expl'!$S$42)+SUMIF('Hypotheses expl'!$T$42,'Compte résultat prévi'!$G$5,'Hypotheses expl'!$U$42)+SUMIF('Hypotheses expl'!$V$42,'Compte résultat prévi'!$G$5,'Hypotheses expl'!$W$42)+SUMIF('Hypotheses expl'!$X$42,'Compte résultat prévi'!$G$5,'Hypotheses expl'!$Y$42)+SUMIF('Hypotheses expl'!$Z$42,'Compte résultat prévi'!$G$5,'Hypotheses expl'!$AA$42)+SUMIF('Hypotheses expl'!$AB$42,'Compte résultat prévi'!$G$5,'Hypotheses expl'!$AC$42)</f>
        <v>0</v>
      </c>
      <c r="H15" s="202">
        <f>+SUMIF('Hypotheses expl'!$R$42,'Compte résultat prévi'!$H$5,'Hypotheses expl'!$S$42)+SUMIF('Hypotheses expl'!$T$42,'Compte résultat prévi'!$H$5,'Hypotheses expl'!$U$42)+SUMIF('Hypotheses expl'!$V$42,'Compte résultat prévi'!$H$5,'Hypotheses expl'!$W$42)+SUMIF('Hypotheses expl'!$X$42,'Compte résultat prévi'!$H$5,'Hypotheses expl'!$Y$42)+SUMIF('Hypotheses expl'!$Z$42,'Compte résultat prévi'!$H$5,'Hypotheses expl'!$AA$42)+SUMIF('Hypotheses expl'!$AB$42,'Compte résultat prévi'!$H$5,'Hypotheses expl'!$AC$42)</f>
        <v>0</v>
      </c>
      <c r="I15" s="200">
        <f>'Hypotheses expl (3,)'!O42</f>
        <v>0</v>
      </c>
      <c r="J15" s="201">
        <f>+SUMIF('Hypotheses expl (3,)'!$R$42,'Compte résultat prévi'!$J$5,'Hypotheses expl (3,)'!$S$42)+SUMIF('Hypotheses expl (3,)'!$T$42,'Compte résultat prévi'!$J$5,'Hypotheses expl (3,)'!$U$42)+SUMIF('Hypotheses expl (3,)'!$V$42,'Compte résultat prévi'!$J$5,'Hypotheses expl (3,)'!$W$42)+SUMIF('Hypotheses expl (3,)'!$X$42,'Compte résultat prévi'!$J$5,'Hypotheses expl (3,)'!$Y$42)+SUMIF('Hypotheses expl (3,)'!$Z$42,'Compte résultat prévi'!$J$5,'Hypotheses expl (3,)'!$AA$42)+SUMIF('Hypotheses expl (3,)'!$AB$42,'Compte résultat prévi'!$J$5,'Hypotheses expl (3,)'!$AC$42)</f>
        <v>0</v>
      </c>
      <c r="K15" s="201">
        <f>+SUMIF('Hypotheses expl (3,)'!$R$42,'Compte résultat prévi'!$K$5,'Hypotheses expl (3,)'!$S$42)+SUMIF('Hypotheses expl (3,)'!$T$42,'Compte résultat prévi'!$K$5,'Hypotheses expl (3,)'!$U$42)+SUMIF('Hypotheses expl (3,)'!$V$42,'Compte résultat prévi'!$K$5,'Hypotheses expl (3,)'!$W$42)+SUMIF('Hypotheses expl (3,)'!$X$42,'Compte résultat prévi'!$K$5,'Hypotheses expl (3,)'!$Y$42)+SUMIF('Hypotheses expl (3,)'!$Z$42,'Compte résultat prévi'!$K$5,'Hypotheses expl (3,)'!$AA$42)+SUMIF('Hypotheses expl (3,)'!$AB$42,'Compte résultat prévi'!$K$5,'Hypotheses expl (3,)'!$AC$42)</f>
        <v>0</v>
      </c>
      <c r="L15" s="201">
        <f>+SUMIF('Hypotheses expl (3,)'!$R$42,'Compte résultat prévi'!$L$5,'Hypotheses expl (3,)'!$S$42)+SUMIF('Hypotheses expl (3,)'!$T$42,'Compte résultat prévi'!$L$5,'Hypotheses expl (3,)'!$U$42)+SUMIF('Hypotheses expl (3,)'!$V$42,'Compte résultat prévi'!$L$5,'Hypotheses expl (3,)'!$W$42)+SUMIF('Hypotheses expl (3,)'!$X$42,'Compte résultat prévi'!$L$5,'Hypotheses expl (3,)'!$Y$42)+SUMIF('Hypotheses expl (3,)'!$Z$42,'Compte résultat prévi'!$L$5,'Hypotheses expl (3,)'!$AA$42)+SUMIF('Hypotheses expl (3,)'!$AB$42,'Compte résultat prévi'!$L$5,'Hypotheses expl (3,)'!$AC$42)</f>
        <v>0</v>
      </c>
      <c r="M15" s="201">
        <f>+SUMIF('Hypotheses expl (3,)'!$R$42,'Compte résultat prévi'!$M$5,'Hypotheses expl (3,)'!$S$42)+SUMIF('Hypotheses expl (3,)'!$T$42,'Compte résultat prévi'!$M$5,'Hypotheses expl (3,)'!$U$42)+SUMIF('Hypotheses expl (3,)'!$V$42,'Compte résultat prévi'!$M$5,'Hypotheses expl (3,)'!$W$42)+SUMIF('Hypotheses expl (3,)'!$X$42,'Compte résultat prévi'!$M$5,'Hypotheses expl (3,)'!$Y$42)+SUMIF('Hypotheses expl (3,)'!$Z$42,'Compte résultat prévi'!$M$5,'Hypotheses expl (3,)'!$AA$42)+SUMIF('Hypotheses expl (3,)'!$AB$42,'Compte résultat prévi'!$M$5,'Hypotheses expl (3,)'!$AC$42)</f>
        <v>0</v>
      </c>
      <c r="N15" s="202">
        <f>+SUMIF('Hypotheses expl (3,)'!$R$42,'Compte résultat prévi'!$N$5,'Hypotheses expl (3,)'!$S$42)+SUMIF('Hypotheses expl (3,)'!$T$42,'Compte résultat prévi'!$N$5,'Hypotheses expl (3,)'!$U$42)+SUMIF('Hypotheses expl (3,)'!$V$42,'Compte résultat prévi'!$N$5,'Hypotheses expl (3,)'!$W$42)+SUMIF('Hypotheses expl (3,)'!$X$42,'Compte résultat prévi'!$N$5,'Hypotheses expl (3,)'!$Y$42)+SUMIF('Hypotheses expl (3,)'!$Z$42,'Compte résultat prévi'!$N$5,'Hypotheses expl (3,)'!$AA$42)+SUMIF('Hypotheses expl (3,)'!$AB$42,'Compte résultat prévi'!$N$5,'Hypotheses expl (3,)'!$AC$42)</f>
        <v>0</v>
      </c>
      <c r="O15" s="200">
        <f>'Hypotheses expl (2)'!O42</f>
        <v>0</v>
      </c>
      <c r="P15" s="201">
        <f>+SUMIF('Hypotheses expl (2)'!$R$42,'Compte résultat prévi'!$P$5,'Hypotheses expl (2)'!$S$42)+SUMIF('Hypotheses expl (2)'!$T$42,'Compte résultat prévi'!$P$5,'Hypotheses expl (2)'!$U$42)+SUMIF('Hypotheses expl (2)'!$V$42,'Compte résultat prévi'!$P$5,'Hypotheses expl (2)'!$W$42)+SUMIF('Hypotheses expl (2)'!$X$42,'Compte résultat prévi'!$P$5,'Hypotheses expl (2)'!$Y$42)+SUMIF('Hypotheses expl (2)'!$Z$42,'Compte résultat prévi'!$P$5,'Hypotheses expl (2)'!$AA$42)+SUMIF('Hypotheses expl (2)'!$AB$42,'Compte résultat prévi'!$P$5,'Hypotheses expl (2)'!$AC$42)</f>
        <v>0</v>
      </c>
      <c r="Q15" s="201">
        <f>+SUMIF('Hypotheses expl (2)'!$R$42,'Compte résultat prévi'!$Q$5,'Hypotheses expl (2)'!$S$42)+SUMIF('Hypotheses expl (2)'!$T$42,'Compte résultat prévi'!$Q$5,'Hypotheses expl (2)'!$U$42)+SUMIF('Hypotheses expl (2)'!$V$42,'Compte résultat prévi'!$Q$5,'Hypotheses expl (2)'!$W$42)+SUMIF('Hypotheses expl (2)'!$X$42,'Compte résultat prévi'!$Q$5,'Hypotheses expl (2)'!$Y$42)+SUMIF('Hypotheses expl (2)'!$Z$42,'Compte résultat prévi'!$Q$5,'Hypotheses expl (2)'!$AA$42)+SUMIF('Hypotheses expl (2)'!$AB$42,'Compte résultat prévi'!$Q$5,'Hypotheses expl (2)'!$AC$42)</f>
        <v>0</v>
      </c>
      <c r="R15" s="201">
        <f>+SUMIF('Hypotheses expl (2)'!$R$42,'Compte résultat prévi'!$R$5,'Hypotheses expl (2)'!$S$42)+SUMIF('Hypotheses expl (2)'!$T$42,'Compte résultat prévi'!$R$5,'Hypotheses expl (2)'!$U$42)+SUMIF('Hypotheses expl (2)'!$V$42,'Compte résultat prévi'!$R$5,'Hypotheses expl (2)'!$W$42)+SUMIF('Hypotheses expl (2)'!$X$42,'Compte résultat prévi'!$R$5,'Hypotheses expl (2)'!$Y$42)+SUMIF('Hypotheses expl (2)'!$Z$42,'Compte résultat prévi'!$R$5,'Hypotheses expl (2)'!$AA$42)+SUMIF('Hypotheses expl (2)'!$AB$42,'Compte résultat prévi'!$R$5,'Hypotheses expl (2)'!$AC$42)</f>
        <v>0</v>
      </c>
      <c r="S15" s="201">
        <f>+SUMIF('Hypotheses expl (2)'!$R$42,'Compte résultat prévi'!$S$5,'Hypotheses expl (2)'!$S$42)+SUMIF('Hypotheses expl (2)'!$T$42,'Compte résultat prévi'!$S$5,'Hypotheses expl (2)'!$U$42)+SUMIF('Hypotheses expl (2)'!$V$42,'Compte résultat prévi'!$S$5,'Hypotheses expl (2)'!$W$42)+SUMIF('Hypotheses expl (2)'!$X$42,'Compte résultat prévi'!$S$5,'Hypotheses expl (2)'!$Y$42)+SUMIF('Hypotheses expl (2)'!$Z$42,'Compte résultat prévi'!$S$5,'Hypotheses expl (2)'!$AA$42)+SUMIF('Hypotheses expl (2)'!$AB$42,'Compte résultat prévi'!$S$5,'Hypotheses expl (2)'!$AC$42)</f>
        <v>0</v>
      </c>
      <c r="T15" s="202">
        <f>+SUMIF('Hypotheses expl (2)'!$R$42,'Compte résultat prévi'!$T$5,'Hypotheses expl (2)'!$S$42)+SUMIF('Hypotheses expl (2)'!$T$42,'Compte résultat prévi'!$T$5,'Hypotheses expl (2)'!$U$42)+SUMIF('Hypotheses expl (2)'!$V$42,'Compte résultat prévi'!$T$5,'Hypotheses expl (2)'!$W$42)+SUMIF('Hypotheses expl (2)'!$X$42,'Compte résultat prévi'!$T$5,'Hypotheses expl (2)'!$Y$42)+SUMIF('Hypotheses expl (2)'!$Z$42,'Compte résultat prévi'!$T$5,'Hypotheses expl (2)'!$AA$42)+SUMIF('Hypotheses expl (2)'!$AB$42,'Compte résultat prévi'!$T$5,'Hypotheses expl (2)'!$AC$42)</f>
        <v>0</v>
      </c>
      <c r="U15" s="203"/>
      <c r="V15" s="204"/>
    </row>
    <row r="16" outlineLevel="1">
      <c r="A16" s="198" t="str">
        <f>('Hypotheses expl'!A43)</f>
        <v>Cotisations</v>
      </c>
      <c r="B16" s="199"/>
      <c r="C16" s="200">
        <f>'Hypotheses expl'!O46</f>
        <v>0</v>
      </c>
      <c r="D16" s="201">
        <f>+SUMIF('Hypotheses expl'!$R$46,'Compte résultat prévi'!$D$5,'Hypotheses expl'!$S$46)+SUMIF('Hypotheses expl'!$T$46,'Compte résultat prévi'!$D$5,'Hypotheses expl'!$U$46)+SUMIF('Hypotheses expl'!$V$46,'Compte résultat prévi'!$D$5,'Hypotheses expl'!$W$46)+SUMIF('Hypotheses expl'!$X$46,'Compte résultat prévi'!$D$5,'Hypotheses expl'!$Y$46)+SUMIF('Hypotheses expl'!$Z$46,'Compte résultat prévi'!$D$5,'Hypotheses expl'!$AA$46)+SUMIF('Hypotheses expl'!$AB$46,'Compte résultat prévi'!$D$5,'Hypotheses expl'!$AC$46)</f>
        <v>0</v>
      </c>
      <c r="E16" s="201">
        <f>+SUMIF('Hypotheses expl'!$R$46,'Compte résultat prévi'!$E$5,'Hypotheses expl'!$S$46)+SUMIF('Hypotheses expl'!$T$46,'Compte résultat prévi'!$E$5,'Hypotheses expl'!$U$46)+SUMIF('Hypotheses expl'!$V$46,'Compte résultat prévi'!$E$5,'Hypotheses expl'!$W$46)+SUMIF('Hypotheses expl'!$X$46,'Compte résultat prévi'!$E$5,'Hypotheses expl'!$Y$46)+SUMIF('Hypotheses expl'!$Z$46,'Compte résultat prévi'!$E$5,'Hypotheses expl'!$AA$46)+SUMIF('Hypotheses expl'!$AB$46,'Compte résultat prévi'!$E$5,'Hypotheses expl'!$AC$46)</f>
        <v>0</v>
      </c>
      <c r="F16" s="201">
        <f>+SUMIF('Hypotheses expl'!$R$46,'Compte résultat prévi'!$F$5,'Hypotheses expl'!$S$46)+SUMIF('Hypotheses expl'!$T$46,'Compte résultat prévi'!$F$5,'Hypotheses expl'!$U$46)+SUMIF('Hypotheses expl'!$V$46,'Compte résultat prévi'!$F$5,'Hypotheses expl'!$W$46)+SUMIF('Hypotheses expl'!$X$46,'Compte résultat prévi'!$F$5,'Hypotheses expl'!$Y$46)+SUMIF('Hypotheses expl'!$Z$46,'Compte résultat prévi'!$F$5,'Hypotheses expl'!$AA$46)+SUMIF('Hypotheses expl'!$AB$46,'Compte résultat prévi'!$F$5,'Hypotheses expl'!$AC$46)</f>
        <v>0</v>
      </c>
      <c r="G16" s="201">
        <f>+SUMIF('Hypotheses expl'!$R$46,'Compte résultat prévi'!$G$5,'Hypotheses expl'!$S$46)+SUMIF('Hypotheses expl'!$T$46,'Compte résultat prévi'!$G$5,'Hypotheses expl'!$U$46)+SUMIF('Hypotheses expl'!$V$46,'Compte résultat prévi'!$G$5,'Hypotheses expl'!$W$46)+SUMIF('Hypotheses expl'!$X$46,'Compte résultat prévi'!$G$5,'Hypotheses expl'!$Y$46)+SUMIF('Hypotheses expl'!$Z$46,'Compte résultat prévi'!$G$5,'Hypotheses expl'!$AA$46)+SUMIF('Hypotheses expl'!$AB$46,'Compte résultat prévi'!$G$5,'Hypotheses expl'!$AC$46)</f>
        <v>0</v>
      </c>
      <c r="H16" s="202">
        <f>+SUMIF('Hypotheses expl'!$R$46,'Compte résultat prévi'!$H$5,'Hypotheses expl'!$S$46)+SUMIF('Hypotheses expl'!$T$46,'Compte résultat prévi'!$H$5,'Hypotheses expl'!$U$46)+SUMIF('Hypotheses expl'!$V$46,'Compte résultat prévi'!$H$5,'Hypotheses expl'!$W$46)+SUMIF('Hypotheses expl'!$X$46,'Compte résultat prévi'!$H$5,'Hypotheses expl'!$Y$46)+SUMIF('Hypotheses expl'!$Z$46,'Compte résultat prévi'!$H$5,'Hypotheses expl'!$AA$46)+SUMIF('Hypotheses expl'!$AB$46,'Compte résultat prévi'!$H$5,'Hypotheses expl'!$AC$46)</f>
        <v>0</v>
      </c>
      <c r="I16" s="200">
        <f>'Hypotheses expl (3,)'!O46</f>
        <v>0</v>
      </c>
      <c r="J16" s="201">
        <f>+SUMIF('Hypotheses expl (3,)'!$R$46,'Compte résultat prévi'!$J$5,'Hypotheses expl (3,)'!$S$46)+SUMIF('Hypotheses expl (3,)'!$T$46,'Compte résultat prévi'!$J$5,'Hypotheses expl (3,)'!$U$46)+SUMIF('Hypotheses expl (3,)'!$V$46,'Compte résultat prévi'!$J$5,'Hypotheses expl (3,)'!$W$46)+SUMIF('Hypotheses expl (3,)'!$X$46,'Compte résultat prévi'!$J$5,'Hypotheses expl (3,)'!$Y$46)+SUMIF('Hypotheses expl (3,)'!$Z$46,'Compte résultat prévi'!$J$5,'Hypotheses expl (3,)'!$AA$46)+SUMIF('Hypotheses expl (3,)'!$AB$46,'Compte résultat prévi'!$J$5,'Hypotheses expl (3,)'!$AC$46)</f>
        <v>0</v>
      </c>
      <c r="K16" s="201">
        <f>+SUMIF('Hypotheses expl (3,)'!$R$46,'Compte résultat prévi'!$K$5,'Hypotheses expl (3,)'!$S$46)+SUMIF('Hypotheses expl (3,)'!$T$46,'Compte résultat prévi'!$K$5,'Hypotheses expl (3,)'!$U$46)+SUMIF('Hypotheses expl (3,)'!$V$46,'Compte résultat prévi'!$K$5,'Hypotheses expl (3,)'!$W$46)+SUMIF('Hypotheses expl (3,)'!$X$46,'Compte résultat prévi'!$K$5,'Hypotheses expl (3,)'!$Y$46)+SUMIF('Hypotheses expl (3,)'!$Z$46,'Compte résultat prévi'!$K$5,'Hypotheses expl (3,)'!$AA$46)+SUMIF('Hypotheses expl (3,)'!$AB$46,'Compte résultat prévi'!$K$5,'Hypotheses expl (3,)'!$AC$46)</f>
        <v>0</v>
      </c>
      <c r="L16" s="201">
        <f>+SUMIF('Hypotheses expl (3,)'!$R$46,'Compte résultat prévi'!$L$5,'Hypotheses expl (3,)'!$S$46)+SUMIF('Hypotheses expl (3,)'!$T$46,'Compte résultat prévi'!$L$5,'Hypotheses expl (3,)'!$U$46)+SUMIF('Hypotheses expl (3,)'!$V$46,'Compte résultat prévi'!$L$5,'Hypotheses expl (3,)'!$W$46)+SUMIF('Hypotheses expl (3,)'!$X$46,'Compte résultat prévi'!$L$5,'Hypotheses expl (3,)'!$Y$46)+SUMIF('Hypotheses expl (3,)'!$Z$46,'Compte résultat prévi'!$L$5,'Hypotheses expl (3,)'!$AA$46)+SUMIF('Hypotheses expl (3,)'!$AB$46,'Compte résultat prévi'!$L$5,'Hypotheses expl (3,)'!$AC$46)</f>
        <v>0</v>
      </c>
      <c r="M16" s="201">
        <f>+SUMIF('Hypotheses expl (3,)'!$R$46,'Compte résultat prévi'!$M$5,'Hypotheses expl (3,)'!$S$46)+SUMIF('Hypotheses expl (3,)'!$T$46,'Compte résultat prévi'!$M$5,'Hypotheses expl (3,)'!$U$46)+SUMIF('Hypotheses expl (3,)'!$V$46,'Compte résultat prévi'!$M$5,'Hypotheses expl (3,)'!$W$46)+SUMIF('Hypotheses expl (3,)'!$X$46,'Compte résultat prévi'!$M$5,'Hypotheses expl (3,)'!$Y$46)+SUMIF('Hypotheses expl (3,)'!$Z$46,'Compte résultat prévi'!$M$5,'Hypotheses expl (3,)'!$AA$46)+SUMIF('Hypotheses expl (3,)'!$AB$46,'Compte résultat prévi'!$M$5,'Hypotheses expl (3,)'!$AC$46)</f>
        <v>0</v>
      </c>
      <c r="N16" s="202">
        <f>+SUMIF('Hypotheses expl (3,)'!$R$46,'Compte résultat prévi'!$N$5,'Hypotheses expl (3,)'!$S$46)+SUMIF('Hypotheses expl (3,)'!$T$46,'Compte résultat prévi'!$N$5,'Hypotheses expl (3,)'!$U$46)+SUMIF('Hypotheses expl (3,)'!$V$46,'Compte résultat prévi'!$N$5,'Hypotheses expl (3,)'!$W$46)+SUMIF('Hypotheses expl (3,)'!$X$46,'Compte résultat prévi'!$N$5,'Hypotheses expl (3,)'!$Y$46)+SUMIF('Hypotheses expl (3,)'!$Z$46,'Compte résultat prévi'!$N$5,'Hypotheses expl (3,)'!$AA$46)+SUMIF('Hypotheses expl (3,)'!$AB$46,'Compte résultat prévi'!$N$5,'Hypotheses expl (3,)'!$AC$46)</f>
        <v>0</v>
      </c>
      <c r="O16" s="200">
        <f>'Hypotheses expl (2)'!O46</f>
        <v>0</v>
      </c>
      <c r="P16" s="201">
        <f>+SUMIF('Hypotheses expl (2)'!$R$46,'Compte résultat prévi'!$P$5,'Hypotheses expl (2)'!$S$46)+SUMIF('Hypotheses expl (2)'!$T$46,'Compte résultat prévi'!$P$5,'Hypotheses expl (2)'!$U$46)+SUMIF('Hypotheses expl (2)'!$V$46,'Compte résultat prévi'!$P$5,'Hypotheses expl (2)'!$W$46)+SUMIF('Hypotheses expl (2)'!$X$46,'Compte résultat prévi'!$P$5,'Hypotheses expl (2)'!$Y$46)+SUMIF('Hypotheses expl (2)'!$Z$46,'Compte résultat prévi'!$P$5,'Hypotheses expl (2)'!$AA$46)+SUMIF('Hypotheses expl (2)'!$AB$46,'Compte résultat prévi'!$P$5,'Hypotheses expl (2)'!$AC$46)</f>
        <v>0</v>
      </c>
      <c r="Q16" s="201">
        <f>+SUMIF('Hypotheses expl (2)'!$R$46,'Compte résultat prévi'!$Q$5,'Hypotheses expl (2)'!$S$46)+SUMIF('Hypotheses expl (2)'!$T$46,'Compte résultat prévi'!$Q$5,'Hypotheses expl (2)'!$U$46)+SUMIF('Hypotheses expl (2)'!$V$46,'Compte résultat prévi'!$Q$5,'Hypotheses expl (2)'!$W$46)+SUMIF('Hypotheses expl (2)'!$X$46,'Compte résultat prévi'!$Q$5,'Hypotheses expl (2)'!$Y$46)+SUMIF('Hypotheses expl (2)'!$Z$46,'Compte résultat prévi'!$Q$5,'Hypotheses expl (2)'!$AA$46)+SUMIF('Hypotheses expl (2)'!$AB$46,'Compte résultat prévi'!$Q$5,'Hypotheses expl (2)'!$AC$46)</f>
        <v>0</v>
      </c>
      <c r="R16" s="201">
        <f>+SUMIF('Hypotheses expl (2)'!$R$46,'Compte résultat prévi'!$R$5,'Hypotheses expl (2)'!$S$46)+SUMIF('Hypotheses expl (2)'!$T$46,'Compte résultat prévi'!$R$5,'Hypotheses expl (2)'!$U$46)+SUMIF('Hypotheses expl (2)'!$V$46,'Compte résultat prévi'!$R$5,'Hypotheses expl (2)'!$W$46)+SUMIF('Hypotheses expl (2)'!$X$46,'Compte résultat prévi'!$R$5,'Hypotheses expl (2)'!$Y$46)+SUMIF('Hypotheses expl (2)'!$Z$46,'Compte résultat prévi'!$R$5,'Hypotheses expl (2)'!$AA$46)+SUMIF('Hypotheses expl (2)'!$AB$46,'Compte résultat prévi'!$R$5,'Hypotheses expl (2)'!$AC$46)</f>
        <v>0</v>
      </c>
      <c r="S16" s="201">
        <f>+SUMIF('Hypotheses expl (2)'!$R$46,'Compte résultat prévi'!$S$5,'Hypotheses expl (2)'!$S$46)+SUMIF('Hypotheses expl (2)'!$T$46,'Compte résultat prévi'!$S$5,'Hypotheses expl (2)'!$U$46)+SUMIF('Hypotheses expl (2)'!$V$46,'Compte résultat prévi'!$S$5,'Hypotheses expl (2)'!$W$46)+SUMIF('Hypotheses expl (2)'!$X$46,'Compte résultat prévi'!$S$5,'Hypotheses expl (2)'!$Y$46)+SUMIF('Hypotheses expl (2)'!$Z$46,'Compte résultat prévi'!$S$5,'Hypotheses expl (2)'!$AA$46)+SUMIF('Hypotheses expl (2)'!$AB$46,'Compte résultat prévi'!$S$5,'Hypotheses expl (2)'!$AC$46)</f>
        <v>0</v>
      </c>
      <c r="T16" s="202">
        <f>+SUMIF('Hypotheses expl (2)'!$R$46,'Compte résultat prévi'!$T$5,'Hypotheses expl (2)'!$S$46)+SUMIF('Hypotheses expl (2)'!$T$46,'Compte résultat prévi'!$T$5,'Hypotheses expl (2)'!$U$46)+SUMIF('Hypotheses expl (2)'!$V$46,'Compte résultat prévi'!$T$5,'Hypotheses expl (2)'!$W$46)+SUMIF('Hypotheses expl (2)'!$X$46,'Compte résultat prévi'!$T$5,'Hypotheses expl (2)'!$Y$46)+SUMIF('Hypotheses expl (2)'!$Z$46,'Compte résultat prévi'!$T$5,'Hypotheses expl (2)'!$AA$46)+SUMIF('Hypotheses expl (2)'!$AB$46,'Compte résultat prévi'!$T$5,'Hypotheses expl (2)'!$AC$46)</f>
        <v>0</v>
      </c>
      <c r="U16" s="203"/>
      <c r="V16" s="204"/>
    </row>
    <row r="17" outlineLevel="1">
      <c r="A17" s="198" t="str">
        <f>('Hypotheses expl'!A47)</f>
        <v xml:space="preserve">Remboursement frais site Avion</v>
      </c>
      <c r="B17" s="199"/>
      <c r="C17" s="200">
        <f>'Hypotheses expl'!O50</f>
        <v>22000</v>
      </c>
      <c r="D17" s="201">
        <f>+SUMIF('Hypotheses expl'!$R$50,'Compte résultat prévi'!$D$5,'Hypotheses expl'!$S$50)+SUMIF('Hypotheses expl'!$T$50,'Compte résultat prévi'!$D$5,'Hypotheses expl'!$U$50)+SUMIF('Hypotheses expl'!$V$50,'Compte résultat prévi'!$D$5,'Hypotheses expl'!$W$50)+SUMIF('Hypotheses expl'!$X$50,'Compte résultat prévi'!$D$5,'Hypotheses expl'!$Y$50)+SUMIF('Hypotheses expl'!$Z$50,'Compte résultat prévi'!$D$5,'Hypotheses expl'!$AA$50)+SUMIF('Hypotheses expl'!$AB$50,'Compte résultat prévi'!$D$5,'Hypotheses expl'!$AC$50)</f>
        <v>0</v>
      </c>
      <c r="E17" s="201">
        <f>+SUMIF('Hypotheses expl'!$R$50,'Compte résultat prévi'!$E$5,'Hypotheses expl'!$S$50)+SUMIF('Hypotheses expl'!$T$50,'Compte résultat prévi'!$E$5,'Hypotheses expl'!$U$50)+SUMIF('Hypotheses expl'!$V$50,'Compte résultat prévi'!$E$5,'Hypotheses expl'!$W$50)+SUMIF('Hypotheses expl'!$X$50,'Compte résultat prévi'!$E$5,'Hypotheses expl'!$Y$50)+SUMIF('Hypotheses expl'!$Z$50,'Compte résultat prévi'!$E$5,'Hypotheses expl'!$AA$50)+SUMIF('Hypotheses expl'!$AB$50,'Compte résultat prévi'!$E$5,'Hypotheses expl'!$AC$50)</f>
        <v>0</v>
      </c>
      <c r="F17" s="201">
        <f>+SUMIF('Hypotheses expl'!$R$50,'Compte résultat prévi'!$F$5,'Hypotheses expl'!$S$50)+SUMIF('Hypotheses expl'!$T$50,'Compte résultat prévi'!$F$5,'Hypotheses expl'!$U$50)+SUMIF('Hypotheses expl'!$V$50,'Compte résultat prévi'!$F$5,'Hypotheses expl'!$W$50)+SUMIF('Hypotheses expl'!$X$50,'Compte résultat prévi'!$F$5,'Hypotheses expl'!$Y$50)+SUMIF('Hypotheses expl'!$Z$50,'Compte résultat prévi'!$F$5,'Hypotheses expl'!$AA$50)+SUMIF('Hypotheses expl'!$AB$50,'Compte résultat prévi'!$F$5,'Hypotheses expl'!$AC$50)</f>
        <v>22000</v>
      </c>
      <c r="G17" s="201">
        <f>+SUMIF('Hypotheses expl'!$R$50,'Compte résultat prévi'!$G$5,'Hypotheses expl'!$S$50)+SUMIF('Hypotheses expl'!$T$50,'Compte résultat prévi'!$G$5,'Hypotheses expl'!$U$50)+SUMIF('Hypotheses expl'!$V$50,'Compte résultat prévi'!$G$5,'Hypotheses expl'!$W$50)+SUMIF('Hypotheses expl'!$X$50,'Compte résultat prévi'!$G$5,'Hypotheses expl'!$Y$50)+SUMIF('Hypotheses expl'!$Z$50,'Compte résultat prévi'!$G$5,'Hypotheses expl'!$AA$50)+SUMIF('Hypotheses expl'!$AB$50,'Compte résultat prévi'!$G$5,'Hypotheses expl'!$AC$50)</f>
        <v>0</v>
      </c>
      <c r="H17" s="202">
        <f>+SUMIF('Hypotheses expl'!$R$50,'Compte résultat prévi'!$H$5,'Hypotheses expl'!$S$50)+SUMIF('Hypotheses expl'!$T$50,'Compte résultat prévi'!$H$5,'Hypotheses expl'!$U$50)+SUMIF('Hypotheses expl'!$V$50,'Compte résultat prévi'!$H$5,'Hypotheses expl'!$W$50)+SUMIF('Hypotheses expl'!$X$50,'Compte résultat prévi'!$H$5,'Hypotheses expl'!$Y$50)+SUMIF('Hypotheses expl'!$Z$50,'Compte résultat prévi'!$H$5,'Hypotheses expl'!$AA$50)+SUMIF('Hypotheses expl'!$AB$50,'Compte résultat prévi'!$H$5,'Hypotheses expl'!$AC$50)</f>
        <v>0</v>
      </c>
      <c r="I17" s="200">
        <f>'Hypotheses expl (3,)'!O50</f>
        <v>32000</v>
      </c>
      <c r="J17" s="201">
        <f>+SUMIF('Hypotheses expl (3,)'!$R$50,'Compte résultat prévi'!$J$5,'Hypotheses expl (3,)'!$S$50)+SUMIF('Hypotheses expl (3,)'!$T$50,'Compte résultat prévi'!$J$5,'Hypotheses expl (3,)'!$U$50)+SUMIF('Hypotheses expl (3,)'!$V$50,'Compte résultat prévi'!$J$5,'Hypotheses expl (3,)'!$W$50)+SUMIF('Hypotheses expl (3,)'!$X$50,'Compte résultat prévi'!$J$5,'Hypotheses expl (3,)'!$Y$50)+SUMIF('Hypotheses expl (3,)'!$Z$50,'Compte résultat prévi'!$J$5,'Hypotheses expl (3,)'!$AA$50)+SUMIF('Hypotheses expl (3,)'!$AB$50,'Compte résultat prévi'!$J$5,'Hypotheses expl (3,)'!$AC$50)</f>
        <v>0</v>
      </c>
      <c r="K17" s="201">
        <f>+SUMIF('Hypotheses expl (3,)'!$R$50,'Compte résultat prévi'!$K$5,'Hypotheses expl (3,)'!$S$50)+SUMIF('Hypotheses expl (3,)'!$T$50,'Compte résultat prévi'!$K$5,'Hypotheses expl (3,)'!$U$50)+SUMIF('Hypotheses expl (3,)'!$V$50,'Compte résultat prévi'!$K$5,'Hypotheses expl (3,)'!$W$50)+SUMIF('Hypotheses expl (3,)'!$X$50,'Compte résultat prévi'!$K$5,'Hypotheses expl (3,)'!$Y$50)+SUMIF('Hypotheses expl (3,)'!$Z$50,'Compte résultat prévi'!$K$5,'Hypotheses expl (3,)'!$AA$50)+SUMIF('Hypotheses expl (3,)'!$AB$50,'Compte résultat prévi'!$K$5,'Hypotheses expl (3,)'!$AC$50)</f>
        <v>0</v>
      </c>
      <c r="L17" s="201">
        <f>+SUMIF('Hypotheses expl (3,)'!$R$50,'Compte résultat prévi'!$L$5,'Hypotheses expl (3,)'!$S$50)+SUMIF('Hypotheses expl (3,)'!$T$50,'Compte résultat prévi'!$L$5,'Hypotheses expl (3,)'!$U$50)+SUMIF('Hypotheses expl (3,)'!$V$50,'Compte résultat prévi'!$L$5,'Hypotheses expl (3,)'!$W$50)+SUMIF('Hypotheses expl (3,)'!$X$50,'Compte résultat prévi'!$L$5,'Hypotheses expl (3,)'!$Y$50)+SUMIF('Hypotheses expl (3,)'!$Z$50,'Compte résultat prévi'!$L$5,'Hypotheses expl (3,)'!$AA$50)+SUMIF('Hypotheses expl (3,)'!$AB$50,'Compte résultat prévi'!$L$5,'Hypotheses expl (3,)'!$AC$50)</f>
        <v>22000</v>
      </c>
      <c r="M17" s="201">
        <f>+SUMIF('Hypotheses expl (3,)'!$R$50,'Compte résultat prévi'!$M$5,'Hypotheses expl (3,)'!$S$50)+SUMIF('Hypotheses expl (3,)'!$T$50,'Compte résultat prévi'!$M$5,'Hypotheses expl (3,)'!$U$50)+SUMIF('Hypotheses expl (3,)'!$V$50,'Compte résultat prévi'!$M$5,'Hypotheses expl (3,)'!$W$50)+SUMIF('Hypotheses expl (3,)'!$X$50,'Compte résultat prévi'!$M$5,'Hypotheses expl (3,)'!$Y$50)+SUMIF('Hypotheses expl (3,)'!$Z$50,'Compte résultat prévi'!$M$5,'Hypotheses expl (3,)'!$AA$50)+SUMIF('Hypotheses expl (3,)'!$AB$50,'Compte résultat prévi'!$M$5,'Hypotheses expl (3,)'!$AC$50)</f>
        <v>0</v>
      </c>
      <c r="N17" s="202">
        <f>+SUMIF('Hypotheses expl (3,)'!$R$50,'Compte résultat prévi'!$N$5,'Hypotheses expl (3,)'!$S$50)+SUMIF('Hypotheses expl (3,)'!$T$50,'Compte résultat prévi'!$N$5,'Hypotheses expl (3,)'!$U$50)+SUMIF('Hypotheses expl (3,)'!$V$50,'Compte résultat prévi'!$N$5,'Hypotheses expl (3,)'!$W$50)+SUMIF('Hypotheses expl (3,)'!$X$50,'Compte résultat prévi'!$N$5,'Hypotheses expl (3,)'!$Y$50)+SUMIF('Hypotheses expl (3,)'!$Z$50,'Compte résultat prévi'!$N$5,'Hypotheses expl (3,)'!$AA$50)+SUMIF('Hypotheses expl (3,)'!$AB$50,'Compte résultat prévi'!$N$5,'Hypotheses expl (3,)'!$AC$50)</f>
        <v>10000</v>
      </c>
      <c r="O17" s="200">
        <f>'Hypotheses expl (2)'!O50</f>
        <v>32000</v>
      </c>
      <c r="P17" s="201">
        <f>+SUMIF('Hypotheses expl (2)'!$R$50,'Compte résultat prévi'!$P$5,'Hypotheses expl (2)'!$S$50)+SUMIF('Hypotheses expl (2)'!$T$50,'Compte résultat prévi'!$P$5,'Hypotheses expl (2)'!$U$50)+SUMIF('Hypotheses expl (2)'!$V$50,'Compte résultat prévi'!$P$5,'Hypotheses expl (2)'!$W$50)+SUMIF('Hypotheses expl (2)'!$X$50,'Compte résultat prévi'!$P$5,'Hypotheses expl (2)'!$Y$50)+SUMIF('Hypotheses expl (2)'!$Z$50,'Compte résultat prévi'!$P$5,'Hypotheses expl (2)'!$AA$50)+SUMIF('Hypotheses expl (2)'!$AB$50,'Compte résultat prévi'!$P$5,'Hypotheses expl (2)'!$AC$50)</f>
        <v>0</v>
      </c>
      <c r="Q17" s="201">
        <f>+SUMIF('Hypotheses expl (2)'!$R$50,'Compte résultat prévi'!$Q$5,'Hypotheses expl (2)'!$S$50)+SUMIF('Hypotheses expl (2)'!$T$50,'Compte résultat prévi'!$Q$5,'Hypotheses expl (2)'!$U$50)+SUMIF('Hypotheses expl (2)'!$V$50,'Compte résultat prévi'!$Q$5,'Hypotheses expl (2)'!$W$50)+SUMIF('Hypotheses expl (2)'!$X$50,'Compte résultat prévi'!$Q$5,'Hypotheses expl (2)'!$Y$50)+SUMIF('Hypotheses expl (2)'!$Z$50,'Compte résultat prévi'!$Q$5,'Hypotheses expl (2)'!$AA$50)+SUMIF('Hypotheses expl (2)'!$AB$50,'Compte résultat prévi'!$Q$5,'Hypotheses expl (2)'!$AC$50)</f>
        <v>0</v>
      </c>
      <c r="R17" s="201">
        <f>+SUMIF('Hypotheses expl (2)'!$R$50,'Compte résultat prévi'!$R$5,'Hypotheses expl (2)'!$S$50)+SUMIF('Hypotheses expl (2)'!$T$50,'Compte résultat prévi'!$R$5,'Hypotheses expl (2)'!$U$50)+SUMIF('Hypotheses expl (2)'!$V$50,'Compte résultat prévi'!$R$5,'Hypotheses expl (2)'!$W$50)+SUMIF('Hypotheses expl (2)'!$X$50,'Compte résultat prévi'!$R$5,'Hypotheses expl (2)'!$Y$50)+SUMIF('Hypotheses expl (2)'!$Z$50,'Compte résultat prévi'!$R$5,'Hypotheses expl (2)'!$AA$50)+SUMIF('Hypotheses expl (2)'!$AB$50,'Compte résultat prévi'!$R$5,'Hypotheses expl (2)'!$AC$50)</f>
        <v>32000</v>
      </c>
      <c r="S17" s="201">
        <f>+SUMIF('Hypotheses expl (2)'!$R$50,'Compte résultat prévi'!$S$5,'Hypotheses expl (2)'!$S$50)+SUMIF('Hypotheses expl (2)'!$T$50,'Compte résultat prévi'!$S$5,'Hypotheses expl (2)'!$U$50)+SUMIF('Hypotheses expl (2)'!$V$50,'Compte résultat prévi'!$S$5,'Hypotheses expl (2)'!$W$50)+SUMIF('Hypotheses expl (2)'!$X$50,'Compte résultat prévi'!$S$5,'Hypotheses expl (2)'!$Y$50)+SUMIF('Hypotheses expl (2)'!$Z$50,'Compte résultat prévi'!$S$5,'Hypotheses expl (2)'!$AA$50)+SUMIF('Hypotheses expl (2)'!$AB$50,'Compte résultat prévi'!$S$5,'Hypotheses expl (2)'!$AC$50)</f>
        <v>0</v>
      </c>
      <c r="T17" s="202">
        <f>+SUMIF('Hypotheses expl (2)'!$R$50,'Compte résultat prévi'!$T$5,'Hypotheses expl (2)'!$S$50)+SUMIF('Hypotheses expl (2)'!$T$50,'Compte résultat prévi'!$T$5,'Hypotheses expl (2)'!$U$50)+SUMIF('Hypotheses expl (2)'!$V$50,'Compte résultat prévi'!$T$5,'Hypotheses expl (2)'!$W$50)+SUMIF('Hypotheses expl (2)'!$X$50,'Compte résultat prévi'!$T$5,'Hypotheses expl (2)'!$Y$50)+SUMIF('Hypotheses expl (2)'!$Z$50,'Compte résultat prévi'!$T$5,'Hypotheses expl (2)'!$AA$50)+SUMIF('Hypotheses expl (2)'!$AB$50,'Compte résultat prévi'!$T$5,'Hypotheses expl (2)'!$AC$50)</f>
        <v>0</v>
      </c>
      <c r="U17" s="203"/>
      <c r="V17" s="204"/>
    </row>
    <row r="18" ht="18">
      <c r="A18" s="205" t="s">
        <v>310</v>
      </c>
      <c r="B18" s="206"/>
      <c r="C18" s="207">
        <f>SUM(C19:C38)</f>
        <v>1654193.5800000001</v>
      </c>
      <c r="D18" s="208">
        <f>SUM(D19:D38)</f>
        <v>513991.95808811311</v>
      </c>
      <c r="E18" s="208">
        <f t="shared" ref="E18:V18" si="209">SUM(E19:E38)</f>
        <v>812944.5765419784</v>
      </c>
      <c r="F18" s="208">
        <f t="shared" si="209"/>
        <v>322957.04536990856</v>
      </c>
      <c r="G18" s="208">
        <f t="shared" si="209"/>
        <v>4300</v>
      </c>
      <c r="H18" s="209">
        <f t="shared" si="209"/>
        <v>0</v>
      </c>
      <c r="I18" s="207">
        <f>SUM(I19:I38)</f>
        <v>1652193.5800000001</v>
      </c>
      <c r="J18" s="208">
        <f>SUM(J19:J38)</f>
        <v>513491.95808811311</v>
      </c>
      <c r="K18" s="208">
        <f t="shared" ref="K18:N18" si="210">SUM(K19:K38)</f>
        <v>812444.5765419784</v>
      </c>
      <c r="L18" s="208">
        <f t="shared" si="210"/>
        <v>322457.04536990856</v>
      </c>
      <c r="M18" s="208">
        <f t="shared" si="210"/>
        <v>3800</v>
      </c>
      <c r="N18" s="209">
        <f t="shared" si="210"/>
        <v>0</v>
      </c>
      <c r="O18" s="207">
        <f>SUM(O19:O38)</f>
        <v>1672000</v>
      </c>
      <c r="P18" s="208">
        <f>SUM(P19:P38)</f>
        <v>510527.43142144644</v>
      </c>
      <c r="Q18" s="208">
        <f t="shared" ref="Q18:T18" si="211">SUM(Q19:Q38)</f>
        <v>809480.04987531179</v>
      </c>
      <c r="R18" s="208">
        <f t="shared" si="211"/>
        <v>350492.51870324189</v>
      </c>
      <c r="S18" s="208">
        <f t="shared" si="211"/>
        <v>1500</v>
      </c>
      <c r="T18" s="209">
        <f t="shared" si="211"/>
        <v>0</v>
      </c>
      <c r="U18" s="207">
        <f t="shared" si="209"/>
        <v>0</v>
      </c>
      <c r="V18" s="209">
        <f t="shared" si="209"/>
        <v>0</v>
      </c>
    </row>
    <row r="19" outlineLevel="1">
      <c r="A19" s="198" t="str">
        <f>'Hypotheses expl'!A70</f>
        <v>Région</v>
      </c>
      <c r="B19" s="199"/>
      <c r="C19" s="200">
        <f>'Hypotheses expl'!B70</f>
        <v>1620000</v>
      </c>
      <c r="D19" s="201">
        <f>+SUMIF('Hypotheses expl'!R70,'Compte résultat prévi'!$D$5,'Hypotheses expl'!S70)+SUMIF('Hypotheses expl'!T70,'Compte résultat prévi'!$D$5,'Hypotheses expl'!U70)+SUMIF('Hypotheses expl'!V70,'Compte résultat prévi'!$D$5,'Hypotheses expl'!W70)+SUMIF('Hypotheses expl'!X70,'Compte résultat prévi'!$D$5,'Hypotheses expl'!Y70)+SUMIF('Hypotheses expl'!Z70,'Compte résultat prévi'!$D$5,'Hypotheses expl'!AA70)+SUMIF('Hypotheses expl'!AB70,'Compte résultat prévi'!$D$5,'Hypotheses expl'!AC70)</f>
        <v>509027.43142144644</v>
      </c>
      <c r="E19" s="201">
        <f>+SUMIF('Hypotheses expl'!R70,'Compte résultat prévi'!$E$5,'Hypotheses expl'!S70)+SUMIF('Hypotheses expl'!T70,'Compte résultat prévi'!$E$5,'Hypotheses expl'!U70)+SUMIF('Hypotheses expl'!V70,'Compte résultat prévi'!$E$5,'Hypotheses expl'!W70)+SUMIF('Hypotheses expl'!X70,'Compte résultat prévi'!$E$5,'Hypotheses expl'!Y70)+SUMIF('Hypotheses expl'!Z70,'Compte résultat prévi'!$E$5,'Hypotheses expl'!AA70)+SUMIF('Hypotheses expl'!AB70,'Compte résultat prévi'!$E$5,'Hypotheses expl'!AC70)</f>
        <v>807980.04987531179</v>
      </c>
      <c r="F19" s="201">
        <f>+SUMIF('Hypotheses expl'!R70,'Compte résultat prévi'!$F$5,'Hypotheses expl'!S70)+SUMIF('Hypotheses expl'!T70,'Compte résultat prévi'!$F$5,'Hypotheses expl'!U70)+SUMIF('Hypotheses expl'!V70,'Compte résultat prévi'!$F$5,'Hypotheses expl'!W70)+SUMIF('Hypotheses expl'!X70,'Compte résultat prévi'!$F$5,'Hypotheses expl'!Y70)+SUMIF('Hypotheses expl'!Z70,'Compte résultat prévi'!$F$5,'Hypotheses expl'!AA70)+SUMIF('Hypotheses expl'!AB70,'Compte résultat prévi'!$F$5,'Hypotheses expl'!AC70)</f>
        <v>302992.51870324189</v>
      </c>
      <c r="G19" s="201">
        <f>+SUMIF('Hypotheses expl'!R70,'Compte résultat prévi'!$G$5,'Hypotheses expl'!S70)+SUMIF('Hypotheses expl'!T70,'Compte résultat prévi'!$G$5,'Hypotheses expl'!U70)+SUMIF('Hypotheses expl'!V70,'Compte résultat prévi'!$G$5,'Hypotheses expl'!W70)+SUMIF('Hypotheses expl'!X70,'Compte résultat prévi'!$G$5,'Hypotheses expl'!Y70)+SUMIF('Hypotheses expl'!Z70,'Compte résultat prévi'!$G$5,'Hypotheses expl'!AA70)+SUMIF('Hypotheses expl'!AB70,'Compte résultat prévi'!$G$5,'Hypotheses expl'!AC70)</f>
        <v>0</v>
      </c>
      <c r="H19" s="202">
        <f>+SUMIF('Hypotheses expl'!R70,'Compte résultat prévi'!$H$5,'Hypotheses expl'!S70)+SUMIF('Hypotheses expl'!T70,'Compte résultat prévi'!$H$5,'Hypotheses expl'!U70)+SUMIF('Hypotheses expl'!V70,'Compte résultat prévi'!$H$5,'Hypotheses expl'!W70)+SUMIF('Hypotheses expl'!X70,'Compte résultat prévi'!$H$5,'Hypotheses expl'!Y70)+SUMIF('Hypotheses expl'!Z70,'Compte résultat prévi'!$H$5,'Hypotheses expl'!AA70)+SUMIF('Hypotheses expl'!AB70,'Compte résultat prévi'!$H$5,'Hypotheses expl'!AC70)</f>
        <v>0</v>
      </c>
      <c r="I19" s="200">
        <f>'Hypotheses expl (3,)'!B70</f>
        <v>1620000</v>
      </c>
      <c r="J19" s="201">
        <f>+SUMIF('Hypotheses expl (3,)'!R70,'Compte résultat prévi'!$J$5,'Hypotheses expl (3,)'!S70)+SUMIF('Hypotheses expl (3,)'!T70,'Compte résultat prévi'!$J$5,'Hypotheses expl (3,)'!U70)+SUMIF('Hypotheses expl (3,)'!V70,'Compte résultat prévi'!$J$5,'Hypotheses expl (3,)'!W70)+SUMIF('Hypotheses expl (3,)'!X70,'Compte résultat prévi'!$J$5,'Hypotheses expl (3,)'!Y70)+SUMIF('Hypotheses expl (3,)'!Z70,'Compte résultat prévi'!$J$5,'Hypotheses expl (3,)'!AA70)+SUMIF('Hypotheses expl (3,)'!AB70,'Compte résultat prévi'!$J$5,'Hypotheses expl (3,)'!AC70)</f>
        <v>509027.43142144644</v>
      </c>
      <c r="K19" s="201">
        <f>+SUMIF('Hypotheses expl (3,)'!R70,'Compte résultat prévi'!$K$5,'Hypotheses expl (3,)'!S70)+SUMIF('Hypotheses expl (3,)'!T70,'Compte résultat prévi'!$K$5,'Hypotheses expl (3,)'!U70)+SUMIF('Hypotheses expl (3,)'!V70,'Compte résultat prévi'!$K$5,'Hypotheses expl (3,)'!W70)+SUMIF('Hypotheses expl (3,)'!X70,'Compte résultat prévi'!$K$5,'Hypotheses expl (3,)'!Y70)+SUMIF('Hypotheses expl (3,)'!Z70,'Compte résultat prévi'!$K$5,'Hypotheses expl (3,)'!AA70)+SUMIF('Hypotheses expl (3,)'!AB70,'Compte résultat prévi'!$K$5,'Hypotheses expl (3,)'!AC70)</f>
        <v>807980.04987531179</v>
      </c>
      <c r="L19" s="201">
        <f>+SUMIF('Hypotheses expl (3,)'!R70,'Compte résultat prévi'!$L$5,'Hypotheses expl (3,)'!S70)+SUMIF('Hypotheses expl (3,)'!T70,'Compte résultat prévi'!$L$5,'Hypotheses expl (3,)'!U70)+SUMIF('Hypotheses expl (3,)'!V70,'Compte résultat prévi'!$L$5,'Hypotheses expl (3,)'!W70)+SUMIF('Hypotheses expl (3,)'!X70,'Compte résultat prévi'!$L$5,'Hypotheses expl (3,)'!Y70)+SUMIF('Hypotheses expl (3,)'!Z70,'Compte résultat prévi'!$L$5,'Hypotheses expl (3,)'!AA70)+SUMIF('Hypotheses expl (3,)'!AB70,'Compte résultat prévi'!$L$5,'Hypotheses expl (3,)'!AC70)</f>
        <v>302992.51870324189</v>
      </c>
      <c r="M19" s="201">
        <f>+SUMIF('Hypotheses expl (3,)'!R70,'Compte résultat prévi'!$M$5,'Hypotheses expl (3,)'!S70)+SUMIF('Hypotheses expl (3,)'!T70,'Compte résultat prévi'!$M$5,'Hypotheses expl (3,)'!U70)+SUMIF('Hypotheses expl (3,)'!V70,'Compte résultat prévi'!$M$5,'Hypotheses expl (3,)'!W70)+SUMIF('Hypotheses expl (3,)'!X70,'Compte résultat prévi'!$M$5,'Hypotheses expl (3,)'!Y70)+SUMIF('Hypotheses expl (3,)'!Z70,'Compte résultat prévi'!$M$5,'Hypotheses expl (3,)'!AA70)+SUMIF('Hypotheses expl (3,)'!AB70,'Compte résultat prévi'!$M$5,'Hypotheses expl (3,)'!AC70)</f>
        <v>0</v>
      </c>
      <c r="N19" s="202">
        <f>+SUMIF('Hypotheses expl (3,)'!R70,'Compte résultat prévi'!$N$5,'Hypotheses expl (3,)'!S70)+SUMIF('Hypotheses expl (3,)'!T70,'Compte résultat prévi'!$N$5,'Hypotheses expl (3,)'!U70)+SUMIF('Hypotheses expl (3,)'!V70,'Compte résultat prévi'!$N$5,'Hypotheses expl (3,)'!W70)+SUMIF('Hypotheses expl (3,)'!X70,'Compte résultat prévi'!$N$5,'Hypotheses expl (3,)'!Y70)+SUMIF('Hypotheses expl (3,)'!Z70,'Compte résultat prévi'!$N$5,'Hypotheses expl (3,)'!AA70)+SUMIF('Hypotheses expl (3,)'!AB70,'Compte résultat prévi'!$N$5,'Hypotheses expl (3,)'!AC70)</f>
        <v>0</v>
      </c>
      <c r="O19" s="200">
        <f>'Hypotheses expl (2)'!B70</f>
        <v>1620000</v>
      </c>
      <c r="P19" s="201">
        <f>+SUMIF('Hypotheses expl (2)'!R70,'Compte résultat prévi'!$P$5,'Hypotheses expl (2)'!S70)+SUMIF('Hypotheses expl (2)'!T70,'Compte résultat prévi'!$P$5,'Hypotheses expl (2)'!U70)+SUMIF('Hypotheses expl (2)'!V70,'Compte résultat prévi'!$P$5,'Hypotheses expl (2)'!W70)+SUMIF('Hypotheses expl (2)'!X70,'Compte résultat prévi'!$P$5,'Hypotheses expl (2)'!Y70)+SUMIF('Hypotheses expl (2)'!Z70,'Compte résultat prévi'!$P$5,'Hypotheses expl (2)'!AA70)+SUMIF('Hypotheses expl (2)'!AB70,'Compte résultat prévi'!$P$5,'Hypotheses expl (2)'!AC70)</f>
        <v>509027.43142144644</v>
      </c>
      <c r="Q19" s="201">
        <f>+SUMIF('Hypotheses expl (2)'!R70,'Compte résultat prévi'!$Q$5,'Hypotheses expl (2)'!S70)+SUMIF('Hypotheses expl (2)'!T70,'Compte résultat prévi'!$Q$5,'Hypotheses expl (2)'!U70)+SUMIF('Hypotheses expl (2)'!V70,'Compte résultat prévi'!$Q$5,'Hypotheses expl (2)'!W70)+SUMIF('Hypotheses expl (2)'!X70,'Compte résultat prévi'!$Q$5,'Hypotheses expl (2)'!Y70)+SUMIF('Hypotheses expl (2)'!Z70,'Compte résultat prévi'!$Q$5,'Hypotheses expl (2)'!AA70)+SUMIF('Hypotheses expl (2)'!AB70,'Compte résultat prévi'!$Q$5,'Hypotheses expl (2)'!AC70)</f>
        <v>807980.04987531179</v>
      </c>
      <c r="R19" s="201">
        <f>+SUMIF('Hypotheses expl (2)'!R70,'Compte résultat prévi'!$R$5,'Hypotheses expl (2)'!S70)+SUMIF('Hypotheses expl (2)'!T70,'Compte résultat prévi'!$R$5,'Hypotheses expl (2)'!U70)+SUMIF('Hypotheses expl (2)'!V70,'Compte résultat prévi'!$R$5,'Hypotheses expl (2)'!W70)+SUMIF('Hypotheses expl (2)'!X70,'Compte résultat prévi'!$R$5,'Hypotheses expl (2)'!Y70)+SUMIF('Hypotheses expl (2)'!Z70,'Compte résultat prévi'!$R$5,'Hypotheses expl (2)'!AA70)+SUMIF('Hypotheses expl (2)'!AB70,'Compte résultat prévi'!$R$5,'Hypotheses expl (2)'!AC70)</f>
        <v>302992.51870324189</v>
      </c>
      <c r="S19" s="201">
        <f>+SUMIF('Hypotheses expl (2)'!R70,'Compte résultat prévi'!$S$5,'Hypotheses expl (2)'!S70)+SUMIF('Hypotheses expl (2)'!T70,'Compte résultat prévi'!$S$5,'Hypotheses expl (2)'!U70)+SUMIF('Hypotheses expl (2)'!V70,'Compte résultat prévi'!$S$5,'Hypotheses expl (2)'!W70)+SUMIF('Hypotheses expl (2)'!X70,'Compte résultat prévi'!$S$5,'Hypotheses expl (2)'!Y70)+SUMIF('Hypotheses expl (2)'!Z70,'Compte résultat prévi'!$S$5,'Hypotheses expl (2)'!AA70)+SUMIF('Hypotheses expl (2)'!AB70,'Compte résultat prévi'!$S$5,'Hypotheses expl (2)'!AC70)</f>
        <v>0</v>
      </c>
      <c r="T19" s="202">
        <f>+SUMIF('Hypotheses expl (2)'!R70,'Compte résultat prévi'!$T$5,'Hypotheses expl (2)'!S70)+SUMIF('Hypotheses expl (2)'!T70,'Compte résultat prévi'!$T$5,'Hypotheses expl (2)'!U70)+SUMIF('Hypotheses expl (2)'!V70,'Compte résultat prévi'!$T$5,'Hypotheses expl (2)'!W70)+SUMIF('Hypotheses expl (2)'!X70,'Compte résultat prévi'!$T$5,'Hypotheses expl (2)'!Y70)+SUMIF('Hypotheses expl (2)'!Z70,'Compte résultat prévi'!$T$5,'Hypotheses expl (2)'!AA70)+SUMIF('Hypotheses expl (2)'!AB70,'Compte résultat prévi'!$T$5,'Hypotheses expl (2)'!AC70)</f>
        <v>0</v>
      </c>
      <c r="U19" s="203"/>
      <c r="V19" s="204"/>
    </row>
    <row r="20" outlineLevel="1">
      <c r="A20" s="198" t="str">
        <f>'Hypotheses expl'!A71</f>
        <v>Département</v>
      </c>
      <c r="B20" s="199"/>
      <c r="C20" s="200">
        <f>'Hypotheses expl'!B71</f>
        <v>9200</v>
      </c>
      <c r="D20" s="201">
        <f>+SUMIF('Hypotheses expl'!R71,'Compte résultat prévi'!$D$5,'Hypotheses expl'!S71)+SUMIF('Hypotheses expl'!T71,'Compte résultat prévi'!$D$5,'Hypotheses expl'!U71)+SUMIF('Hypotheses expl'!V71,'Compte résultat prévi'!$D$5,'Hypotheses expl'!W71)+SUMIF('Hypotheses expl'!X71,'Compte résultat prévi'!$D$5,'Hypotheses expl'!Y71)+SUMIF('Hypotheses expl'!Z71,'Compte résultat prévi'!$D$5,'Hypotheses expl'!AA71)+SUMIF('Hypotheses expl'!AB71,'Compte résultat prévi'!$D$5,'Hypotheses expl'!AC71)</f>
        <v>2300</v>
      </c>
      <c r="E20" s="201">
        <f>+SUMIF('Hypotheses expl'!R71,'Compte résultat prévi'!$E$5,'Hypotheses expl'!S71)+SUMIF('Hypotheses expl'!T71,'Compte résultat prévi'!$E$5,'Hypotheses expl'!U71)+SUMIF('Hypotheses expl'!V71,'Compte résultat prévi'!$E$5,'Hypotheses expl'!W71)+SUMIF('Hypotheses expl'!X71,'Compte résultat prévi'!$E$5,'Hypotheses expl'!Y71)+SUMIF('Hypotheses expl'!Z71,'Compte résultat prévi'!$E$5,'Hypotheses expl'!AA71)+SUMIF('Hypotheses expl'!AB71,'Compte résultat prévi'!$E$5,'Hypotheses expl'!AC71)</f>
        <v>2300</v>
      </c>
      <c r="F20" s="201">
        <f>+SUMIF('Hypotheses expl'!R71,'Compte résultat prévi'!$F$5,'Hypotheses expl'!S71)+SUMIF('Hypotheses expl'!T71,'Compte résultat prévi'!$F$5,'Hypotheses expl'!U71)+SUMIF('Hypotheses expl'!V71,'Compte résultat prévi'!$F$5,'Hypotheses expl'!W71)+SUMIF('Hypotheses expl'!X71,'Compte résultat prévi'!$F$5,'Hypotheses expl'!Y71)+SUMIF('Hypotheses expl'!Z71,'Compte résultat prévi'!$F$5,'Hypotheses expl'!AA71)+SUMIF('Hypotheses expl'!AB71,'Compte résultat prévi'!$F$5,'Hypotheses expl'!AC71)</f>
        <v>2300</v>
      </c>
      <c r="G20" s="201">
        <f>+SUMIF('Hypotheses expl'!R71,'Compte résultat prévi'!$G$5,'Hypotheses expl'!S71)+SUMIF('Hypotheses expl'!T71,'Compte résultat prévi'!$G$5,'Hypotheses expl'!U71)+SUMIF('Hypotheses expl'!V71,'Compte résultat prévi'!$G$5,'Hypotheses expl'!W71)+SUMIF('Hypotheses expl'!X71,'Compte résultat prévi'!$G$5,'Hypotheses expl'!Y71)+SUMIF('Hypotheses expl'!Z71,'Compte résultat prévi'!$G$5,'Hypotheses expl'!AA71)+SUMIF('Hypotheses expl'!AB71,'Compte résultat prévi'!$G$5,'Hypotheses expl'!AC71)</f>
        <v>2300</v>
      </c>
      <c r="H20" s="202">
        <f>+SUMIF('Hypotheses expl'!R71,'Compte résultat prévi'!$H$5,'Hypotheses expl'!S71)+SUMIF('Hypotheses expl'!T71,'Compte résultat prévi'!$H$5,'Hypotheses expl'!U71)+SUMIF('Hypotheses expl'!V71,'Compte résultat prévi'!$H$5,'Hypotheses expl'!W71)+SUMIF('Hypotheses expl'!X71,'Compte résultat prévi'!$H$5,'Hypotheses expl'!Y71)+SUMIF('Hypotheses expl'!Z71,'Compte résultat prévi'!$H$5,'Hypotheses expl'!AA71)+SUMIF('Hypotheses expl'!AB71,'Compte résultat prévi'!$H$5,'Hypotheses expl'!AC71)</f>
        <v>0</v>
      </c>
      <c r="I20" s="200">
        <f>'Hypotheses expl (3,)'!B71</f>
        <v>9200</v>
      </c>
      <c r="J20" s="201">
        <f>+SUMIF('Hypotheses expl (3,)'!R71,'Compte résultat prévi'!$J$5,'Hypotheses expl (3,)'!S71)+SUMIF('Hypotheses expl (3,)'!T71,'Compte résultat prévi'!$J$5,'Hypotheses expl (3,)'!U71)+SUMIF('Hypotheses expl (3,)'!V71,'Compte résultat prévi'!$J$5,'Hypotheses expl (3,)'!W71)+SUMIF('Hypotheses expl (3,)'!X71,'Compte résultat prévi'!$J$5,'Hypotheses expl (3,)'!Y71)+SUMIF('Hypotheses expl (3,)'!Z71,'Compte résultat prévi'!$J$5,'Hypotheses expl (3,)'!AA71)+SUMIF('Hypotheses expl (3,)'!AB71,'Compte résultat prévi'!$J$5,'Hypotheses expl (3,)'!AC71)</f>
        <v>2300</v>
      </c>
      <c r="K20" s="201">
        <f>+SUMIF('Hypotheses expl (3,)'!R71,'Compte résultat prévi'!$K$5,'Hypotheses expl (3,)'!S71)+SUMIF('Hypotheses expl (3,)'!T71,'Compte résultat prévi'!$K$5,'Hypotheses expl (3,)'!U71)+SUMIF('Hypotheses expl (3,)'!V71,'Compte résultat prévi'!$K$5,'Hypotheses expl (3,)'!W71)+SUMIF('Hypotheses expl (3,)'!X71,'Compte résultat prévi'!$K$5,'Hypotheses expl (3,)'!Y71)+SUMIF('Hypotheses expl (3,)'!Z71,'Compte résultat prévi'!$K$5,'Hypotheses expl (3,)'!AA71)+SUMIF('Hypotheses expl (3,)'!AB71,'Compte résultat prévi'!$K$5,'Hypotheses expl (3,)'!AC71)</f>
        <v>2300</v>
      </c>
      <c r="L20" s="201">
        <f>+SUMIF('Hypotheses expl (3,)'!R71,'Compte résultat prévi'!$L$5,'Hypotheses expl (3,)'!S71)+SUMIF('Hypotheses expl (3,)'!T71,'Compte résultat prévi'!$L$5,'Hypotheses expl (3,)'!U71)+SUMIF('Hypotheses expl (3,)'!V71,'Compte résultat prévi'!$L$5,'Hypotheses expl (3,)'!W71)+SUMIF('Hypotheses expl (3,)'!X71,'Compte résultat prévi'!$L$5,'Hypotheses expl (3,)'!Y71)+SUMIF('Hypotheses expl (3,)'!Z71,'Compte résultat prévi'!$L$5,'Hypotheses expl (3,)'!AA71)+SUMIF('Hypotheses expl (3,)'!AB71,'Compte résultat prévi'!$L$5,'Hypotheses expl (3,)'!AC71)</f>
        <v>2300</v>
      </c>
      <c r="M20" s="201">
        <f>+SUMIF('Hypotheses expl (3,)'!R71,'Compte résultat prévi'!$M$5,'Hypotheses expl (3,)'!S71)+SUMIF('Hypotheses expl (3,)'!T71,'Compte résultat prévi'!$M$5,'Hypotheses expl (3,)'!U71)+SUMIF('Hypotheses expl (3,)'!V71,'Compte résultat prévi'!$M$5,'Hypotheses expl (3,)'!W71)+SUMIF('Hypotheses expl (3,)'!X71,'Compte résultat prévi'!$M$5,'Hypotheses expl (3,)'!Y71)+SUMIF('Hypotheses expl (3,)'!Z71,'Compte résultat prévi'!$M$5,'Hypotheses expl (3,)'!AA71)+SUMIF('Hypotheses expl (3,)'!AB71,'Compte résultat prévi'!$M$5,'Hypotheses expl (3,)'!AC71)</f>
        <v>2300</v>
      </c>
      <c r="N20" s="202">
        <f>+SUMIF('Hypotheses expl (3,)'!R71,'Compte résultat prévi'!$N$5,'Hypotheses expl (3,)'!S71)+SUMIF('Hypotheses expl (3,)'!T71,'Compte résultat prévi'!$N$5,'Hypotheses expl (3,)'!U71)+SUMIF('Hypotheses expl (3,)'!V71,'Compte résultat prévi'!$N$5,'Hypotheses expl (3,)'!W71)+SUMIF('Hypotheses expl (3,)'!X71,'Compte résultat prévi'!$N$5,'Hypotheses expl (3,)'!Y71)+SUMIF('Hypotheses expl (3,)'!Z71,'Compte résultat prévi'!$N$5,'Hypotheses expl (3,)'!AA71)+SUMIF('Hypotheses expl (3,)'!AB71,'Compte résultat prévi'!$N$5,'Hypotheses expl (3,)'!AC71)</f>
        <v>0</v>
      </c>
      <c r="O20" s="200">
        <f>'Hypotheses expl (2)'!B71</f>
        <v>0</v>
      </c>
      <c r="P20" s="201">
        <f>+SUMIF('Hypotheses expl (2)'!R71,'Compte résultat prévi'!$P$5,'Hypotheses expl (2)'!S71)+SUMIF('Hypotheses expl (2)'!T71,'Compte résultat prévi'!$P$5,'Hypotheses expl (2)'!U71)+SUMIF('Hypotheses expl (2)'!V71,'Compte résultat prévi'!$P$5,'Hypotheses expl (2)'!W71)+SUMIF('Hypotheses expl (2)'!X71,'Compte résultat prévi'!$P$5,'Hypotheses expl (2)'!Y71)+SUMIF('Hypotheses expl (2)'!Z71,'Compte résultat prévi'!$P$5,'Hypotheses expl (2)'!AA71)+SUMIF('Hypotheses expl (2)'!AB71,'Compte résultat prévi'!$P$5,'Hypotheses expl (2)'!AC71)</f>
        <v>0</v>
      </c>
      <c r="Q20" s="201">
        <f>+SUMIF('Hypotheses expl (2)'!R71,'Compte résultat prévi'!$Q$5,'Hypotheses expl (2)'!S71)+SUMIF('Hypotheses expl (2)'!T71,'Compte résultat prévi'!$Q$5,'Hypotheses expl (2)'!U71)+SUMIF('Hypotheses expl (2)'!V71,'Compte résultat prévi'!$Q$5,'Hypotheses expl (2)'!W71)+SUMIF('Hypotheses expl (2)'!X71,'Compte résultat prévi'!$Q$5,'Hypotheses expl (2)'!Y71)+SUMIF('Hypotheses expl (2)'!Z71,'Compte résultat prévi'!$Q$5,'Hypotheses expl (2)'!AA71)+SUMIF('Hypotheses expl (2)'!AB71,'Compte résultat prévi'!$Q$5,'Hypotheses expl (2)'!AC71)</f>
        <v>0</v>
      </c>
      <c r="R20" s="201">
        <f>+SUMIF('Hypotheses expl (2)'!R71,'Compte résultat prévi'!$R$5,'Hypotheses expl (2)'!S71)+SUMIF('Hypotheses expl (2)'!T71,'Compte résultat prévi'!$R$5,'Hypotheses expl (2)'!U71)+SUMIF('Hypotheses expl (2)'!V71,'Compte résultat prévi'!$R$5,'Hypotheses expl (2)'!W71)+SUMIF('Hypotheses expl (2)'!X71,'Compte résultat prévi'!$R$5,'Hypotheses expl (2)'!Y71)+SUMIF('Hypotheses expl (2)'!Z71,'Compte résultat prévi'!$R$5,'Hypotheses expl (2)'!AA71)+SUMIF('Hypotheses expl (2)'!AB71,'Compte résultat prévi'!$R$5,'Hypotheses expl (2)'!AC71)</f>
        <v>0</v>
      </c>
      <c r="S20" s="201">
        <f>+SUMIF('Hypotheses expl (2)'!R71,'Compte résultat prévi'!$S$5,'Hypotheses expl (2)'!S71)+SUMIF('Hypotheses expl (2)'!T71,'Compte résultat prévi'!$S$5,'Hypotheses expl (2)'!U71)+SUMIF('Hypotheses expl (2)'!V71,'Compte résultat prévi'!$S$5,'Hypotheses expl (2)'!W71)+SUMIF('Hypotheses expl (2)'!X71,'Compte résultat prévi'!$S$5,'Hypotheses expl (2)'!Y71)+SUMIF('Hypotheses expl (2)'!Z71,'Compte résultat prévi'!$S$5,'Hypotheses expl (2)'!AA71)+SUMIF('Hypotheses expl (2)'!AB71,'Compte résultat prévi'!$S$5,'Hypotheses expl (2)'!AC71)</f>
        <v>0</v>
      </c>
      <c r="T20" s="202">
        <f>+SUMIF('Hypotheses expl (2)'!R71,'Compte résultat prévi'!$T$5,'Hypotheses expl (2)'!S71)+SUMIF('Hypotheses expl (2)'!T71,'Compte résultat prévi'!$T$5,'Hypotheses expl (2)'!U71)+SUMIF('Hypotheses expl (2)'!V71,'Compte résultat prévi'!$T$5,'Hypotheses expl (2)'!W71)+SUMIF('Hypotheses expl (2)'!X71,'Compte résultat prévi'!$T$5,'Hypotheses expl (2)'!Y71)+SUMIF('Hypotheses expl (2)'!Z71,'Compte résultat prévi'!$T$5,'Hypotheses expl (2)'!AA71)+SUMIF('Hypotheses expl (2)'!AB71,'Compte résultat prévi'!$T$5,'Hypotheses expl (2)'!AC71)</f>
        <v>0</v>
      </c>
      <c r="U20" s="203"/>
      <c r="V20" s="204"/>
    </row>
    <row r="21" outlineLevel="1">
      <c r="A21" s="198" t="str">
        <f>'Hypotheses expl'!A72</f>
        <v>Communes</v>
      </c>
      <c r="B21" s="199"/>
      <c r="C21" s="200">
        <f>'Hypotheses expl'!B72</f>
        <v>10000</v>
      </c>
      <c r="D21" s="201">
        <f>+SUMIF('Hypotheses expl'!R72,'Compte résultat prévi'!$D$5,'Hypotheses expl'!S72)+SUMIF('Hypotheses expl'!T72,'Compte résultat prévi'!$D$5,'Hypotheses expl'!U72)+SUMIF('Hypotheses expl'!V72,'Compte résultat prévi'!$D$5,'Hypotheses expl'!W72)+SUMIF('Hypotheses expl'!X72,'Compte résultat prévi'!$D$5,'Hypotheses expl'!Y72)+SUMIF('Hypotheses expl'!Z72,'Compte résultat prévi'!$D$5,'Hypotheses expl'!AA72)+SUMIF('Hypotheses expl'!AB72,'Compte résultat prévi'!$D$5,'Hypotheses expl'!AC72)</f>
        <v>0</v>
      </c>
      <c r="E21" s="201">
        <f>+SUMIF('Hypotheses expl'!R72,'Compte résultat prévi'!$E$5,'Hypotheses expl'!S72)+SUMIF('Hypotheses expl'!T72,'Compte résultat prévi'!$E$5,'Hypotheses expl'!U72)+SUMIF('Hypotheses expl'!V72,'Compte résultat prévi'!$E$5,'Hypotheses expl'!W72)+SUMIF('Hypotheses expl'!X72,'Compte résultat prévi'!$E$5,'Hypotheses expl'!Y72)+SUMIF('Hypotheses expl'!Z72,'Compte résultat prévi'!$E$5,'Hypotheses expl'!AA72)+SUMIF('Hypotheses expl'!AB72,'Compte résultat prévi'!$E$5,'Hypotheses expl'!AC72)</f>
        <v>0</v>
      </c>
      <c r="F21" s="201">
        <f>+SUMIF('Hypotheses expl'!R72,'Compte résultat prévi'!$F$5,'Hypotheses expl'!S72)+SUMIF('Hypotheses expl'!T72,'Compte résultat prévi'!$F$5,'Hypotheses expl'!U72)+SUMIF('Hypotheses expl'!V72,'Compte résultat prévi'!$F$5,'Hypotheses expl'!W72)+SUMIF('Hypotheses expl'!X72,'Compte résultat prévi'!$F$5,'Hypotheses expl'!Y72)+SUMIF('Hypotheses expl'!Z72,'Compte résultat prévi'!$F$5,'Hypotheses expl'!AA72)+SUMIF('Hypotheses expl'!AB72,'Compte résultat prévi'!$F$5,'Hypotheses expl'!AC72)</f>
        <v>10000</v>
      </c>
      <c r="G21" s="201">
        <f>+SUMIF('Hypotheses expl'!R72,'Compte résultat prévi'!$G$5,'Hypotheses expl'!S72)+SUMIF('Hypotheses expl'!T72,'Compte résultat prévi'!$G$5,'Hypotheses expl'!U72)+SUMIF('Hypotheses expl'!V72,'Compte résultat prévi'!$G$5,'Hypotheses expl'!W72)+SUMIF('Hypotheses expl'!X72,'Compte résultat prévi'!$G$5,'Hypotheses expl'!Y72)+SUMIF('Hypotheses expl'!Z72,'Compte résultat prévi'!$G$5,'Hypotheses expl'!AA72)+SUMIF('Hypotheses expl'!AB72,'Compte résultat prévi'!$G$5,'Hypotheses expl'!AC72)</f>
        <v>0</v>
      </c>
      <c r="H21" s="202">
        <f>+SUMIF('Hypotheses expl'!R72,'Compte résultat prévi'!$H$5,'Hypotheses expl'!S72)+SUMIF('Hypotheses expl'!T72,'Compte résultat prévi'!$H$5,'Hypotheses expl'!U72)+SUMIF('Hypotheses expl'!V72,'Compte résultat prévi'!$H$5,'Hypotheses expl'!W72)+SUMIF('Hypotheses expl'!X72,'Compte résultat prévi'!$H$5,'Hypotheses expl'!Y72)+SUMIF('Hypotheses expl'!Z72,'Compte résultat prévi'!$H$5,'Hypotheses expl'!AA72)+SUMIF('Hypotheses expl'!AB72,'Compte résultat prévi'!$H$5,'Hypotheses expl'!AC72)</f>
        <v>0</v>
      </c>
      <c r="I21" s="200">
        <f>'Hypotheses expl (3,)'!B72</f>
        <v>10000</v>
      </c>
      <c r="J21" s="201">
        <f>+SUMIF('Hypotheses expl (3,)'!R72,'Compte résultat prévi'!$J$5,'Hypotheses expl (3,)'!S72)+SUMIF('Hypotheses expl (3,)'!T72,'Compte résultat prévi'!$J$5,'Hypotheses expl (3,)'!U72)+SUMIF('Hypotheses expl (3,)'!V72,'Compte résultat prévi'!$J$5,'Hypotheses expl (3,)'!W72)+SUMIF('Hypotheses expl (3,)'!X72,'Compte résultat prévi'!$J$5,'Hypotheses expl (3,)'!Y72)+SUMIF('Hypotheses expl (3,)'!Z72,'Compte résultat prévi'!$J$5,'Hypotheses expl (3,)'!AA72)+SUMIF('Hypotheses expl (3,)'!AB72,'Compte résultat prévi'!$J$5,'Hypotheses expl (3,)'!AC72)</f>
        <v>0</v>
      </c>
      <c r="K21" s="201">
        <f>+SUMIF('Hypotheses expl (3,)'!R72,'Compte résultat prévi'!$K$5,'Hypotheses expl (3,)'!S72)+SUMIF('Hypotheses expl (3,)'!T72,'Compte résultat prévi'!$K$5,'Hypotheses expl (3,)'!U72)+SUMIF('Hypotheses expl (3,)'!V72,'Compte résultat prévi'!$K$5,'Hypotheses expl (3,)'!W72)+SUMIF('Hypotheses expl (3,)'!X72,'Compte résultat prévi'!$K$5,'Hypotheses expl (3,)'!Y72)+SUMIF('Hypotheses expl (3,)'!Z72,'Compte résultat prévi'!$K$5,'Hypotheses expl (3,)'!AA72)+SUMIF('Hypotheses expl (3,)'!AB72,'Compte résultat prévi'!$K$5,'Hypotheses expl (3,)'!AC72)</f>
        <v>0</v>
      </c>
      <c r="L21" s="201">
        <f>+SUMIF('Hypotheses expl (3,)'!R72,'Compte résultat prévi'!$L$5,'Hypotheses expl (3,)'!S72)+SUMIF('Hypotheses expl (3,)'!T72,'Compte résultat prévi'!$L$5,'Hypotheses expl (3,)'!U72)+SUMIF('Hypotheses expl (3,)'!V72,'Compte résultat prévi'!$L$5,'Hypotheses expl (3,)'!W72)+SUMIF('Hypotheses expl (3,)'!X72,'Compte résultat prévi'!$L$5,'Hypotheses expl (3,)'!Y72)+SUMIF('Hypotheses expl (3,)'!Z72,'Compte résultat prévi'!$L$5,'Hypotheses expl (3,)'!AA72)+SUMIF('Hypotheses expl (3,)'!AB72,'Compte résultat prévi'!$L$5,'Hypotheses expl (3,)'!AC72)</f>
        <v>10000</v>
      </c>
      <c r="M21" s="201">
        <f>+SUMIF('Hypotheses expl (3,)'!R72,'Compte résultat prévi'!$M$5,'Hypotheses expl (3,)'!S72)+SUMIF('Hypotheses expl (3,)'!T72,'Compte résultat prévi'!$M$5,'Hypotheses expl (3,)'!U72)+SUMIF('Hypotheses expl (3,)'!V72,'Compte résultat prévi'!$M$5,'Hypotheses expl (3,)'!W72)+SUMIF('Hypotheses expl (3,)'!X72,'Compte résultat prévi'!$M$5,'Hypotheses expl (3,)'!Y72)+SUMIF('Hypotheses expl (3,)'!Z72,'Compte résultat prévi'!$M$5,'Hypotheses expl (3,)'!AA72)+SUMIF('Hypotheses expl (3,)'!AB72,'Compte résultat prévi'!$M$5,'Hypotheses expl (3,)'!AC72)</f>
        <v>0</v>
      </c>
      <c r="N21" s="202">
        <f>+SUMIF('Hypotheses expl (3,)'!R72,'Compte résultat prévi'!$N$5,'Hypotheses expl (3,)'!S72)+SUMIF('Hypotheses expl (3,)'!T72,'Compte résultat prévi'!$N$5,'Hypotheses expl (3,)'!U72)+SUMIF('Hypotheses expl (3,)'!V72,'Compte résultat prévi'!$N$5,'Hypotheses expl (3,)'!W72)+SUMIF('Hypotheses expl (3,)'!X72,'Compte résultat prévi'!$N$5,'Hypotheses expl (3,)'!Y72)+SUMIF('Hypotheses expl (3,)'!Z72,'Compte résultat prévi'!$N$5,'Hypotheses expl (3,)'!AA72)+SUMIF('Hypotheses expl (3,)'!AB72,'Compte résultat prévi'!$N$5,'Hypotheses expl (3,)'!AC72)</f>
        <v>0</v>
      </c>
      <c r="O21" s="200">
        <f>'Hypotheses expl (2)'!B72</f>
        <v>30000</v>
      </c>
      <c r="P21" s="201">
        <f>+SUMIF('Hypotheses expl (2)'!R72,'Compte résultat prévi'!$P$5,'Hypotheses expl (2)'!S72)+SUMIF('Hypotheses expl (2)'!T72,'Compte résultat prévi'!$P$5,'Hypotheses expl (2)'!U72)+SUMIF('Hypotheses expl (2)'!V72,'Compte résultat prévi'!$P$5,'Hypotheses expl (2)'!W72)+SUMIF('Hypotheses expl (2)'!X72,'Compte résultat prévi'!$P$5,'Hypotheses expl (2)'!Y72)+SUMIF('Hypotheses expl (2)'!Z72,'Compte résultat prévi'!$P$5,'Hypotheses expl (2)'!AA72)+SUMIF('Hypotheses expl (2)'!AB72,'Compte résultat prévi'!$P$5,'Hypotheses expl (2)'!AC72)</f>
        <v>0</v>
      </c>
      <c r="Q21" s="201">
        <f>+SUMIF('Hypotheses expl (2)'!R72,'Compte résultat prévi'!$Q$5,'Hypotheses expl (2)'!S72)+SUMIF('Hypotheses expl (2)'!T72,'Compte résultat prévi'!$Q$5,'Hypotheses expl (2)'!U72)+SUMIF('Hypotheses expl (2)'!V72,'Compte résultat prévi'!$Q$5,'Hypotheses expl (2)'!W72)+SUMIF('Hypotheses expl (2)'!X72,'Compte résultat prévi'!$Q$5,'Hypotheses expl (2)'!Y72)+SUMIF('Hypotheses expl (2)'!Z72,'Compte résultat prévi'!$Q$5,'Hypotheses expl (2)'!AA72)+SUMIF('Hypotheses expl (2)'!AB72,'Compte résultat prévi'!$Q$5,'Hypotheses expl (2)'!AC72)</f>
        <v>0</v>
      </c>
      <c r="R21" s="201">
        <f>+SUMIF('Hypotheses expl (2)'!R72,'Compte résultat prévi'!$R$5,'Hypotheses expl (2)'!S72)+SUMIF('Hypotheses expl (2)'!T72,'Compte résultat prévi'!$R$5,'Hypotheses expl (2)'!U72)+SUMIF('Hypotheses expl (2)'!V72,'Compte résultat prévi'!$R$5,'Hypotheses expl (2)'!W72)+SUMIF('Hypotheses expl (2)'!X72,'Compte résultat prévi'!$R$5,'Hypotheses expl (2)'!Y72)+SUMIF('Hypotheses expl (2)'!Z72,'Compte résultat prévi'!$R$5,'Hypotheses expl (2)'!AA72)+SUMIF('Hypotheses expl (2)'!AB72,'Compte résultat prévi'!$R$5,'Hypotheses expl (2)'!AC72)</f>
        <v>30000</v>
      </c>
      <c r="S21" s="201">
        <f>+SUMIF('Hypotheses expl (2)'!R72,'Compte résultat prévi'!$S$5,'Hypotheses expl (2)'!S72)+SUMIF('Hypotheses expl (2)'!T72,'Compte résultat prévi'!$S$5,'Hypotheses expl (2)'!U72)+SUMIF('Hypotheses expl (2)'!V72,'Compte résultat prévi'!$S$5,'Hypotheses expl (2)'!W72)+SUMIF('Hypotheses expl (2)'!X72,'Compte résultat prévi'!$S$5,'Hypotheses expl (2)'!Y72)+SUMIF('Hypotheses expl (2)'!Z72,'Compte résultat prévi'!$S$5,'Hypotheses expl (2)'!AA72)+SUMIF('Hypotheses expl (2)'!AB72,'Compte résultat prévi'!$S$5,'Hypotheses expl (2)'!AC72)</f>
        <v>0</v>
      </c>
      <c r="T21" s="202">
        <f>+SUMIF('Hypotheses expl (2)'!R72,'Compte résultat prévi'!$T$5,'Hypotheses expl (2)'!S72)+SUMIF('Hypotheses expl (2)'!T72,'Compte résultat prévi'!$T$5,'Hypotheses expl (2)'!U72)+SUMIF('Hypotheses expl (2)'!V72,'Compte résultat prévi'!$T$5,'Hypotheses expl (2)'!W72)+SUMIF('Hypotheses expl (2)'!X72,'Compte résultat prévi'!$T$5,'Hypotheses expl (2)'!Y72)+SUMIF('Hypotheses expl (2)'!Z72,'Compte résultat prévi'!$T$5,'Hypotheses expl (2)'!AA72)+SUMIF('Hypotheses expl (2)'!AB72,'Compte résultat prévi'!$T$5,'Hypotheses expl (2)'!AC72)</f>
        <v>0</v>
      </c>
      <c r="U21" s="203"/>
      <c r="V21" s="204"/>
    </row>
    <row r="22" outlineLevel="1">
      <c r="A22" s="198" t="str">
        <f>'Hypotheses expl'!A73</f>
        <v xml:space="preserve">Autres financeurs</v>
      </c>
      <c r="B22" s="199"/>
      <c r="C22" s="200">
        <f>'Hypotheses expl'!B73</f>
        <v>5000</v>
      </c>
      <c r="D22" s="201">
        <f>+SUMIF('Hypotheses expl'!R73,'Compte résultat prévi'!$D$5,'Hypotheses expl'!S73)+SUMIF('Hypotheses expl'!T73,'Compte résultat prévi'!$D$5,'Hypotheses expl'!U73)+SUMIF('Hypotheses expl'!V73,'Compte résultat prévi'!$D$5,'Hypotheses expl'!W73)+SUMIF('Hypotheses expl'!X73,'Compte résultat prévi'!$D$5,'Hypotheses expl'!Y73)+SUMIF('Hypotheses expl'!Z73,'Compte résultat prévi'!$D$5,'Hypotheses expl'!AA73)+SUMIF('Hypotheses expl'!AB73,'Compte résultat prévi'!$D$5,'Hypotheses expl'!AC73)</f>
        <v>0</v>
      </c>
      <c r="E22" s="201">
        <f>+SUMIF('Hypotheses expl'!R73,'Compte résultat prévi'!$E$5,'Hypotheses expl'!S73)+SUMIF('Hypotheses expl'!T73,'Compte résultat prévi'!$E$5,'Hypotheses expl'!U73)+SUMIF('Hypotheses expl'!V73,'Compte résultat prévi'!$E$5,'Hypotheses expl'!W73)+SUMIF('Hypotheses expl'!X73,'Compte résultat prévi'!$E$5,'Hypotheses expl'!Y73)+SUMIF('Hypotheses expl'!Z73,'Compte résultat prévi'!$E$5,'Hypotheses expl'!AA73)+SUMIF('Hypotheses expl'!AB73,'Compte résultat prévi'!$E$5,'Hypotheses expl'!AC73)</f>
        <v>0</v>
      </c>
      <c r="F22" s="201">
        <f>+SUMIF('Hypotheses expl'!R73,'Compte résultat prévi'!$F$5,'Hypotheses expl'!S73)+SUMIF('Hypotheses expl'!T73,'Compte résultat prévi'!$F$5,'Hypotheses expl'!U73)+SUMIF('Hypotheses expl'!V73,'Compte résultat prévi'!$F$5,'Hypotheses expl'!W73)+SUMIF('Hypotheses expl'!X73,'Compte résultat prévi'!$F$5,'Hypotheses expl'!Y73)+SUMIF('Hypotheses expl'!Z73,'Compte résultat prévi'!$F$5,'Hypotheses expl'!AA73)+SUMIF('Hypotheses expl'!AB73,'Compte résultat prévi'!$F$5,'Hypotheses expl'!AC73)</f>
        <v>5000</v>
      </c>
      <c r="G22" s="201">
        <f>+SUMIF('Hypotheses expl'!R73,'Compte résultat prévi'!$G$5,'Hypotheses expl'!S73)+SUMIF('Hypotheses expl'!T73,'Compte résultat prévi'!$G$5,'Hypotheses expl'!U73)+SUMIF('Hypotheses expl'!V73,'Compte résultat prévi'!$G$5,'Hypotheses expl'!W73)+SUMIF('Hypotheses expl'!X73,'Compte résultat prévi'!$G$5,'Hypotheses expl'!Y73)+SUMIF('Hypotheses expl'!Z73,'Compte résultat prévi'!$G$5,'Hypotheses expl'!AA73)+SUMIF('Hypotheses expl'!AB73,'Compte résultat prévi'!$G$5,'Hypotheses expl'!AC73)</f>
        <v>0</v>
      </c>
      <c r="H22" s="202">
        <f>+SUMIF('Hypotheses expl'!R73,'Compte résultat prévi'!$H$5,'Hypotheses expl'!S73)+SUMIF('Hypotheses expl'!T73,'Compte résultat prévi'!$H$5,'Hypotheses expl'!U73)+SUMIF('Hypotheses expl'!V73,'Compte résultat prévi'!$H$5,'Hypotheses expl'!W73)+SUMIF('Hypotheses expl'!X73,'Compte résultat prévi'!$H$5,'Hypotheses expl'!Y73)+SUMIF('Hypotheses expl'!Z73,'Compte résultat prévi'!$H$5,'Hypotheses expl'!AA73)+SUMIF('Hypotheses expl'!AB73,'Compte résultat prévi'!$H$5,'Hypotheses expl'!AC73)</f>
        <v>0</v>
      </c>
      <c r="I22" s="200">
        <f>'Hypotheses expl (3,)'!B73</f>
        <v>5000</v>
      </c>
      <c r="J22" s="201">
        <f>+SUMIF('Hypotheses expl (3,)'!R73,'Compte résultat prévi'!$J$5,'Hypotheses expl (3,)'!S73)+SUMIF('Hypotheses expl (3,)'!T73,'Compte résultat prévi'!$J$5,'Hypotheses expl (3,)'!U73)+SUMIF('Hypotheses expl (3,)'!V73,'Compte résultat prévi'!$J$5,'Hypotheses expl (3,)'!W73)+SUMIF('Hypotheses expl (3,)'!X73,'Compte résultat prévi'!$J$5,'Hypotheses expl (3,)'!Y73)+SUMIF('Hypotheses expl (3,)'!Z73,'Compte résultat prévi'!$J$5,'Hypotheses expl (3,)'!AA73)+SUMIF('Hypotheses expl (3,)'!AB73,'Compte résultat prévi'!$J$5,'Hypotheses expl (3,)'!AC73)</f>
        <v>0</v>
      </c>
      <c r="K22" s="201">
        <f>+SUMIF('Hypotheses expl (3,)'!R73,'Compte résultat prévi'!$K$5,'Hypotheses expl (3,)'!S73)+SUMIF('Hypotheses expl (3,)'!T73,'Compte résultat prévi'!$K$5,'Hypotheses expl (3,)'!U73)+SUMIF('Hypotheses expl (3,)'!V73,'Compte résultat prévi'!$K$5,'Hypotheses expl (3,)'!W73)+SUMIF('Hypotheses expl (3,)'!X73,'Compte résultat prévi'!$K$5,'Hypotheses expl (3,)'!Y73)+SUMIF('Hypotheses expl (3,)'!Z73,'Compte résultat prévi'!$K$5,'Hypotheses expl (3,)'!AA73)+SUMIF('Hypotheses expl (3,)'!AB73,'Compte résultat prévi'!$K$5,'Hypotheses expl (3,)'!AC73)</f>
        <v>0</v>
      </c>
      <c r="L22" s="201">
        <f>+SUMIF('Hypotheses expl (3,)'!R73,'Compte résultat prévi'!$L$5,'Hypotheses expl (3,)'!S73)+SUMIF('Hypotheses expl (3,)'!T73,'Compte résultat prévi'!$L$5,'Hypotheses expl (3,)'!U73)+SUMIF('Hypotheses expl (3,)'!V73,'Compte résultat prévi'!$L$5,'Hypotheses expl (3,)'!W73)+SUMIF('Hypotheses expl (3,)'!X73,'Compte résultat prévi'!$L$5,'Hypotheses expl (3,)'!Y73)+SUMIF('Hypotheses expl (3,)'!Z73,'Compte résultat prévi'!$L$5,'Hypotheses expl (3,)'!AA73)+SUMIF('Hypotheses expl (3,)'!AB73,'Compte résultat prévi'!$L$5,'Hypotheses expl (3,)'!AC73)</f>
        <v>5000</v>
      </c>
      <c r="M22" s="201">
        <f>+SUMIF('Hypotheses expl (3,)'!R73,'Compte résultat prévi'!$M$5,'Hypotheses expl (3,)'!S73)+SUMIF('Hypotheses expl (3,)'!T73,'Compte résultat prévi'!$M$5,'Hypotheses expl (3,)'!U73)+SUMIF('Hypotheses expl (3,)'!V73,'Compte résultat prévi'!$M$5,'Hypotheses expl (3,)'!W73)+SUMIF('Hypotheses expl (3,)'!X73,'Compte résultat prévi'!$M$5,'Hypotheses expl (3,)'!Y73)+SUMIF('Hypotheses expl (3,)'!Z73,'Compte résultat prévi'!$M$5,'Hypotheses expl (3,)'!AA73)+SUMIF('Hypotheses expl (3,)'!AB73,'Compte résultat prévi'!$M$5,'Hypotheses expl (3,)'!AC73)</f>
        <v>0</v>
      </c>
      <c r="N22" s="202">
        <f>+SUMIF('Hypotheses expl (3,)'!R73,'Compte résultat prévi'!$N$5,'Hypotheses expl (3,)'!S73)+SUMIF('Hypotheses expl (3,)'!T73,'Compte résultat prévi'!$N$5,'Hypotheses expl (3,)'!U73)+SUMIF('Hypotheses expl (3,)'!V73,'Compte résultat prévi'!$N$5,'Hypotheses expl (3,)'!W73)+SUMIF('Hypotheses expl (3,)'!X73,'Compte résultat prévi'!$N$5,'Hypotheses expl (3,)'!Y73)+SUMIF('Hypotheses expl (3,)'!Z73,'Compte résultat prévi'!$N$5,'Hypotheses expl (3,)'!AA73)+SUMIF('Hypotheses expl (3,)'!AB73,'Compte résultat prévi'!$N$5,'Hypotheses expl (3,)'!AC73)</f>
        <v>0</v>
      </c>
      <c r="O22" s="200">
        <f>'Hypotheses expl (2)'!B73</f>
        <v>16000</v>
      </c>
      <c r="P22" s="201">
        <f>+SUMIF('Hypotheses expl (2)'!R73,'Compte résultat prévi'!$P$5,'Hypotheses expl (2)'!S73)+SUMIF('Hypotheses expl (2)'!T73,'Compte résultat prévi'!$P$5,'Hypotheses expl (2)'!U73)+SUMIF('Hypotheses expl (2)'!V73,'Compte résultat prévi'!$P$5,'Hypotheses expl (2)'!W73)+SUMIF('Hypotheses expl (2)'!X73,'Compte résultat prévi'!$P$5,'Hypotheses expl (2)'!Y73)+SUMIF('Hypotheses expl (2)'!Z73,'Compte résultat prévi'!$P$5,'Hypotheses expl (2)'!AA73)+SUMIF('Hypotheses expl (2)'!AB73,'Compte résultat prévi'!$P$5,'Hypotheses expl (2)'!AC73)</f>
        <v>0</v>
      </c>
      <c r="Q22" s="201">
        <f>+SUMIF('Hypotheses expl (2)'!R73,'Compte résultat prévi'!$Q$5,'Hypotheses expl (2)'!S73)+SUMIF('Hypotheses expl (2)'!T73,'Compte résultat prévi'!$Q$5,'Hypotheses expl (2)'!U73)+SUMIF('Hypotheses expl (2)'!V73,'Compte résultat prévi'!$Q$5,'Hypotheses expl (2)'!W73)+SUMIF('Hypotheses expl (2)'!X73,'Compte résultat prévi'!$Q$5,'Hypotheses expl (2)'!Y73)+SUMIF('Hypotheses expl (2)'!Z73,'Compte résultat prévi'!$Q$5,'Hypotheses expl (2)'!AA73)+SUMIF('Hypotheses expl (2)'!AB73,'Compte résultat prévi'!$Q$5,'Hypotheses expl (2)'!AC73)</f>
        <v>0</v>
      </c>
      <c r="R22" s="201">
        <f>+SUMIF('Hypotheses expl (2)'!R73,'Compte résultat prévi'!$R$5,'Hypotheses expl (2)'!S73)+SUMIF('Hypotheses expl (2)'!T73,'Compte résultat prévi'!$R$5,'Hypotheses expl (2)'!U73)+SUMIF('Hypotheses expl (2)'!V73,'Compte résultat prévi'!$R$5,'Hypotheses expl (2)'!W73)+SUMIF('Hypotheses expl (2)'!X73,'Compte résultat prévi'!$R$5,'Hypotheses expl (2)'!Y73)+SUMIF('Hypotheses expl (2)'!Z73,'Compte résultat prévi'!$R$5,'Hypotheses expl (2)'!AA73)+SUMIF('Hypotheses expl (2)'!AB73,'Compte résultat prévi'!$R$5,'Hypotheses expl (2)'!AC73)</f>
        <v>16000</v>
      </c>
      <c r="S22" s="201">
        <f>+SUMIF('Hypotheses expl (2)'!R73,'Compte résultat prévi'!$S$5,'Hypotheses expl (2)'!S73)+SUMIF('Hypotheses expl (2)'!T73,'Compte résultat prévi'!$S$5,'Hypotheses expl (2)'!U73)+SUMIF('Hypotheses expl (2)'!V73,'Compte résultat prévi'!$S$5,'Hypotheses expl (2)'!W73)+SUMIF('Hypotheses expl (2)'!X73,'Compte résultat prévi'!$S$5,'Hypotheses expl (2)'!Y73)+SUMIF('Hypotheses expl (2)'!Z73,'Compte résultat prévi'!$S$5,'Hypotheses expl (2)'!AA73)+SUMIF('Hypotheses expl (2)'!AB73,'Compte résultat prévi'!$S$5,'Hypotheses expl (2)'!AC73)</f>
        <v>0</v>
      </c>
      <c r="T22" s="202">
        <f>+SUMIF('Hypotheses expl (2)'!R73,'Compte résultat prévi'!$T$5,'Hypotheses expl (2)'!S73)+SUMIF('Hypotheses expl (2)'!T73,'Compte résultat prévi'!$T$5,'Hypotheses expl (2)'!U73)+SUMIF('Hypotheses expl (2)'!V73,'Compte résultat prévi'!$T$5,'Hypotheses expl (2)'!W73)+SUMIF('Hypotheses expl (2)'!X73,'Compte résultat prévi'!$T$5,'Hypotheses expl (2)'!Y73)+SUMIF('Hypotheses expl (2)'!Z73,'Compte résultat prévi'!$T$5,'Hypotheses expl (2)'!AA73)+SUMIF('Hypotheses expl (2)'!AB73,'Compte résultat prévi'!$T$5,'Hypotheses expl (2)'!AC73)</f>
        <v>0</v>
      </c>
      <c r="U22" s="203"/>
      <c r="V22" s="204"/>
    </row>
    <row r="23" outlineLevel="1">
      <c r="A23" s="198" t="str">
        <f>'Hypotheses expl'!A74</f>
        <v xml:space="preserve">Aides à l'emploi</v>
      </c>
      <c r="B23" s="199"/>
      <c r="C23" s="200">
        <f>'Hypotheses expl'!B74</f>
        <v>1993.5799999999999</v>
      </c>
      <c r="D23" s="201">
        <f>+SUMIF('Hypotheses expl'!R74,'Compte résultat prévi'!$D$5,'Hypotheses expl'!S74)+SUMIF('Hypotheses expl'!T74,'Compte résultat prévi'!$D$5,'Hypotheses expl'!U74)+SUMIF('Hypotheses expl'!V74,'Compte résultat prévi'!$D$5,'Hypotheses expl'!W74)+SUMIF('Hypotheses expl'!X74,'Compte résultat prévi'!$D$5,'Hypotheses expl'!Y74)+SUMIF('Hypotheses expl'!Z74,'Compte résultat prévi'!$D$5,'Hypotheses expl'!AA74)+SUMIF('Hypotheses expl'!AB74,'Compte résultat prévi'!$D$5,'Hypotheses expl'!AC74)</f>
        <v>664.52666666666664</v>
      </c>
      <c r="E23" s="201">
        <f>+SUMIF('Hypotheses expl'!R74,'Compte résultat prévi'!$E$5,'Hypotheses expl'!S74)+SUMIF('Hypotheses expl'!T74,'Compte résultat prévi'!$E$5,'Hypotheses expl'!U74)+SUMIF('Hypotheses expl'!V74,'Compte résultat prévi'!$E$5,'Hypotheses expl'!W74)+SUMIF('Hypotheses expl'!X74,'Compte résultat prévi'!$E$5,'Hypotheses expl'!Y74)+SUMIF('Hypotheses expl'!Z74,'Compte résultat prévi'!$E$5,'Hypotheses expl'!AA74)+SUMIF('Hypotheses expl'!AB74,'Compte résultat prévi'!$E$5,'Hypotheses expl'!AC74)</f>
        <v>664.52666666666664</v>
      </c>
      <c r="F23" s="201">
        <f>+SUMIF('Hypotheses expl'!R74,'Compte résultat prévi'!$F$5,'Hypotheses expl'!S74)+SUMIF('Hypotheses expl'!T74,'Compte résultat prévi'!$F$5,'Hypotheses expl'!U74)+SUMIF('Hypotheses expl'!V74,'Compte résultat prévi'!$F$5,'Hypotheses expl'!W74)+SUMIF('Hypotheses expl'!X74,'Compte résultat prévi'!$F$5,'Hypotheses expl'!Y74)+SUMIF('Hypotheses expl'!Z74,'Compte résultat prévi'!$F$5,'Hypotheses expl'!AA74)+SUMIF('Hypotheses expl'!AB74,'Compte résultat prévi'!$F$5,'Hypotheses expl'!AC74)</f>
        <v>664.52666666666664</v>
      </c>
      <c r="G23" s="201">
        <f>+SUMIF('Hypotheses expl'!R74,'Compte résultat prévi'!$G$5,'Hypotheses expl'!S74)+SUMIF('Hypotheses expl'!T74,'Compte résultat prévi'!$G$5,'Hypotheses expl'!U74)+SUMIF('Hypotheses expl'!V74,'Compte résultat prévi'!$G$5,'Hypotheses expl'!W74)+SUMIF('Hypotheses expl'!X74,'Compte résultat prévi'!$G$5,'Hypotheses expl'!Y74)+SUMIF('Hypotheses expl'!Z74,'Compte résultat prévi'!$G$5,'Hypotheses expl'!AA74)+SUMIF('Hypotheses expl'!AB74,'Compte résultat prévi'!$G$5,'Hypotheses expl'!AC74)</f>
        <v>0</v>
      </c>
      <c r="H23" s="202">
        <f>+SUMIF('Hypotheses expl'!R74,'Compte résultat prévi'!$H$5,'Hypotheses expl'!S74)+SUMIF('Hypotheses expl'!T74,'Compte résultat prévi'!$H$5,'Hypotheses expl'!U74)+SUMIF('Hypotheses expl'!V74,'Compte résultat prévi'!$H$5,'Hypotheses expl'!W74)+SUMIF('Hypotheses expl'!X74,'Compte résultat prévi'!$H$5,'Hypotheses expl'!Y74)+SUMIF('Hypotheses expl'!Z74,'Compte résultat prévi'!$H$5,'Hypotheses expl'!AA74)+SUMIF('Hypotheses expl'!AB74,'Compte résultat prévi'!$H$5,'Hypotheses expl'!AC74)</f>
        <v>0</v>
      </c>
      <c r="I23" s="200">
        <f>'Hypotheses expl (3,)'!B74</f>
        <v>1993.5799999999999</v>
      </c>
      <c r="J23" s="201">
        <f>+SUMIF('Hypotheses expl (3,)'!R74,'Compte résultat prévi'!$J$5,'Hypotheses expl (3,)'!S74)+SUMIF('Hypotheses expl (3,)'!T74,'Compte résultat prévi'!$J$5,'Hypotheses expl (3,)'!U74)+SUMIF('Hypotheses expl (3,)'!V74,'Compte résultat prévi'!$J$5,'Hypotheses expl (3,)'!W74)+SUMIF('Hypotheses expl (3,)'!X74,'Compte résultat prévi'!$J$5,'Hypotheses expl (3,)'!Y74)+SUMIF('Hypotheses expl (3,)'!Z74,'Compte résultat prévi'!$J$5,'Hypotheses expl (3,)'!AA74)+SUMIF('Hypotheses expl (3,)'!AB74,'Compte résultat prévi'!$J$5,'Hypotheses expl (3,)'!AC74)</f>
        <v>664.52666666666664</v>
      </c>
      <c r="K23" s="201">
        <f>+SUMIF('Hypotheses expl (3,)'!R74,'Compte résultat prévi'!$K$5,'Hypotheses expl (3,)'!S74)+SUMIF('Hypotheses expl (3,)'!T74,'Compte résultat prévi'!$K$5,'Hypotheses expl (3,)'!U74)+SUMIF('Hypotheses expl (3,)'!V74,'Compte résultat prévi'!$K$5,'Hypotheses expl (3,)'!W74)+SUMIF('Hypotheses expl (3,)'!X74,'Compte résultat prévi'!$K$5,'Hypotheses expl (3,)'!Y74)+SUMIF('Hypotheses expl (3,)'!Z74,'Compte résultat prévi'!$K$5,'Hypotheses expl (3,)'!AA74)+SUMIF('Hypotheses expl (3,)'!AB74,'Compte résultat prévi'!$K$5,'Hypotheses expl (3,)'!AC74)</f>
        <v>664.52666666666664</v>
      </c>
      <c r="L23" s="201">
        <f>+SUMIF('Hypotheses expl (3,)'!R74,'Compte résultat prévi'!$L$5,'Hypotheses expl (3,)'!S74)+SUMIF('Hypotheses expl (3,)'!T74,'Compte résultat prévi'!$L$5,'Hypotheses expl (3,)'!U74)+SUMIF('Hypotheses expl (3,)'!V74,'Compte résultat prévi'!$L$5,'Hypotheses expl (3,)'!W74)+SUMIF('Hypotheses expl (3,)'!X74,'Compte résultat prévi'!$L$5,'Hypotheses expl (3,)'!Y74)+SUMIF('Hypotheses expl (3,)'!Z74,'Compte résultat prévi'!$L$5,'Hypotheses expl (3,)'!AA74)+SUMIF('Hypotheses expl (3,)'!AB74,'Compte résultat prévi'!$L$5,'Hypotheses expl (3,)'!AC74)</f>
        <v>664.52666666666664</v>
      </c>
      <c r="M23" s="201">
        <f>+SUMIF('Hypotheses expl (3,)'!R74,'Compte résultat prévi'!$M$5,'Hypotheses expl (3,)'!S74)+SUMIF('Hypotheses expl (3,)'!T74,'Compte résultat prévi'!$M$5,'Hypotheses expl (3,)'!U74)+SUMIF('Hypotheses expl (3,)'!V74,'Compte résultat prévi'!$M$5,'Hypotheses expl (3,)'!W74)+SUMIF('Hypotheses expl (3,)'!X74,'Compte résultat prévi'!$M$5,'Hypotheses expl (3,)'!Y74)+SUMIF('Hypotheses expl (3,)'!Z74,'Compte résultat prévi'!$M$5,'Hypotheses expl (3,)'!AA74)+SUMIF('Hypotheses expl (3,)'!AB74,'Compte résultat prévi'!$M$5,'Hypotheses expl (3,)'!AC74)</f>
        <v>0</v>
      </c>
      <c r="N23" s="202">
        <f>+SUMIF('Hypotheses expl (3,)'!R74,'Compte résultat prévi'!$N$5,'Hypotheses expl (3,)'!S74)+SUMIF('Hypotheses expl (3,)'!T74,'Compte résultat prévi'!$N$5,'Hypotheses expl (3,)'!U74)+SUMIF('Hypotheses expl (3,)'!V74,'Compte résultat prévi'!$N$5,'Hypotheses expl (3,)'!W74)+SUMIF('Hypotheses expl (3,)'!X74,'Compte résultat prévi'!$N$5,'Hypotheses expl (3,)'!Y74)+SUMIF('Hypotheses expl (3,)'!Z74,'Compte résultat prévi'!$N$5,'Hypotheses expl (3,)'!AA74)+SUMIF('Hypotheses expl (3,)'!AB74,'Compte résultat prévi'!$N$5,'Hypotheses expl (3,)'!AC74)</f>
        <v>0</v>
      </c>
      <c r="O23" s="200">
        <f>'Hypotheses expl (2)'!B74</f>
        <v>0</v>
      </c>
      <c r="P23" s="201">
        <f>+SUMIF('Hypotheses expl (2)'!R74,'Compte résultat prévi'!$P$5,'Hypotheses expl (2)'!S74)+SUMIF('Hypotheses expl (2)'!T74,'Compte résultat prévi'!$P$5,'Hypotheses expl (2)'!U74)+SUMIF('Hypotheses expl (2)'!V74,'Compte résultat prévi'!$P$5,'Hypotheses expl (2)'!W74)+SUMIF('Hypotheses expl (2)'!X74,'Compte résultat prévi'!$P$5,'Hypotheses expl (2)'!Y74)+SUMIF('Hypotheses expl (2)'!Z74,'Compte résultat prévi'!$P$5,'Hypotheses expl (2)'!AA74)+SUMIF('Hypotheses expl (2)'!AB74,'Compte résultat prévi'!$P$5,'Hypotheses expl (2)'!AC74)</f>
        <v>0</v>
      </c>
      <c r="Q23" s="201">
        <f>+SUMIF('Hypotheses expl (2)'!R74,'Compte résultat prévi'!$Q$5,'Hypotheses expl (2)'!S74)+SUMIF('Hypotheses expl (2)'!T74,'Compte résultat prévi'!$Q$5,'Hypotheses expl (2)'!U74)+SUMIF('Hypotheses expl (2)'!V74,'Compte résultat prévi'!$Q$5,'Hypotheses expl (2)'!W74)+SUMIF('Hypotheses expl (2)'!X74,'Compte résultat prévi'!$Q$5,'Hypotheses expl (2)'!Y74)+SUMIF('Hypotheses expl (2)'!Z74,'Compte résultat prévi'!$Q$5,'Hypotheses expl (2)'!AA74)+SUMIF('Hypotheses expl (2)'!AB74,'Compte résultat prévi'!$Q$5,'Hypotheses expl (2)'!AC74)</f>
        <v>0</v>
      </c>
      <c r="R23" s="201">
        <f>+SUMIF('Hypotheses expl (2)'!R74,'Compte résultat prévi'!$R$5,'Hypotheses expl (2)'!S74)+SUMIF('Hypotheses expl (2)'!T74,'Compte résultat prévi'!$R$5,'Hypotheses expl (2)'!U74)+SUMIF('Hypotheses expl (2)'!V74,'Compte résultat prévi'!$R$5,'Hypotheses expl (2)'!W74)+SUMIF('Hypotheses expl (2)'!X74,'Compte résultat prévi'!$R$5,'Hypotheses expl (2)'!Y74)+SUMIF('Hypotheses expl (2)'!Z74,'Compte résultat prévi'!$R$5,'Hypotheses expl (2)'!AA74)+SUMIF('Hypotheses expl (2)'!AB74,'Compte résultat prévi'!$R$5,'Hypotheses expl (2)'!AC74)</f>
        <v>0</v>
      </c>
      <c r="S23" s="201">
        <f>+SUMIF('Hypotheses expl (2)'!R74,'Compte résultat prévi'!$S$5,'Hypotheses expl (2)'!S74)+SUMIF('Hypotheses expl (2)'!T74,'Compte résultat prévi'!$S$5,'Hypotheses expl (2)'!U74)+SUMIF('Hypotheses expl (2)'!V74,'Compte résultat prévi'!$S$5,'Hypotheses expl (2)'!W74)+SUMIF('Hypotheses expl (2)'!X74,'Compte résultat prévi'!$S$5,'Hypotheses expl (2)'!Y74)+SUMIF('Hypotheses expl (2)'!Z74,'Compte résultat prévi'!$S$5,'Hypotheses expl (2)'!AA74)+SUMIF('Hypotheses expl (2)'!AB74,'Compte résultat prévi'!$S$5,'Hypotheses expl (2)'!AC74)</f>
        <v>0</v>
      </c>
      <c r="T23" s="202">
        <f>+SUMIF('Hypotheses expl (2)'!R74,'Compte résultat prévi'!$T$5,'Hypotheses expl (2)'!S74)+SUMIF('Hypotheses expl (2)'!T74,'Compte résultat prévi'!$T$5,'Hypotheses expl (2)'!U74)+SUMIF('Hypotheses expl (2)'!V74,'Compte résultat prévi'!$T$5,'Hypotheses expl (2)'!W74)+SUMIF('Hypotheses expl (2)'!X74,'Compte résultat prévi'!$T$5,'Hypotheses expl (2)'!Y74)+SUMIF('Hypotheses expl (2)'!Z74,'Compte résultat prévi'!$T$5,'Hypotheses expl (2)'!AA74)+SUMIF('Hypotheses expl (2)'!AB74,'Compte résultat prévi'!$T$5,'Hypotheses expl (2)'!AC74)</f>
        <v>0</v>
      </c>
      <c r="U23" s="203"/>
      <c r="V23" s="204"/>
    </row>
    <row r="24" outlineLevel="1">
      <c r="A24" s="198" t="str">
        <f>'Hypotheses expl'!A75</f>
        <v xml:space="preserve">Aide apprentissage</v>
      </c>
      <c r="B24" s="199"/>
      <c r="C24" s="200">
        <f>'Hypotheses expl'!B75</f>
        <v>8000</v>
      </c>
      <c r="D24" s="201">
        <f>+SUMIF('Hypotheses expl'!R75,'Compte résultat prévi'!$D$5,'Hypotheses expl'!S75)+SUMIF('Hypotheses expl'!T75,'Compte résultat prévi'!$D$5,'Hypotheses expl'!U75)+SUMIF('Hypotheses expl'!V75,'Compte résultat prévi'!$D$5,'Hypotheses expl'!W75)+SUMIF('Hypotheses expl'!X75,'Compte résultat prévi'!$D$5,'Hypotheses expl'!Y75)+SUMIF('Hypotheses expl'!Z75,'Compte résultat prévi'!$D$5,'Hypotheses expl'!AA75)+SUMIF('Hypotheses expl'!AB75,'Compte résultat prévi'!$D$5,'Hypotheses expl'!AC75)</f>
        <v>2000</v>
      </c>
      <c r="E24" s="201">
        <f>+SUMIF('Hypotheses expl'!R75,'Compte résultat prévi'!$E$5,'Hypotheses expl'!S75)+SUMIF('Hypotheses expl'!T75,'Compte résultat prévi'!$E$5,'Hypotheses expl'!U75)+SUMIF('Hypotheses expl'!V75,'Compte résultat prévi'!$E$5,'Hypotheses expl'!W75)+SUMIF('Hypotheses expl'!X75,'Compte résultat prévi'!$E$5,'Hypotheses expl'!Y75)+SUMIF('Hypotheses expl'!Z75,'Compte résultat prévi'!$E$5,'Hypotheses expl'!AA75)+SUMIF('Hypotheses expl'!AB75,'Compte résultat prévi'!$E$5,'Hypotheses expl'!AC75)</f>
        <v>2000</v>
      </c>
      <c r="F24" s="201">
        <f>+SUMIF('Hypotheses expl'!R75,'Compte résultat prévi'!$F$5,'Hypotheses expl'!S75)+SUMIF('Hypotheses expl'!T75,'Compte résultat prévi'!$F$5,'Hypotheses expl'!U75)+SUMIF('Hypotheses expl'!V75,'Compte résultat prévi'!$F$5,'Hypotheses expl'!W75)+SUMIF('Hypotheses expl'!X75,'Compte résultat prévi'!$F$5,'Hypotheses expl'!Y75)+SUMIF('Hypotheses expl'!Z75,'Compte résultat prévi'!$F$5,'Hypotheses expl'!AA75)+SUMIF('Hypotheses expl'!AB75,'Compte résultat prévi'!$F$5,'Hypotheses expl'!AC75)</f>
        <v>2000</v>
      </c>
      <c r="G24" s="201">
        <f>+SUMIF('Hypotheses expl'!R75,'Compte résultat prévi'!$G$5,'Hypotheses expl'!S75)+SUMIF('Hypotheses expl'!T75,'Compte résultat prévi'!$G$5,'Hypotheses expl'!U75)+SUMIF('Hypotheses expl'!V75,'Compte résultat prévi'!$G$5,'Hypotheses expl'!W75)+SUMIF('Hypotheses expl'!X75,'Compte résultat prévi'!$G$5,'Hypotheses expl'!Y75)+SUMIF('Hypotheses expl'!Z75,'Compte résultat prévi'!$G$5,'Hypotheses expl'!AA75)+SUMIF('Hypotheses expl'!AB75,'Compte résultat prévi'!$G$5,'Hypotheses expl'!AC75)</f>
        <v>2000</v>
      </c>
      <c r="H24" s="202">
        <f>+SUMIF('Hypotheses expl'!R75,'Compte résultat prévi'!$H$5,'Hypotheses expl'!S75)+SUMIF('Hypotheses expl'!T75,'Compte résultat prévi'!$H$5,'Hypotheses expl'!U75)+SUMIF('Hypotheses expl'!V75,'Compte résultat prévi'!$H$5,'Hypotheses expl'!W75)+SUMIF('Hypotheses expl'!X75,'Compte résultat prévi'!$H$5,'Hypotheses expl'!Y75)+SUMIF('Hypotheses expl'!Z75,'Compte résultat prévi'!$H$5,'Hypotheses expl'!AA75)+SUMIF('Hypotheses expl'!AB75,'Compte résultat prévi'!$H$5,'Hypotheses expl'!AC75)</f>
        <v>0</v>
      </c>
      <c r="I24" s="200">
        <f>'Hypotheses expl (3,)'!B75</f>
        <v>6000</v>
      </c>
      <c r="J24" s="201">
        <f>+SUMIF('Hypotheses expl (3,)'!R75,'Compte résultat prévi'!$J$5,'Hypotheses expl (3,)'!S75)+SUMIF('Hypotheses expl (3,)'!T75,'Compte résultat prévi'!$J$5,'Hypotheses expl (3,)'!U75)+SUMIF('Hypotheses expl (3,)'!V75,'Compte résultat prévi'!$J$5,'Hypotheses expl (3,)'!W75)+SUMIF('Hypotheses expl (3,)'!X75,'Compte résultat prévi'!$J$5,'Hypotheses expl (3,)'!Y75)+SUMIF('Hypotheses expl (3,)'!Z75,'Compte résultat prévi'!$J$5,'Hypotheses expl (3,)'!AA75)+SUMIF('Hypotheses expl (3,)'!AB75,'Compte résultat prévi'!$J$5,'Hypotheses expl (3,)'!AC75)</f>
        <v>1500</v>
      </c>
      <c r="K24" s="201">
        <f>+SUMIF('Hypotheses expl (3,)'!R75,'Compte résultat prévi'!$K$5,'Hypotheses expl (3,)'!S75)+SUMIF('Hypotheses expl (3,)'!T75,'Compte résultat prévi'!$K$5,'Hypotheses expl (3,)'!U75)+SUMIF('Hypotheses expl (3,)'!V75,'Compte résultat prévi'!$K$5,'Hypotheses expl (3,)'!W75)+SUMIF('Hypotheses expl (3,)'!X75,'Compte résultat prévi'!$K$5,'Hypotheses expl (3,)'!Y75)+SUMIF('Hypotheses expl (3,)'!Z75,'Compte résultat prévi'!$K$5,'Hypotheses expl (3,)'!AA75)+SUMIF('Hypotheses expl (3,)'!AB75,'Compte résultat prévi'!$K$5,'Hypotheses expl (3,)'!AC75)</f>
        <v>1500</v>
      </c>
      <c r="L24" s="201">
        <f>+SUMIF('Hypotheses expl (3,)'!R75,'Compte résultat prévi'!$L$5,'Hypotheses expl (3,)'!S75)+SUMIF('Hypotheses expl (3,)'!T75,'Compte résultat prévi'!$L$5,'Hypotheses expl (3,)'!U75)+SUMIF('Hypotheses expl (3,)'!V75,'Compte résultat prévi'!$L$5,'Hypotheses expl (3,)'!W75)+SUMIF('Hypotheses expl (3,)'!X75,'Compte résultat prévi'!$L$5,'Hypotheses expl (3,)'!Y75)+SUMIF('Hypotheses expl (3,)'!Z75,'Compte résultat prévi'!$L$5,'Hypotheses expl (3,)'!AA75)+SUMIF('Hypotheses expl (3,)'!AB75,'Compte résultat prévi'!$L$5,'Hypotheses expl (3,)'!AC75)</f>
        <v>1500</v>
      </c>
      <c r="M24" s="201">
        <f>+SUMIF('Hypotheses expl (3,)'!R75,'Compte résultat prévi'!$M$5,'Hypotheses expl (3,)'!S75)+SUMIF('Hypotheses expl (3,)'!T75,'Compte résultat prévi'!$M$5,'Hypotheses expl (3,)'!U75)+SUMIF('Hypotheses expl (3,)'!V75,'Compte résultat prévi'!$M$5,'Hypotheses expl (3,)'!W75)+SUMIF('Hypotheses expl (3,)'!X75,'Compte résultat prévi'!$M$5,'Hypotheses expl (3,)'!Y75)+SUMIF('Hypotheses expl (3,)'!Z75,'Compte résultat prévi'!$M$5,'Hypotheses expl (3,)'!AA75)+SUMIF('Hypotheses expl (3,)'!AB75,'Compte résultat prévi'!$M$5,'Hypotheses expl (3,)'!AC75)</f>
        <v>1500</v>
      </c>
      <c r="N24" s="202">
        <f>+SUMIF('Hypotheses expl (3,)'!R75,'Compte résultat prévi'!$N$5,'Hypotheses expl (3,)'!S75)+SUMIF('Hypotheses expl (3,)'!T75,'Compte résultat prévi'!$N$5,'Hypotheses expl (3,)'!U75)+SUMIF('Hypotheses expl (3,)'!V75,'Compte résultat prévi'!$N$5,'Hypotheses expl (3,)'!W75)+SUMIF('Hypotheses expl (3,)'!X75,'Compte résultat prévi'!$N$5,'Hypotheses expl (3,)'!Y75)+SUMIF('Hypotheses expl (3,)'!Z75,'Compte résultat prévi'!$N$5,'Hypotheses expl (3,)'!AA75)+SUMIF('Hypotheses expl (3,)'!AB75,'Compte résultat prévi'!$N$5,'Hypotheses expl (3,)'!AC75)</f>
        <v>0</v>
      </c>
      <c r="O24" s="200">
        <f>'Hypotheses expl (2)'!B75</f>
        <v>6000</v>
      </c>
      <c r="P24" s="201">
        <f>+SUMIF('Hypotheses expl (2)'!R75,'Compte résultat prévi'!$P$5,'Hypotheses expl (2)'!S75)+SUMIF('Hypotheses expl (2)'!T75,'Compte résultat prévi'!$P$5,'Hypotheses expl (2)'!U75)+SUMIF('Hypotheses expl (2)'!V75,'Compte résultat prévi'!$P$5,'Hypotheses expl (2)'!W75)+SUMIF('Hypotheses expl (2)'!X75,'Compte résultat prévi'!$P$5,'Hypotheses expl (2)'!Y75)+SUMIF('Hypotheses expl (2)'!Z75,'Compte résultat prévi'!$P$5,'Hypotheses expl (2)'!AA75)+SUMIF('Hypotheses expl (2)'!AB75,'Compte résultat prévi'!$P$5,'Hypotheses expl (2)'!AC75)</f>
        <v>1500</v>
      </c>
      <c r="Q24" s="201">
        <f>+SUMIF('Hypotheses expl (2)'!R75,'Compte résultat prévi'!$Q$5,'Hypotheses expl (2)'!S75)+SUMIF('Hypotheses expl (2)'!T75,'Compte résultat prévi'!$Q$5,'Hypotheses expl (2)'!U75)+SUMIF('Hypotheses expl (2)'!V75,'Compte résultat prévi'!$Q$5,'Hypotheses expl (2)'!W75)+SUMIF('Hypotheses expl (2)'!X75,'Compte résultat prévi'!$Q$5,'Hypotheses expl (2)'!Y75)+SUMIF('Hypotheses expl (2)'!Z75,'Compte résultat prévi'!$Q$5,'Hypotheses expl (2)'!AA75)+SUMIF('Hypotheses expl (2)'!AB75,'Compte résultat prévi'!$Q$5,'Hypotheses expl (2)'!AC75)</f>
        <v>1500</v>
      </c>
      <c r="R24" s="201">
        <f>+SUMIF('Hypotheses expl (2)'!R75,'Compte résultat prévi'!$R$5,'Hypotheses expl (2)'!S75)+SUMIF('Hypotheses expl (2)'!T75,'Compte résultat prévi'!$R$5,'Hypotheses expl (2)'!U75)+SUMIF('Hypotheses expl (2)'!V75,'Compte résultat prévi'!$R$5,'Hypotheses expl (2)'!W75)+SUMIF('Hypotheses expl (2)'!X75,'Compte résultat prévi'!$R$5,'Hypotheses expl (2)'!Y75)+SUMIF('Hypotheses expl (2)'!Z75,'Compte résultat prévi'!$R$5,'Hypotheses expl (2)'!AA75)+SUMIF('Hypotheses expl (2)'!AB75,'Compte résultat prévi'!$R$5,'Hypotheses expl (2)'!AC75)</f>
        <v>1500</v>
      </c>
      <c r="S24" s="201">
        <f>+SUMIF('Hypotheses expl (2)'!R75,'Compte résultat prévi'!$S$5,'Hypotheses expl (2)'!S75)+SUMIF('Hypotheses expl (2)'!T75,'Compte résultat prévi'!$S$5,'Hypotheses expl (2)'!U75)+SUMIF('Hypotheses expl (2)'!V75,'Compte résultat prévi'!$S$5,'Hypotheses expl (2)'!W75)+SUMIF('Hypotheses expl (2)'!X75,'Compte résultat prévi'!$S$5,'Hypotheses expl (2)'!Y75)+SUMIF('Hypotheses expl (2)'!Z75,'Compte résultat prévi'!$S$5,'Hypotheses expl (2)'!AA75)+SUMIF('Hypotheses expl (2)'!AB75,'Compte résultat prévi'!$S$5,'Hypotheses expl (2)'!AC75)</f>
        <v>1500</v>
      </c>
      <c r="T24" s="202">
        <f>+SUMIF('Hypotheses expl (2)'!R75,'Compte résultat prévi'!$T$5,'Hypotheses expl (2)'!S75)+SUMIF('Hypotheses expl (2)'!T75,'Compte résultat prévi'!$T$5,'Hypotheses expl (2)'!U75)+SUMIF('Hypotheses expl (2)'!V75,'Compte résultat prévi'!$T$5,'Hypotheses expl (2)'!W75)+SUMIF('Hypotheses expl (2)'!X75,'Compte résultat prévi'!$T$5,'Hypotheses expl (2)'!Y75)+SUMIF('Hypotheses expl (2)'!Z75,'Compte résultat prévi'!$T$5,'Hypotheses expl (2)'!AA75)+SUMIF('Hypotheses expl (2)'!AB75,'Compte résultat prévi'!$T$5,'Hypotheses expl (2)'!AC75)</f>
        <v>0</v>
      </c>
      <c r="U24" s="203"/>
      <c r="V24" s="204"/>
    </row>
    <row r="25" hidden="1" outlineLevel="1">
      <c r="A25" s="198" t="str">
        <f>'Hypotheses expl'!A76</f>
        <v xml:space="preserve">Financeur 7</v>
      </c>
      <c r="B25" s="199"/>
      <c r="C25" s="200">
        <f>'Hypotheses expl'!B76</f>
        <v>0</v>
      </c>
      <c r="D25" s="201">
        <f>+SUMIF('Hypotheses expl'!R76,'Compte résultat prévi'!$D$5,'Hypotheses expl'!S76)+SUMIF('Hypotheses expl'!T76,'Compte résultat prévi'!$D$5,'Hypotheses expl'!U76)+SUMIF('Hypotheses expl'!V76,'Compte résultat prévi'!$D$5,'Hypotheses expl'!W76)+SUMIF('Hypotheses expl'!X76,'Compte résultat prévi'!$D$5,'Hypotheses expl'!Y76)+SUMIF('Hypotheses expl'!Z76,'Compte résultat prévi'!$D$5,'Hypotheses expl'!AA76)+SUMIF('Hypotheses expl'!AB76,'Compte résultat prévi'!$D$5,'Hypotheses expl'!AC76)</f>
        <v>0</v>
      </c>
      <c r="E25" s="201">
        <f>+SUMIF('Hypotheses expl'!R76,'Compte résultat prévi'!$E$5,'Hypotheses expl'!S76)+SUMIF('Hypotheses expl'!T76,'Compte résultat prévi'!$E$5,'Hypotheses expl'!U76)+SUMIF('Hypotheses expl'!V76,'Compte résultat prévi'!$E$5,'Hypotheses expl'!W76)+SUMIF('Hypotheses expl'!X76,'Compte résultat prévi'!$E$5,'Hypotheses expl'!Y76)+SUMIF('Hypotheses expl'!Z76,'Compte résultat prévi'!$E$5,'Hypotheses expl'!AA76)+SUMIF('Hypotheses expl'!AB76,'Compte résultat prévi'!$E$5,'Hypotheses expl'!AC76)</f>
        <v>0</v>
      </c>
      <c r="F25" s="201">
        <f>+SUMIF('Hypotheses expl'!R76,'Compte résultat prévi'!$F$5,'Hypotheses expl'!S76)+SUMIF('Hypotheses expl'!T76,'Compte résultat prévi'!$F$5,'Hypotheses expl'!U76)+SUMIF('Hypotheses expl'!V76,'Compte résultat prévi'!$F$5,'Hypotheses expl'!W76)+SUMIF('Hypotheses expl'!X76,'Compte résultat prévi'!$F$5,'Hypotheses expl'!Y76)+SUMIF('Hypotheses expl'!Z76,'Compte résultat prévi'!$F$5,'Hypotheses expl'!AA76)+SUMIF('Hypotheses expl'!AB76,'Compte résultat prévi'!$F$5,'Hypotheses expl'!AC76)</f>
        <v>0</v>
      </c>
      <c r="G25" s="201">
        <f>+SUMIF('Hypotheses expl'!R76,'Compte résultat prévi'!$G$5,'Hypotheses expl'!S76)+SUMIF('Hypotheses expl'!T76,'Compte résultat prévi'!$G$5,'Hypotheses expl'!U76)+SUMIF('Hypotheses expl'!V76,'Compte résultat prévi'!$G$5,'Hypotheses expl'!W76)+SUMIF('Hypotheses expl'!X76,'Compte résultat prévi'!$G$5,'Hypotheses expl'!Y76)+SUMIF('Hypotheses expl'!Z76,'Compte résultat prévi'!$G$5,'Hypotheses expl'!AA76)+SUMIF('Hypotheses expl'!AB76,'Compte résultat prévi'!$G$5,'Hypotheses expl'!AC76)</f>
        <v>0</v>
      </c>
      <c r="H25" s="202">
        <f>+SUMIF('Hypotheses expl'!R76,'Compte résultat prévi'!$H$5,'Hypotheses expl'!S76)+SUMIF('Hypotheses expl'!T76,'Compte résultat prévi'!$H$5,'Hypotheses expl'!U76)+SUMIF('Hypotheses expl'!V76,'Compte résultat prévi'!$H$5,'Hypotheses expl'!W76)+SUMIF('Hypotheses expl'!X76,'Compte résultat prévi'!$H$5,'Hypotheses expl'!Y76)+SUMIF('Hypotheses expl'!Z76,'Compte résultat prévi'!$H$5,'Hypotheses expl'!AA76)+SUMIF('Hypotheses expl'!AB76,'Compte résultat prévi'!$H$5,'Hypotheses expl'!AC76)</f>
        <v>0</v>
      </c>
      <c r="I25" s="200">
        <f>'Hypotheses expl (3,)'!B76</f>
        <v>0</v>
      </c>
      <c r="J25" s="201">
        <f>+SUMIF('Hypotheses expl (3,)'!R76,'Compte résultat prévi'!$J$5,'Hypotheses expl (3,)'!S76)+SUMIF('Hypotheses expl (3,)'!T76,'Compte résultat prévi'!$J$5,'Hypotheses expl (3,)'!U76)+SUMIF('Hypotheses expl (3,)'!V76,'Compte résultat prévi'!$J$5,'Hypotheses expl (3,)'!W76)+SUMIF('Hypotheses expl (3,)'!X76,'Compte résultat prévi'!$J$5,'Hypotheses expl (3,)'!Y76)+SUMIF('Hypotheses expl (3,)'!Z76,'Compte résultat prévi'!$J$5,'Hypotheses expl (3,)'!AA76)+SUMIF('Hypotheses expl (3,)'!AB76,'Compte résultat prévi'!$J$5,'Hypotheses expl (3,)'!AC76)</f>
        <v>0</v>
      </c>
      <c r="K25" s="201">
        <f>+SUMIF('Hypotheses expl (3,)'!R76,'Compte résultat prévi'!$K$5,'Hypotheses expl (3,)'!S76)+SUMIF('Hypotheses expl (3,)'!T76,'Compte résultat prévi'!$K$5,'Hypotheses expl (3,)'!U76)+SUMIF('Hypotheses expl (3,)'!V76,'Compte résultat prévi'!$K$5,'Hypotheses expl (3,)'!W76)+SUMIF('Hypotheses expl (3,)'!X76,'Compte résultat prévi'!$K$5,'Hypotheses expl (3,)'!Y76)+SUMIF('Hypotheses expl (3,)'!Z76,'Compte résultat prévi'!$K$5,'Hypotheses expl (3,)'!AA76)+SUMIF('Hypotheses expl (3,)'!AB76,'Compte résultat prévi'!$K$5,'Hypotheses expl (3,)'!AC76)</f>
        <v>0</v>
      </c>
      <c r="L25" s="201">
        <f>+SUMIF('Hypotheses expl (3,)'!R76,'Compte résultat prévi'!$L$5,'Hypotheses expl (3,)'!S76)+SUMIF('Hypotheses expl (3,)'!T76,'Compte résultat prévi'!$L$5,'Hypotheses expl (3,)'!U76)+SUMIF('Hypotheses expl (3,)'!V76,'Compte résultat prévi'!$L$5,'Hypotheses expl (3,)'!W76)+SUMIF('Hypotheses expl (3,)'!X76,'Compte résultat prévi'!$L$5,'Hypotheses expl (3,)'!Y76)+SUMIF('Hypotheses expl (3,)'!Z76,'Compte résultat prévi'!$L$5,'Hypotheses expl (3,)'!AA76)+SUMIF('Hypotheses expl (3,)'!AB76,'Compte résultat prévi'!$L$5,'Hypotheses expl (3,)'!AC76)</f>
        <v>0</v>
      </c>
      <c r="M25" s="201">
        <f>+SUMIF('Hypotheses expl (3,)'!R76,'Compte résultat prévi'!$M$5,'Hypotheses expl (3,)'!S76)+SUMIF('Hypotheses expl (3,)'!T76,'Compte résultat prévi'!$M$5,'Hypotheses expl (3,)'!U76)+SUMIF('Hypotheses expl (3,)'!V76,'Compte résultat prévi'!$M$5,'Hypotheses expl (3,)'!W76)+SUMIF('Hypotheses expl (3,)'!X76,'Compte résultat prévi'!$M$5,'Hypotheses expl (3,)'!Y76)+SUMIF('Hypotheses expl (3,)'!Z76,'Compte résultat prévi'!$M$5,'Hypotheses expl (3,)'!AA76)+SUMIF('Hypotheses expl (3,)'!AB76,'Compte résultat prévi'!$M$5,'Hypotheses expl (3,)'!AC76)</f>
        <v>0</v>
      </c>
      <c r="N25" s="202">
        <f>+SUMIF('Hypotheses expl (3,)'!R76,'Compte résultat prévi'!$N$5,'Hypotheses expl (3,)'!S76)+SUMIF('Hypotheses expl (3,)'!T76,'Compte résultat prévi'!$N$5,'Hypotheses expl (3,)'!U76)+SUMIF('Hypotheses expl (3,)'!V76,'Compte résultat prévi'!$N$5,'Hypotheses expl (3,)'!W76)+SUMIF('Hypotheses expl (3,)'!X76,'Compte résultat prévi'!$N$5,'Hypotheses expl (3,)'!Y76)+SUMIF('Hypotheses expl (3,)'!Z76,'Compte résultat prévi'!$N$5,'Hypotheses expl (3,)'!AA76)+SUMIF('Hypotheses expl (3,)'!AB76,'Compte résultat prévi'!$N$5,'Hypotheses expl (3,)'!AC76)</f>
        <v>0</v>
      </c>
      <c r="O25" s="200">
        <f>'Hypotheses expl (2)'!B76</f>
        <v>0</v>
      </c>
      <c r="P25" s="201">
        <f>+SUMIF('Hypotheses expl (2)'!R76,'Compte résultat prévi'!$P$5,'Hypotheses expl (2)'!S76)+SUMIF('Hypotheses expl (2)'!T76,'Compte résultat prévi'!$P$5,'Hypotheses expl (2)'!U76)+SUMIF('Hypotheses expl (2)'!V76,'Compte résultat prévi'!$P$5,'Hypotheses expl (2)'!W76)+SUMIF('Hypotheses expl (2)'!X76,'Compte résultat prévi'!$P$5,'Hypotheses expl (2)'!Y76)+SUMIF('Hypotheses expl (2)'!Z76,'Compte résultat prévi'!$P$5,'Hypotheses expl (2)'!AA76)+SUMIF('Hypotheses expl (2)'!AB76,'Compte résultat prévi'!$P$5,'Hypotheses expl (2)'!AC76)</f>
        <v>0</v>
      </c>
      <c r="Q25" s="201">
        <f>+SUMIF('Hypotheses expl (2)'!R76,'Compte résultat prévi'!$Q$5,'Hypotheses expl (2)'!S76)+SUMIF('Hypotheses expl (2)'!T76,'Compte résultat prévi'!$Q$5,'Hypotheses expl (2)'!U76)+SUMIF('Hypotheses expl (2)'!V76,'Compte résultat prévi'!$Q$5,'Hypotheses expl (2)'!W76)+SUMIF('Hypotheses expl (2)'!X76,'Compte résultat prévi'!$Q$5,'Hypotheses expl (2)'!Y76)+SUMIF('Hypotheses expl (2)'!Z76,'Compte résultat prévi'!$Q$5,'Hypotheses expl (2)'!AA76)+SUMIF('Hypotheses expl (2)'!AB76,'Compte résultat prévi'!$Q$5,'Hypotheses expl (2)'!AC76)</f>
        <v>0</v>
      </c>
      <c r="R25" s="201">
        <f>+SUMIF('Hypotheses expl (2)'!R76,'Compte résultat prévi'!$R$5,'Hypotheses expl (2)'!S76)+SUMIF('Hypotheses expl (2)'!T76,'Compte résultat prévi'!$R$5,'Hypotheses expl (2)'!U76)+SUMIF('Hypotheses expl (2)'!V76,'Compte résultat prévi'!$R$5,'Hypotheses expl (2)'!W76)+SUMIF('Hypotheses expl (2)'!X76,'Compte résultat prévi'!$R$5,'Hypotheses expl (2)'!Y76)+SUMIF('Hypotheses expl (2)'!Z76,'Compte résultat prévi'!$R$5,'Hypotheses expl (2)'!AA76)+SUMIF('Hypotheses expl (2)'!AB76,'Compte résultat prévi'!$R$5,'Hypotheses expl (2)'!AC76)</f>
        <v>0</v>
      </c>
      <c r="S25" s="201">
        <f>+SUMIF('Hypotheses expl (2)'!R76,'Compte résultat prévi'!$S$5,'Hypotheses expl (2)'!S76)+SUMIF('Hypotheses expl (2)'!T76,'Compte résultat prévi'!$S$5,'Hypotheses expl (2)'!U76)+SUMIF('Hypotheses expl (2)'!V76,'Compte résultat prévi'!$S$5,'Hypotheses expl (2)'!W76)+SUMIF('Hypotheses expl (2)'!X76,'Compte résultat prévi'!$S$5,'Hypotheses expl (2)'!Y76)+SUMIF('Hypotheses expl (2)'!Z76,'Compte résultat prévi'!$S$5,'Hypotheses expl (2)'!AA76)+SUMIF('Hypotheses expl (2)'!AB76,'Compte résultat prévi'!$S$5,'Hypotheses expl (2)'!AC76)</f>
        <v>0</v>
      </c>
      <c r="T25" s="202">
        <f>+SUMIF('Hypotheses expl (2)'!R76,'Compte résultat prévi'!$T$5,'Hypotheses expl (2)'!S76)+SUMIF('Hypotheses expl (2)'!T76,'Compte résultat prévi'!$T$5,'Hypotheses expl (2)'!U76)+SUMIF('Hypotheses expl (2)'!V76,'Compte résultat prévi'!$T$5,'Hypotheses expl (2)'!W76)+SUMIF('Hypotheses expl (2)'!X76,'Compte résultat prévi'!$T$5,'Hypotheses expl (2)'!Y76)+SUMIF('Hypotheses expl (2)'!Z76,'Compte résultat prévi'!$T$5,'Hypotheses expl (2)'!AA76)+SUMIF('Hypotheses expl (2)'!AB76,'Compte résultat prévi'!$T$5,'Hypotheses expl (2)'!AC76)</f>
        <v>0</v>
      </c>
      <c r="U25" s="203"/>
      <c r="V25" s="204"/>
    </row>
    <row r="26" hidden="1" outlineLevel="1">
      <c r="A26" s="198" t="str">
        <f>'Hypotheses expl'!A77</f>
        <v xml:space="preserve">Financeur 8</v>
      </c>
      <c r="B26" s="199"/>
      <c r="C26" s="200">
        <f>'Hypotheses expl'!B77</f>
        <v>0</v>
      </c>
      <c r="D26" s="201">
        <f>+SUMIF('Hypotheses expl'!R77,'Compte résultat prévi'!$D$5,'Hypotheses expl'!S77)+SUMIF('Hypotheses expl'!T77,'Compte résultat prévi'!$D$5,'Hypotheses expl'!U77)+SUMIF('Hypotheses expl'!V77,'Compte résultat prévi'!$D$5,'Hypotheses expl'!W77)+SUMIF('Hypotheses expl'!X77,'Compte résultat prévi'!$D$5,'Hypotheses expl'!Y77)+SUMIF('Hypotheses expl'!Z77,'Compte résultat prévi'!$D$5,'Hypotheses expl'!AA77)+SUMIF('Hypotheses expl'!AB77,'Compte résultat prévi'!$D$5,'Hypotheses expl'!AC77)</f>
        <v>0</v>
      </c>
      <c r="E26" s="201">
        <f>+SUMIF('Hypotheses expl'!R77,'Compte résultat prévi'!$E$5,'Hypotheses expl'!S77)+SUMIF('Hypotheses expl'!T77,'Compte résultat prévi'!$E$5,'Hypotheses expl'!U77)+SUMIF('Hypotheses expl'!V77,'Compte résultat prévi'!$E$5,'Hypotheses expl'!W77)+SUMIF('Hypotheses expl'!X77,'Compte résultat prévi'!$E$5,'Hypotheses expl'!Y77)+SUMIF('Hypotheses expl'!Z77,'Compte résultat prévi'!$E$5,'Hypotheses expl'!AA77)+SUMIF('Hypotheses expl'!AB77,'Compte résultat prévi'!$E$5,'Hypotheses expl'!AC77)</f>
        <v>0</v>
      </c>
      <c r="F26" s="201">
        <f>+SUMIF('Hypotheses expl'!R77,'Compte résultat prévi'!$F$5,'Hypotheses expl'!S77)+SUMIF('Hypotheses expl'!T77,'Compte résultat prévi'!$F$5,'Hypotheses expl'!U77)+SUMIF('Hypotheses expl'!V77,'Compte résultat prévi'!$F$5,'Hypotheses expl'!W77)+SUMIF('Hypotheses expl'!X77,'Compte résultat prévi'!$F$5,'Hypotheses expl'!Y77)+SUMIF('Hypotheses expl'!Z77,'Compte résultat prévi'!$F$5,'Hypotheses expl'!AA77)+SUMIF('Hypotheses expl'!AB77,'Compte résultat prévi'!$F$5,'Hypotheses expl'!AC77)</f>
        <v>0</v>
      </c>
      <c r="G26" s="201">
        <f>+SUMIF('Hypotheses expl'!R77,'Compte résultat prévi'!$G$5,'Hypotheses expl'!S77)+SUMIF('Hypotheses expl'!T77,'Compte résultat prévi'!$G$5,'Hypotheses expl'!U77)+SUMIF('Hypotheses expl'!V77,'Compte résultat prévi'!$G$5,'Hypotheses expl'!W77)+SUMIF('Hypotheses expl'!X77,'Compte résultat prévi'!$G$5,'Hypotheses expl'!Y77)+SUMIF('Hypotheses expl'!Z77,'Compte résultat prévi'!$G$5,'Hypotheses expl'!AA77)+SUMIF('Hypotheses expl'!AB77,'Compte résultat prévi'!$G$5,'Hypotheses expl'!AC77)</f>
        <v>0</v>
      </c>
      <c r="H26" s="202">
        <f>+SUMIF('Hypotheses expl'!R77,'Compte résultat prévi'!$H$5,'Hypotheses expl'!S77)+SUMIF('Hypotheses expl'!T77,'Compte résultat prévi'!$H$5,'Hypotheses expl'!U77)+SUMIF('Hypotheses expl'!V77,'Compte résultat prévi'!$H$5,'Hypotheses expl'!W77)+SUMIF('Hypotheses expl'!X77,'Compte résultat prévi'!$H$5,'Hypotheses expl'!Y77)+SUMIF('Hypotheses expl'!Z77,'Compte résultat prévi'!$H$5,'Hypotheses expl'!AA77)+SUMIF('Hypotheses expl'!AB77,'Compte résultat prévi'!$H$5,'Hypotheses expl'!AC77)</f>
        <v>0</v>
      </c>
      <c r="I26" s="200">
        <f>'Hypotheses expl (3,)'!B77</f>
        <v>0</v>
      </c>
      <c r="J26" s="201">
        <f>+SUMIF('Hypotheses expl (3,)'!R77,'Compte résultat prévi'!$J$5,'Hypotheses expl (3,)'!S77)+SUMIF('Hypotheses expl (3,)'!T77,'Compte résultat prévi'!$J$5,'Hypotheses expl (3,)'!U77)+SUMIF('Hypotheses expl (3,)'!V77,'Compte résultat prévi'!$J$5,'Hypotheses expl (3,)'!W77)+SUMIF('Hypotheses expl (3,)'!X77,'Compte résultat prévi'!$J$5,'Hypotheses expl (3,)'!Y77)+SUMIF('Hypotheses expl (3,)'!Z77,'Compte résultat prévi'!$J$5,'Hypotheses expl (3,)'!AA77)+SUMIF('Hypotheses expl (3,)'!AB77,'Compte résultat prévi'!$J$5,'Hypotheses expl (3,)'!AC77)</f>
        <v>0</v>
      </c>
      <c r="K26" s="201">
        <f>+SUMIF('Hypotheses expl (3,)'!R77,'Compte résultat prévi'!$K$5,'Hypotheses expl (3,)'!S77)+SUMIF('Hypotheses expl (3,)'!T77,'Compte résultat prévi'!$K$5,'Hypotheses expl (3,)'!U77)+SUMIF('Hypotheses expl (3,)'!V77,'Compte résultat prévi'!$K$5,'Hypotheses expl (3,)'!W77)+SUMIF('Hypotheses expl (3,)'!X77,'Compte résultat prévi'!$K$5,'Hypotheses expl (3,)'!Y77)+SUMIF('Hypotheses expl (3,)'!Z77,'Compte résultat prévi'!$K$5,'Hypotheses expl (3,)'!AA77)+SUMIF('Hypotheses expl (3,)'!AB77,'Compte résultat prévi'!$K$5,'Hypotheses expl (3,)'!AC77)</f>
        <v>0</v>
      </c>
      <c r="L26" s="201">
        <f>+SUMIF('Hypotheses expl (3,)'!R77,'Compte résultat prévi'!$L$5,'Hypotheses expl (3,)'!S77)+SUMIF('Hypotheses expl (3,)'!T77,'Compte résultat prévi'!$L$5,'Hypotheses expl (3,)'!U77)+SUMIF('Hypotheses expl (3,)'!V77,'Compte résultat prévi'!$L$5,'Hypotheses expl (3,)'!W77)+SUMIF('Hypotheses expl (3,)'!X77,'Compte résultat prévi'!$L$5,'Hypotheses expl (3,)'!Y77)+SUMIF('Hypotheses expl (3,)'!Z77,'Compte résultat prévi'!$L$5,'Hypotheses expl (3,)'!AA77)+SUMIF('Hypotheses expl (3,)'!AB77,'Compte résultat prévi'!$L$5,'Hypotheses expl (3,)'!AC77)</f>
        <v>0</v>
      </c>
      <c r="M26" s="201">
        <f>+SUMIF('Hypotheses expl (3,)'!R77,'Compte résultat prévi'!$M$5,'Hypotheses expl (3,)'!S77)+SUMIF('Hypotheses expl (3,)'!T77,'Compte résultat prévi'!$M$5,'Hypotheses expl (3,)'!U77)+SUMIF('Hypotheses expl (3,)'!V77,'Compte résultat prévi'!$M$5,'Hypotheses expl (3,)'!W77)+SUMIF('Hypotheses expl (3,)'!X77,'Compte résultat prévi'!$M$5,'Hypotheses expl (3,)'!Y77)+SUMIF('Hypotheses expl (3,)'!Z77,'Compte résultat prévi'!$M$5,'Hypotheses expl (3,)'!AA77)+SUMIF('Hypotheses expl (3,)'!AB77,'Compte résultat prévi'!$M$5,'Hypotheses expl (3,)'!AC77)</f>
        <v>0</v>
      </c>
      <c r="N26" s="202">
        <f>+SUMIF('Hypotheses expl (3,)'!R77,'Compte résultat prévi'!$N$5,'Hypotheses expl (3,)'!S77)+SUMIF('Hypotheses expl (3,)'!T77,'Compte résultat prévi'!$N$5,'Hypotheses expl (3,)'!U77)+SUMIF('Hypotheses expl (3,)'!V77,'Compte résultat prévi'!$N$5,'Hypotheses expl (3,)'!W77)+SUMIF('Hypotheses expl (3,)'!X77,'Compte résultat prévi'!$N$5,'Hypotheses expl (3,)'!Y77)+SUMIF('Hypotheses expl (3,)'!Z77,'Compte résultat prévi'!$N$5,'Hypotheses expl (3,)'!AA77)+SUMIF('Hypotheses expl (3,)'!AB77,'Compte résultat prévi'!$N$5,'Hypotheses expl (3,)'!AC77)</f>
        <v>0</v>
      </c>
      <c r="O26" s="200">
        <f>'Hypotheses expl (2)'!B77</f>
        <v>0</v>
      </c>
      <c r="P26" s="201">
        <f>+SUMIF('Hypotheses expl (2)'!R77,'Compte résultat prévi'!$P$5,'Hypotheses expl (2)'!S77)+SUMIF('Hypotheses expl (2)'!T77,'Compte résultat prévi'!$P$5,'Hypotheses expl (2)'!U77)+SUMIF('Hypotheses expl (2)'!V77,'Compte résultat prévi'!$P$5,'Hypotheses expl (2)'!W77)+SUMIF('Hypotheses expl (2)'!X77,'Compte résultat prévi'!$P$5,'Hypotheses expl (2)'!Y77)+SUMIF('Hypotheses expl (2)'!Z77,'Compte résultat prévi'!$P$5,'Hypotheses expl (2)'!AA77)+SUMIF('Hypotheses expl (2)'!AB77,'Compte résultat prévi'!$P$5,'Hypotheses expl (2)'!AC77)</f>
        <v>0</v>
      </c>
      <c r="Q26" s="201">
        <f>+SUMIF('Hypotheses expl (2)'!R77,'Compte résultat prévi'!$Q$5,'Hypotheses expl (2)'!S77)+SUMIF('Hypotheses expl (2)'!T77,'Compte résultat prévi'!$Q$5,'Hypotheses expl (2)'!U77)+SUMIF('Hypotheses expl (2)'!V77,'Compte résultat prévi'!$Q$5,'Hypotheses expl (2)'!W77)+SUMIF('Hypotheses expl (2)'!X77,'Compte résultat prévi'!$Q$5,'Hypotheses expl (2)'!Y77)+SUMIF('Hypotheses expl (2)'!Z77,'Compte résultat prévi'!$Q$5,'Hypotheses expl (2)'!AA77)+SUMIF('Hypotheses expl (2)'!AB77,'Compte résultat prévi'!$Q$5,'Hypotheses expl (2)'!AC77)</f>
        <v>0</v>
      </c>
      <c r="R26" s="201">
        <f>+SUMIF('Hypotheses expl (2)'!R77,'Compte résultat prévi'!$R$5,'Hypotheses expl (2)'!S77)+SUMIF('Hypotheses expl (2)'!T77,'Compte résultat prévi'!$R$5,'Hypotheses expl (2)'!U77)+SUMIF('Hypotheses expl (2)'!V77,'Compte résultat prévi'!$R$5,'Hypotheses expl (2)'!W77)+SUMIF('Hypotheses expl (2)'!X77,'Compte résultat prévi'!$R$5,'Hypotheses expl (2)'!Y77)+SUMIF('Hypotheses expl (2)'!Z77,'Compte résultat prévi'!$R$5,'Hypotheses expl (2)'!AA77)+SUMIF('Hypotheses expl (2)'!AB77,'Compte résultat prévi'!$R$5,'Hypotheses expl (2)'!AC77)</f>
        <v>0</v>
      </c>
      <c r="S26" s="201">
        <f>+SUMIF('Hypotheses expl (2)'!R77,'Compte résultat prévi'!$S$5,'Hypotheses expl (2)'!S77)+SUMIF('Hypotheses expl (2)'!T77,'Compte résultat prévi'!$S$5,'Hypotheses expl (2)'!U77)+SUMIF('Hypotheses expl (2)'!V77,'Compte résultat prévi'!$S$5,'Hypotheses expl (2)'!W77)+SUMIF('Hypotheses expl (2)'!X77,'Compte résultat prévi'!$S$5,'Hypotheses expl (2)'!Y77)+SUMIF('Hypotheses expl (2)'!Z77,'Compte résultat prévi'!$S$5,'Hypotheses expl (2)'!AA77)+SUMIF('Hypotheses expl (2)'!AB77,'Compte résultat prévi'!$S$5,'Hypotheses expl (2)'!AC77)</f>
        <v>0</v>
      </c>
      <c r="T26" s="202">
        <f>+SUMIF('Hypotheses expl (2)'!R77,'Compte résultat prévi'!$T$5,'Hypotheses expl (2)'!S77)+SUMIF('Hypotheses expl (2)'!T77,'Compte résultat prévi'!$T$5,'Hypotheses expl (2)'!U77)+SUMIF('Hypotheses expl (2)'!V77,'Compte résultat prévi'!$T$5,'Hypotheses expl (2)'!W77)+SUMIF('Hypotheses expl (2)'!X77,'Compte résultat prévi'!$T$5,'Hypotheses expl (2)'!Y77)+SUMIF('Hypotheses expl (2)'!Z77,'Compte résultat prévi'!$T$5,'Hypotheses expl (2)'!AA77)+SUMIF('Hypotheses expl (2)'!AB77,'Compte résultat prévi'!$T$5,'Hypotheses expl (2)'!AC77)</f>
        <v>0</v>
      </c>
      <c r="U26" s="203"/>
      <c r="V26" s="204"/>
    </row>
    <row r="27" hidden="1" outlineLevel="1">
      <c r="A27" s="198" t="str">
        <f>'Hypotheses expl'!A78</f>
        <v xml:space="preserve">Financeur 9</v>
      </c>
      <c r="B27" s="199"/>
      <c r="C27" s="200">
        <f>'Hypotheses expl'!B78</f>
        <v>0</v>
      </c>
      <c r="D27" s="201">
        <f>+SUMIF('Hypotheses expl'!R78,'Compte résultat prévi'!$D$5,'Hypotheses expl'!S78)+SUMIF('Hypotheses expl'!T78,'Compte résultat prévi'!$D$5,'Hypotheses expl'!U78)+SUMIF('Hypotheses expl'!V78,'Compte résultat prévi'!$D$5,'Hypotheses expl'!W78)+SUMIF('Hypotheses expl'!X78,'Compte résultat prévi'!$D$5,'Hypotheses expl'!Y78)+SUMIF('Hypotheses expl'!Z78,'Compte résultat prévi'!$D$5,'Hypotheses expl'!AA78)+SUMIF('Hypotheses expl'!AB78,'Compte résultat prévi'!$D$5,'Hypotheses expl'!AC78)</f>
        <v>0</v>
      </c>
      <c r="E27" s="201">
        <f>+SUMIF('Hypotheses expl'!R78,'Compte résultat prévi'!$E$5,'Hypotheses expl'!S78)+SUMIF('Hypotheses expl'!T78,'Compte résultat prévi'!$E$5,'Hypotheses expl'!U78)+SUMIF('Hypotheses expl'!V78,'Compte résultat prévi'!$E$5,'Hypotheses expl'!W78)+SUMIF('Hypotheses expl'!X78,'Compte résultat prévi'!$E$5,'Hypotheses expl'!Y78)+SUMIF('Hypotheses expl'!Z78,'Compte résultat prévi'!$E$5,'Hypotheses expl'!AA78)+SUMIF('Hypotheses expl'!AB78,'Compte résultat prévi'!$E$5,'Hypotheses expl'!AC78)</f>
        <v>0</v>
      </c>
      <c r="F27" s="201">
        <f>+SUMIF('Hypotheses expl'!R78,'Compte résultat prévi'!$F$5,'Hypotheses expl'!S78)+SUMIF('Hypotheses expl'!T78,'Compte résultat prévi'!$F$5,'Hypotheses expl'!U78)+SUMIF('Hypotheses expl'!V78,'Compte résultat prévi'!$F$5,'Hypotheses expl'!W78)+SUMIF('Hypotheses expl'!X78,'Compte résultat prévi'!$F$5,'Hypotheses expl'!Y78)+SUMIF('Hypotheses expl'!Z78,'Compte résultat prévi'!$F$5,'Hypotheses expl'!AA78)+SUMIF('Hypotheses expl'!AB78,'Compte résultat prévi'!$F$5,'Hypotheses expl'!AC78)</f>
        <v>0</v>
      </c>
      <c r="G27" s="201">
        <f>+SUMIF('Hypotheses expl'!R78,'Compte résultat prévi'!$G$5,'Hypotheses expl'!S78)+SUMIF('Hypotheses expl'!T78,'Compte résultat prévi'!$G$5,'Hypotheses expl'!U78)+SUMIF('Hypotheses expl'!V78,'Compte résultat prévi'!$G$5,'Hypotheses expl'!W78)+SUMIF('Hypotheses expl'!X78,'Compte résultat prévi'!$G$5,'Hypotheses expl'!Y78)+SUMIF('Hypotheses expl'!Z78,'Compte résultat prévi'!$G$5,'Hypotheses expl'!AA78)+SUMIF('Hypotheses expl'!AB78,'Compte résultat prévi'!$G$5,'Hypotheses expl'!AC78)</f>
        <v>0</v>
      </c>
      <c r="H27" s="202">
        <f>+SUMIF('Hypotheses expl'!R78,'Compte résultat prévi'!$H$5,'Hypotheses expl'!S78)+SUMIF('Hypotheses expl'!T78,'Compte résultat prévi'!$H$5,'Hypotheses expl'!U78)+SUMIF('Hypotheses expl'!V78,'Compte résultat prévi'!$H$5,'Hypotheses expl'!W78)+SUMIF('Hypotheses expl'!X78,'Compte résultat prévi'!$H$5,'Hypotheses expl'!Y78)+SUMIF('Hypotheses expl'!Z78,'Compte résultat prévi'!$H$5,'Hypotheses expl'!AA78)+SUMIF('Hypotheses expl'!AB78,'Compte résultat prévi'!$H$5,'Hypotheses expl'!AC78)</f>
        <v>0</v>
      </c>
      <c r="I27" s="200">
        <f>'Hypotheses expl (3,)'!B78</f>
        <v>0</v>
      </c>
      <c r="J27" s="201">
        <f>+SUMIF('Hypotheses expl (3,)'!R78,'Compte résultat prévi'!$J$5,'Hypotheses expl (3,)'!S78)+SUMIF('Hypotheses expl (3,)'!T78,'Compte résultat prévi'!$J$5,'Hypotheses expl (3,)'!U78)+SUMIF('Hypotheses expl (3,)'!V78,'Compte résultat prévi'!$J$5,'Hypotheses expl (3,)'!W78)+SUMIF('Hypotheses expl (3,)'!X78,'Compte résultat prévi'!$J$5,'Hypotheses expl (3,)'!Y78)+SUMIF('Hypotheses expl (3,)'!Z78,'Compte résultat prévi'!$J$5,'Hypotheses expl (3,)'!AA78)+SUMIF('Hypotheses expl (3,)'!AB78,'Compte résultat prévi'!$J$5,'Hypotheses expl (3,)'!AC78)</f>
        <v>0</v>
      </c>
      <c r="K27" s="201">
        <f>+SUMIF('Hypotheses expl (3,)'!R78,'Compte résultat prévi'!$K$5,'Hypotheses expl (3,)'!S78)+SUMIF('Hypotheses expl (3,)'!T78,'Compte résultat prévi'!$K$5,'Hypotheses expl (3,)'!U78)+SUMIF('Hypotheses expl (3,)'!V78,'Compte résultat prévi'!$K$5,'Hypotheses expl (3,)'!W78)+SUMIF('Hypotheses expl (3,)'!X78,'Compte résultat prévi'!$K$5,'Hypotheses expl (3,)'!Y78)+SUMIF('Hypotheses expl (3,)'!Z78,'Compte résultat prévi'!$K$5,'Hypotheses expl (3,)'!AA78)+SUMIF('Hypotheses expl (3,)'!AB78,'Compte résultat prévi'!$K$5,'Hypotheses expl (3,)'!AC78)</f>
        <v>0</v>
      </c>
      <c r="L27" s="201">
        <f>+SUMIF('Hypotheses expl (3,)'!R78,'Compte résultat prévi'!$L$5,'Hypotheses expl (3,)'!S78)+SUMIF('Hypotheses expl (3,)'!T78,'Compte résultat prévi'!$L$5,'Hypotheses expl (3,)'!U78)+SUMIF('Hypotheses expl (3,)'!V78,'Compte résultat prévi'!$L$5,'Hypotheses expl (3,)'!W78)+SUMIF('Hypotheses expl (3,)'!X78,'Compte résultat prévi'!$L$5,'Hypotheses expl (3,)'!Y78)+SUMIF('Hypotheses expl (3,)'!Z78,'Compte résultat prévi'!$L$5,'Hypotheses expl (3,)'!AA78)+SUMIF('Hypotheses expl (3,)'!AB78,'Compte résultat prévi'!$L$5,'Hypotheses expl (3,)'!AC78)</f>
        <v>0</v>
      </c>
      <c r="M27" s="201">
        <f>+SUMIF('Hypotheses expl (3,)'!R78,'Compte résultat prévi'!$M$5,'Hypotheses expl (3,)'!S78)+SUMIF('Hypotheses expl (3,)'!T78,'Compte résultat prévi'!$M$5,'Hypotheses expl (3,)'!U78)+SUMIF('Hypotheses expl (3,)'!V78,'Compte résultat prévi'!$M$5,'Hypotheses expl (3,)'!W78)+SUMIF('Hypotheses expl (3,)'!X78,'Compte résultat prévi'!$M$5,'Hypotheses expl (3,)'!Y78)+SUMIF('Hypotheses expl (3,)'!Z78,'Compte résultat prévi'!$M$5,'Hypotheses expl (3,)'!AA78)+SUMIF('Hypotheses expl (3,)'!AB78,'Compte résultat prévi'!$M$5,'Hypotheses expl (3,)'!AC78)</f>
        <v>0</v>
      </c>
      <c r="N27" s="202">
        <f>+SUMIF('Hypotheses expl (3,)'!R78,'Compte résultat prévi'!$N$5,'Hypotheses expl (3,)'!S78)+SUMIF('Hypotheses expl (3,)'!T78,'Compte résultat prévi'!$N$5,'Hypotheses expl (3,)'!U78)+SUMIF('Hypotheses expl (3,)'!V78,'Compte résultat prévi'!$N$5,'Hypotheses expl (3,)'!W78)+SUMIF('Hypotheses expl (3,)'!X78,'Compte résultat prévi'!$N$5,'Hypotheses expl (3,)'!Y78)+SUMIF('Hypotheses expl (3,)'!Z78,'Compte résultat prévi'!$N$5,'Hypotheses expl (3,)'!AA78)+SUMIF('Hypotheses expl (3,)'!AB78,'Compte résultat prévi'!$N$5,'Hypotheses expl (3,)'!AC78)</f>
        <v>0</v>
      </c>
      <c r="O27" s="200">
        <f>'Hypotheses expl (2)'!B78</f>
        <v>0</v>
      </c>
      <c r="P27" s="201">
        <f>+SUMIF('Hypotheses expl (2)'!R78,'Compte résultat prévi'!$P$5,'Hypotheses expl (2)'!S78)+SUMIF('Hypotheses expl (2)'!T78,'Compte résultat prévi'!$P$5,'Hypotheses expl (2)'!U78)+SUMIF('Hypotheses expl (2)'!V78,'Compte résultat prévi'!$P$5,'Hypotheses expl (2)'!W78)+SUMIF('Hypotheses expl (2)'!X78,'Compte résultat prévi'!$P$5,'Hypotheses expl (2)'!Y78)+SUMIF('Hypotheses expl (2)'!Z78,'Compte résultat prévi'!$P$5,'Hypotheses expl (2)'!AA78)+SUMIF('Hypotheses expl (2)'!AB78,'Compte résultat prévi'!$P$5,'Hypotheses expl (2)'!AC78)</f>
        <v>0</v>
      </c>
      <c r="Q27" s="201">
        <f>+SUMIF('Hypotheses expl (2)'!R78,'Compte résultat prévi'!$Q$5,'Hypotheses expl (2)'!S78)+SUMIF('Hypotheses expl (2)'!T78,'Compte résultat prévi'!$Q$5,'Hypotheses expl (2)'!U78)+SUMIF('Hypotheses expl (2)'!V78,'Compte résultat prévi'!$Q$5,'Hypotheses expl (2)'!W78)+SUMIF('Hypotheses expl (2)'!X78,'Compte résultat prévi'!$Q$5,'Hypotheses expl (2)'!Y78)+SUMIF('Hypotheses expl (2)'!Z78,'Compte résultat prévi'!$Q$5,'Hypotheses expl (2)'!AA78)+SUMIF('Hypotheses expl (2)'!AB78,'Compte résultat prévi'!$Q$5,'Hypotheses expl (2)'!AC78)</f>
        <v>0</v>
      </c>
      <c r="R27" s="201">
        <f>+SUMIF('Hypotheses expl (2)'!R78,'Compte résultat prévi'!$R$5,'Hypotheses expl (2)'!S78)+SUMIF('Hypotheses expl (2)'!T78,'Compte résultat prévi'!$R$5,'Hypotheses expl (2)'!U78)+SUMIF('Hypotheses expl (2)'!V78,'Compte résultat prévi'!$R$5,'Hypotheses expl (2)'!W78)+SUMIF('Hypotheses expl (2)'!X78,'Compte résultat prévi'!$R$5,'Hypotheses expl (2)'!Y78)+SUMIF('Hypotheses expl (2)'!Z78,'Compte résultat prévi'!$R$5,'Hypotheses expl (2)'!AA78)+SUMIF('Hypotheses expl (2)'!AB78,'Compte résultat prévi'!$R$5,'Hypotheses expl (2)'!AC78)</f>
        <v>0</v>
      </c>
      <c r="S27" s="201">
        <f>+SUMIF('Hypotheses expl (2)'!R78,'Compte résultat prévi'!$S$5,'Hypotheses expl (2)'!S78)+SUMIF('Hypotheses expl (2)'!T78,'Compte résultat prévi'!$S$5,'Hypotheses expl (2)'!U78)+SUMIF('Hypotheses expl (2)'!V78,'Compte résultat prévi'!$S$5,'Hypotheses expl (2)'!W78)+SUMIF('Hypotheses expl (2)'!X78,'Compte résultat prévi'!$S$5,'Hypotheses expl (2)'!Y78)+SUMIF('Hypotheses expl (2)'!Z78,'Compte résultat prévi'!$S$5,'Hypotheses expl (2)'!AA78)+SUMIF('Hypotheses expl (2)'!AB78,'Compte résultat prévi'!$S$5,'Hypotheses expl (2)'!AC78)</f>
        <v>0</v>
      </c>
      <c r="T27" s="202">
        <f>+SUMIF('Hypotheses expl (2)'!R78,'Compte résultat prévi'!$T$5,'Hypotheses expl (2)'!S78)+SUMIF('Hypotheses expl (2)'!T78,'Compte résultat prévi'!$T$5,'Hypotheses expl (2)'!U78)+SUMIF('Hypotheses expl (2)'!V78,'Compte résultat prévi'!$T$5,'Hypotheses expl (2)'!W78)+SUMIF('Hypotheses expl (2)'!X78,'Compte résultat prévi'!$T$5,'Hypotheses expl (2)'!Y78)+SUMIF('Hypotheses expl (2)'!Z78,'Compte résultat prévi'!$T$5,'Hypotheses expl (2)'!AA78)+SUMIF('Hypotheses expl (2)'!AB78,'Compte résultat prévi'!$T$5,'Hypotheses expl (2)'!AC78)</f>
        <v>0</v>
      </c>
      <c r="U27" s="203"/>
      <c r="V27" s="204"/>
    </row>
    <row r="28" hidden="1" outlineLevel="1">
      <c r="A28" s="198" t="str">
        <f>'Hypotheses expl'!A79</f>
        <v xml:space="preserve">Financeur 10</v>
      </c>
      <c r="B28" s="199"/>
      <c r="C28" s="200">
        <f>'Hypotheses expl'!B79</f>
        <v>0</v>
      </c>
      <c r="D28" s="201">
        <f>+SUMIF('Hypotheses expl'!R79,'Compte résultat prévi'!$D$5,'Hypotheses expl'!S79)+SUMIF('Hypotheses expl'!T79,'Compte résultat prévi'!$D$5,'Hypotheses expl'!U79)+SUMIF('Hypotheses expl'!V79,'Compte résultat prévi'!$D$5,'Hypotheses expl'!W79)+SUMIF('Hypotheses expl'!X79,'Compte résultat prévi'!$D$5,'Hypotheses expl'!Y79)+SUMIF('Hypotheses expl'!Z79,'Compte résultat prévi'!$D$5,'Hypotheses expl'!AA79)+SUMIF('Hypotheses expl'!AB79,'Compte résultat prévi'!$D$5,'Hypotheses expl'!AC79)</f>
        <v>0</v>
      </c>
      <c r="E28" s="201">
        <f>+SUMIF('Hypotheses expl'!R79,'Compte résultat prévi'!$E$5,'Hypotheses expl'!S79)+SUMIF('Hypotheses expl'!T79,'Compte résultat prévi'!$E$5,'Hypotheses expl'!U79)+SUMIF('Hypotheses expl'!V79,'Compte résultat prévi'!$E$5,'Hypotheses expl'!W79)+SUMIF('Hypotheses expl'!X79,'Compte résultat prévi'!$E$5,'Hypotheses expl'!Y79)+SUMIF('Hypotheses expl'!Z79,'Compte résultat prévi'!$E$5,'Hypotheses expl'!AA79)+SUMIF('Hypotheses expl'!AB79,'Compte résultat prévi'!$E$5,'Hypotheses expl'!AC79)</f>
        <v>0</v>
      </c>
      <c r="F28" s="201">
        <f>+SUMIF('Hypotheses expl'!R79,'Compte résultat prévi'!$F$5,'Hypotheses expl'!S79)+SUMIF('Hypotheses expl'!T79,'Compte résultat prévi'!$F$5,'Hypotheses expl'!U79)+SUMIF('Hypotheses expl'!V79,'Compte résultat prévi'!$F$5,'Hypotheses expl'!W79)+SUMIF('Hypotheses expl'!X79,'Compte résultat prévi'!$F$5,'Hypotheses expl'!Y79)+SUMIF('Hypotheses expl'!Z79,'Compte résultat prévi'!$F$5,'Hypotheses expl'!AA79)+SUMIF('Hypotheses expl'!AB79,'Compte résultat prévi'!$F$5,'Hypotheses expl'!AC79)</f>
        <v>0</v>
      </c>
      <c r="G28" s="201">
        <f>+SUMIF('Hypotheses expl'!R79,'Compte résultat prévi'!$G$5,'Hypotheses expl'!S79)+SUMIF('Hypotheses expl'!T79,'Compte résultat prévi'!$G$5,'Hypotheses expl'!U79)+SUMIF('Hypotheses expl'!V79,'Compte résultat prévi'!$G$5,'Hypotheses expl'!W79)+SUMIF('Hypotheses expl'!X79,'Compte résultat prévi'!$G$5,'Hypotheses expl'!Y79)+SUMIF('Hypotheses expl'!Z79,'Compte résultat prévi'!$G$5,'Hypotheses expl'!AA79)+SUMIF('Hypotheses expl'!AB79,'Compte résultat prévi'!$G$5,'Hypotheses expl'!AC79)</f>
        <v>0</v>
      </c>
      <c r="H28" s="202">
        <f>+SUMIF('Hypotheses expl'!R79,'Compte résultat prévi'!$H$5,'Hypotheses expl'!S79)+SUMIF('Hypotheses expl'!T79,'Compte résultat prévi'!$H$5,'Hypotheses expl'!U79)+SUMIF('Hypotheses expl'!V79,'Compte résultat prévi'!$H$5,'Hypotheses expl'!W79)+SUMIF('Hypotheses expl'!X79,'Compte résultat prévi'!$H$5,'Hypotheses expl'!Y79)+SUMIF('Hypotheses expl'!Z79,'Compte résultat prévi'!$H$5,'Hypotheses expl'!AA79)+SUMIF('Hypotheses expl'!AB79,'Compte résultat prévi'!$H$5,'Hypotheses expl'!AC79)</f>
        <v>0</v>
      </c>
      <c r="I28" s="200">
        <f>'Hypotheses expl (3,)'!B79</f>
        <v>0</v>
      </c>
      <c r="J28" s="201">
        <f>+SUMIF('Hypotheses expl (3,)'!R79,'Compte résultat prévi'!$J$5,'Hypotheses expl (3,)'!S79)+SUMIF('Hypotheses expl (3,)'!T79,'Compte résultat prévi'!$J$5,'Hypotheses expl (3,)'!U79)+SUMIF('Hypotheses expl (3,)'!V79,'Compte résultat prévi'!$J$5,'Hypotheses expl (3,)'!W79)+SUMIF('Hypotheses expl (3,)'!X79,'Compte résultat prévi'!$J$5,'Hypotheses expl (3,)'!Y79)+SUMIF('Hypotheses expl (3,)'!Z79,'Compte résultat prévi'!$J$5,'Hypotheses expl (3,)'!AA79)+SUMIF('Hypotheses expl (3,)'!AB79,'Compte résultat prévi'!$J$5,'Hypotheses expl (3,)'!AC79)</f>
        <v>0</v>
      </c>
      <c r="K28" s="201">
        <f>+SUMIF('Hypotheses expl (3,)'!R79,'Compte résultat prévi'!$K$5,'Hypotheses expl (3,)'!S79)+SUMIF('Hypotheses expl (3,)'!T79,'Compte résultat prévi'!$K$5,'Hypotheses expl (3,)'!U79)+SUMIF('Hypotheses expl (3,)'!V79,'Compte résultat prévi'!$K$5,'Hypotheses expl (3,)'!W79)+SUMIF('Hypotheses expl (3,)'!X79,'Compte résultat prévi'!$K$5,'Hypotheses expl (3,)'!Y79)+SUMIF('Hypotheses expl (3,)'!Z79,'Compte résultat prévi'!$K$5,'Hypotheses expl (3,)'!AA79)+SUMIF('Hypotheses expl (3,)'!AB79,'Compte résultat prévi'!$K$5,'Hypotheses expl (3,)'!AC79)</f>
        <v>0</v>
      </c>
      <c r="L28" s="201">
        <f>+SUMIF('Hypotheses expl (3,)'!R79,'Compte résultat prévi'!$L$5,'Hypotheses expl (3,)'!S79)+SUMIF('Hypotheses expl (3,)'!T79,'Compte résultat prévi'!$L$5,'Hypotheses expl (3,)'!U79)+SUMIF('Hypotheses expl (3,)'!V79,'Compte résultat prévi'!$L$5,'Hypotheses expl (3,)'!W79)+SUMIF('Hypotheses expl (3,)'!X79,'Compte résultat prévi'!$L$5,'Hypotheses expl (3,)'!Y79)+SUMIF('Hypotheses expl (3,)'!Z79,'Compte résultat prévi'!$L$5,'Hypotheses expl (3,)'!AA79)+SUMIF('Hypotheses expl (3,)'!AB79,'Compte résultat prévi'!$L$5,'Hypotheses expl (3,)'!AC79)</f>
        <v>0</v>
      </c>
      <c r="M28" s="201">
        <f>+SUMIF('Hypotheses expl (3,)'!R79,'Compte résultat prévi'!$M$5,'Hypotheses expl (3,)'!S79)+SUMIF('Hypotheses expl (3,)'!T79,'Compte résultat prévi'!$M$5,'Hypotheses expl (3,)'!U79)+SUMIF('Hypotheses expl (3,)'!V79,'Compte résultat prévi'!$M$5,'Hypotheses expl (3,)'!W79)+SUMIF('Hypotheses expl (3,)'!X79,'Compte résultat prévi'!$M$5,'Hypotheses expl (3,)'!Y79)+SUMIF('Hypotheses expl (3,)'!Z79,'Compte résultat prévi'!$M$5,'Hypotheses expl (3,)'!AA79)+SUMIF('Hypotheses expl (3,)'!AB79,'Compte résultat prévi'!$M$5,'Hypotheses expl (3,)'!AC79)</f>
        <v>0</v>
      </c>
      <c r="N28" s="202">
        <f>+SUMIF('Hypotheses expl (3,)'!R79,'Compte résultat prévi'!$N$5,'Hypotheses expl (3,)'!S79)+SUMIF('Hypotheses expl (3,)'!T79,'Compte résultat prévi'!$N$5,'Hypotheses expl (3,)'!U79)+SUMIF('Hypotheses expl (3,)'!V79,'Compte résultat prévi'!$N$5,'Hypotheses expl (3,)'!W79)+SUMIF('Hypotheses expl (3,)'!X79,'Compte résultat prévi'!$N$5,'Hypotheses expl (3,)'!Y79)+SUMIF('Hypotheses expl (3,)'!Z79,'Compte résultat prévi'!$N$5,'Hypotheses expl (3,)'!AA79)+SUMIF('Hypotheses expl (3,)'!AB79,'Compte résultat prévi'!$N$5,'Hypotheses expl (3,)'!AC79)</f>
        <v>0</v>
      </c>
      <c r="O28" s="200">
        <f>'Hypotheses expl (2)'!B79</f>
        <v>0</v>
      </c>
      <c r="P28" s="201">
        <f>+SUMIF('Hypotheses expl (2)'!R79,'Compte résultat prévi'!$P$5,'Hypotheses expl (2)'!S79)+SUMIF('Hypotheses expl (2)'!T79,'Compte résultat prévi'!$P$5,'Hypotheses expl (2)'!U79)+SUMIF('Hypotheses expl (2)'!V79,'Compte résultat prévi'!$P$5,'Hypotheses expl (2)'!W79)+SUMIF('Hypotheses expl (2)'!X79,'Compte résultat prévi'!$P$5,'Hypotheses expl (2)'!Y79)+SUMIF('Hypotheses expl (2)'!Z79,'Compte résultat prévi'!$P$5,'Hypotheses expl (2)'!AA79)+SUMIF('Hypotheses expl (2)'!AB79,'Compte résultat prévi'!$P$5,'Hypotheses expl (2)'!AC79)</f>
        <v>0</v>
      </c>
      <c r="Q28" s="201">
        <f>+SUMIF('Hypotheses expl (2)'!R79,'Compte résultat prévi'!$Q$5,'Hypotheses expl (2)'!S79)+SUMIF('Hypotheses expl (2)'!T79,'Compte résultat prévi'!$Q$5,'Hypotheses expl (2)'!U79)+SUMIF('Hypotheses expl (2)'!V79,'Compte résultat prévi'!$Q$5,'Hypotheses expl (2)'!W79)+SUMIF('Hypotheses expl (2)'!X79,'Compte résultat prévi'!$Q$5,'Hypotheses expl (2)'!Y79)+SUMIF('Hypotheses expl (2)'!Z79,'Compte résultat prévi'!$Q$5,'Hypotheses expl (2)'!AA79)+SUMIF('Hypotheses expl (2)'!AB79,'Compte résultat prévi'!$Q$5,'Hypotheses expl (2)'!AC79)</f>
        <v>0</v>
      </c>
      <c r="R28" s="201">
        <f>+SUMIF('Hypotheses expl (2)'!R79,'Compte résultat prévi'!$R$5,'Hypotheses expl (2)'!S79)+SUMIF('Hypotheses expl (2)'!T79,'Compte résultat prévi'!$R$5,'Hypotheses expl (2)'!U79)+SUMIF('Hypotheses expl (2)'!V79,'Compte résultat prévi'!$R$5,'Hypotheses expl (2)'!W79)+SUMIF('Hypotheses expl (2)'!X79,'Compte résultat prévi'!$R$5,'Hypotheses expl (2)'!Y79)+SUMIF('Hypotheses expl (2)'!Z79,'Compte résultat prévi'!$R$5,'Hypotheses expl (2)'!AA79)+SUMIF('Hypotheses expl (2)'!AB79,'Compte résultat prévi'!$R$5,'Hypotheses expl (2)'!AC79)</f>
        <v>0</v>
      </c>
      <c r="S28" s="201">
        <f>+SUMIF('Hypotheses expl (2)'!R79,'Compte résultat prévi'!$S$5,'Hypotheses expl (2)'!S79)+SUMIF('Hypotheses expl (2)'!T79,'Compte résultat prévi'!$S$5,'Hypotheses expl (2)'!U79)+SUMIF('Hypotheses expl (2)'!V79,'Compte résultat prévi'!$S$5,'Hypotheses expl (2)'!W79)+SUMIF('Hypotheses expl (2)'!X79,'Compte résultat prévi'!$S$5,'Hypotheses expl (2)'!Y79)+SUMIF('Hypotheses expl (2)'!Z79,'Compte résultat prévi'!$S$5,'Hypotheses expl (2)'!AA79)+SUMIF('Hypotheses expl (2)'!AB79,'Compte résultat prévi'!$S$5,'Hypotheses expl (2)'!AC79)</f>
        <v>0</v>
      </c>
      <c r="T28" s="202">
        <f>+SUMIF('Hypotheses expl (2)'!R79,'Compte résultat prévi'!$T$5,'Hypotheses expl (2)'!S79)+SUMIF('Hypotheses expl (2)'!T79,'Compte résultat prévi'!$T$5,'Hypotheses expl (2)'!U79)+SUMIF('Hypotheses expl (2)'!V79,'Compte résultat prévi'!$T$5,'Hypotheses expl (2)'!W79)+SUMIF('Hypotheses expl (2)'!X79,'Compte résultat prévi'!$T$5,'Hypotheses expl (2)'!Y79)+SUMIF('Hypotheses expl (2)'!Z79,'Compte résultat prévi'!$T$5,'Hypotheses expl (2)'!AA79)+SUMIF('Hypotheses expl (2)'!AB79,'Compte résultat prévi'!$T$5,'Hypotheses expl (2)'!AC79)</f>
        <v>0</v>
      </c>
      <c r="U28" s="203"/>
      <c r="V28" s="204"/>
    </row>
    <row r="29" hidden="1" outlineLevel="1">
      <c r="A29" s="198" t="str">
        <f>'Hypotheses expl'!A80</f>
        <v xml:space="preserve">Financeur 11</v>
      </c>
      <c r="B29" s="199"/>
      <c r="C29" s="200">
        <f>'Hypotheses expl'!B80</f>
        <v>0</v>
      </c>
      <c r="D29" s="201">
        <f>+SUMIF('Hypotheses expl'!R80,'Compte résultat prévi'!$D$5,'Hypotheses expl'!S80)+SUMIF('Hypotheses expl'!T80,'Compte résultat prévi'!$D$5,'Hypotheses expl'!U80)+SUMIF('Hypotheses expl'!V80,'Compte résultat prévi'!$D$5,'Hypotheses expl'!W80)+SUMIF('Hypotheses expl'!X80,'Compte résultat prévi'!$D$5,'Hypotheses expl'!Y80)+SUMIF('Hypotheses expl'!Z80,'Compte résultat prévi'!$D$5,'Hypotheses expl'!AA80)+SUMIF('Hypotheses expl'!AB80,'Compte résultat prévi'!$D$5,'Hypotheses expl'!AC80)</f>
        <v>0</v>
      </c>
      <c r="E29" s="201">
        <f>+SUMIF('Hypotheses expl'!R80,'Compte résultat prévi'!$E$5,'Hypotheses expl'!S80)+SUMIF('Hypotheses expl'!T80,'Compte résultat prévi'!$E$5,'Hypotheses expl'!U80)+SUMIF('Hypotheses expl'!V80,'Compte résultat prévi'!$E$5,'Hypotheses expl'!W80)+SUMIF('Hypotheses expl'!X80,'Compte résultat prévi'!$E$5,'Hypotheses expl'!Y80)+SUMIF('Hypotheses expl'!Z80,'Compte résultat prévi'!$E$5,'Hypotheses expl'!AA80)+SUMIF('Hypotheses expl'!AB80,'Compte résultat prévi'!$E$5,'Hypotheses expl'!AC80)</f>
        <v>0</v>
      </c>
      <c r="F29" s="201">
        <f>+SUMIF('Hypotheses expl'!R80,'Compte résultat prévi'!$F$5,'Hypotheses expl'!S80)+SUMIF('Hypotheses expl'!T80,'Compte résultat prévi'!$F$5,'Hypotheses expl'!U80)+SUMIF('Hypotheses expl'!V80,'Compte résultat prévi'!$F$5,'Hypotheses expl'!W80)+SUMIF('Hypotheses expl'!X80,'Compte résultat prévi'!$F$5,'Hypotheses expl'!Y80)+SUMIF('Hypotheses expl'!Z80,'Compte résultat prévi'!$F$5,'Hypotheses expl'!AA80)+SUMIF('Hypotheses expl'!AB80,'Compte résultat prévi'!$F$5,'Hypotheses expl'!AC80)</f>
        <v>0</v>
      </c>
      <c r="G29" s="201">
        <f>+SUMIF('Hypotheses expl'!R80,'Compte résultat prévi'!$G$5,'Hypotheses expl'!S80)+SUMIF('Hypotheses expl'!T80,'Compte résultat prévi'!$G$5,'Hypotheses expl'!U80)+SUMIF('Hypotheses expl'!V80,'Compte résultat prévi'!$G$5,'Hypotheses expl'!W80)+SUMIF('Hypotheses expl'!X80,'Compte résultat prévi'!$G$5,'Hypotheses expl'!Y80)+SUMIF('Hypotheses expl'!Z80,'Compte résultat prévi'!$G$5,'Hypotheses expl'!AA80)+SUMIF('Hypotheses expl'!AB80,'Compte résultat prévi'!$G$5,'Hypotheses expl'!AC80)</f>
        <v>0</v>
      </c>
      <c r="H29" s="202">
        <f>+SUMIF('Hypotheses expl'!R80,'Compte résultat prévi'!$H$5,'Hypotheses expl'!S80)+SUMIF('Hypotheses expl'!T80,'Compte résultat prévi'!$H$5,'Hypotheses expl'!U80)+SUMIF('Hypotheses expl'!V80,'Compte résultat prévi'!$H$5,'Hypotheses expl'!W80)+SUMIF('Hypotheses expl'!X80,'Compte résultat prévi'!$H$5,'Hypotheses expl'!Y80)+SUMIF('Hypotheses expl'!Z80,'Compte résultat prévi'!$H$5,'Hypotheses expl'!AA80)+SUMIF('Hypotheses expl'!AB80,'Compte résultat prévi'!$H$5,'Hypotheses expl'!AC80)</f>
        <v>0</v>
      </c>
      <c r="I29" s="200">
        <f>'Hypotheses expl (3,)'!B80</f>
        <v>0</v>
      </c>
      <c r="J29" s="201">
        <f>+SUMIF('Hypotheses expl (3,)'!R80,'Compte résultat prévi'!$J$5,'Hypotheses expl (3,)'!S80)+SUMIF('Hypotheses expl (3,)'!T80,'Compte résultat prévi'!$J$5,'Hypotheses expl (3,)'!U80)+SUMIF('Hypotheses expl (3,)'!V80,'Compte résultat prévi'!$J$5,'Hypotheses expl (3,)'!W80)+SUMIF('Hypotheses expl (3,)'!X80,'Compte résultat prévi'!$J$5,'Hypotheses expl (3,)'!Y80)+SUMIF('Hypotheses expl (3,)'!Z80,'Compte résultat prévi'!$J$5,'Hypotheses expl (3,)'!AA80)+SUMIF('Hypotheses expl (3,)'!AB80,'Compte résultat prévi'!$J$5,'Hypotheses expl (3,)'!AC80)</f>
        <v>0</v>
      </c>
      <c r="K29" s="201">
        <f>+SUMIF('Hypotheses expl (3,)'!R80,'Compte résultat prévi'!$K$5,'Hypotheses expl (3,)'!S80)+SUMIF('Hypotheses expl (3,)'!T80,'Compte résultat prévi'!$K$5,'Hypotheses expl (3,)'!U80)+SUMIF('Hypotheses expl (3,)'!V80,'Compte résultat prévi'!$K$5,'Hypotheses expl (3,)'!W80)+SUMIF('Hypotheses expl (3,)'!X80,'Compte résultat prévi'!$K$5,'Hypotheses expl (3,)'!Y80)+SUMIF('Hypotheses expl (3,)'!Z80,'Compte résultat prévi'!$K$5,'Hypotheses expl (3,)'!AA80)+SUMIF('Hypotheses expl (3,)'!AB80,'Compte résultat prévi'!$K$5,'Hypotheses expl (3,)'!AC80)</f>
        <v>0</v>
      </c>
      <c r="L29" s="201">
        <f>+SUMIF('Hypotheses expl (3,)'!R80,'Compte résultat prévi'!$L$5,'Hypotheses expl (3,)'!S80)+SUMIF('Hypotheses expl (3,)'!T80,'Compte résultat prévi'!$L$5,'Hypotheses expl (3,)'!U80)+SUMIF('Hypotheses expl (3,)'!V80,'Compte résultat prévi'!$L$5,'Hypotheses expl (3,)'!W80)+SUMIF('Hypotheses expl (3,)'!X80,'Compte résultat prévi'!$L$5,'Hypotheses expl (3,)'!Y80)+SUMIF('Hypotheses expl (3,)'!Z80,'Compte résultat prévi'!$L$5,'Hypotheses expl (3,)'!AA80)+SUMIF('Hypotheses expl (3,)'!AB80,'Compte résultat prévi'!$L$5,'Hypotheses expl (3,)'!AC80)</f>
        <v>0</v>
      </c>
      <c r="M29" s="201">
        <f>+SUMIF('Hypotheses expl (3,)'!R80,'Compte résultat prévi'!$M$5,'Hypotheses expl (3,)'!S80)+SUMIF('Hypotheses expl (3,)'!T80,'Compte résultat prévi'!$M$5,'Hypotheses expl (3,)'!U80)+SUMIF('Hypotheses expl (3,)'!V80,'Compte résultat prévi'!$M$5,'Hypotheses expl (3,)'!W80)+SUMIF('Hypotheses expl (3,)'!X80,'Compte résultat prévi'!$M$5,'Hypotheses expl (3,)'!Y80)+SUMIF('Hypotheses expl (3,)'!Z80,'Compte résultat prévi'!$M$5,'Hypotheses expl (3,)'!AA80)+SUMIF('Hypotheses expl (3,)'!AB80,'Compte résultat prévi'!$M$5,'Hypotheses expl (3,)'!AC80)</f>
        <v>0</v>
      </c>
      <c r="N29" s="202">
        <f>+SUMIF('Hypotheses expl (3,)'!R80,'Compte résultat prévi'!$N$5,'Hypotheses expl (3,)'!S80)+SUMIF('Hypotheses expl (3,)'!T80,'Compte résultat prévi'!$N$5,'Hypotheses expl (3,)'!U80)+SUMIF('Hypotheses expl (3,)'!V80,'Compte résultat prévi'!$N$5,'Hypotheses expl (3,)'!W80)+SUMIF('Hypotheses expl (3,)'!X80,'Compte résultat prévi'!$N$5,'Hypotheses expl (3,)'!Y80)+SUMIF('Hypotheses expl (3,)'!Z80,'Compte résultat prévi'!$N$5,'Hypotheses expl (3,)'!AA80)+SUMIF('Hypotheses expl (3,)'!AB80,'Compte résultat prévi'!$N$5,'Hypotheses expl (3,)'!AC80)</f>
        <v>0</v>
      </c>
      <c r="O29" s="200">
        <f>'Hypotheses expl (2)'!B80</f>
        <v>0</v>
      </c>
      <c r="P29" s="201">
        <f>+SUMIF('Hypotheses expl (2)'!R80,'Compte résultat prévi'!$P$5,'Hypotheses expl (2)'!S80)+SUMIF('Hypotheses expl (2)'!T80,'Compte résultat prévi'!$P$5,'Hypotheses expl (2)'!U80)+SUMIF('Hypotheses expl (2)'!V80,'Compte résultat prévi'!$P$5,'Hypotheses expl (2)'!W80)+SUMIF('Hypotheses expl (2)'!X80,'Compte résultat prévi'!$P$5,'Hypotheses expl (2)'!Y80)+SUMIF('Hypotheses expl (2)'!Z80,'Compte résultat prévi'!$P$5,'Hypotheses expl (2)'!AA80)+SUMIF('Hypotheses expl (2)'!AB80,'Compte résultat prévi'!$P$5,'Hypotheses expl (2)'!AC80)</f>
        <v>0</v>
      </c>
      <c r="Q29" s="201">
        <f>+SUMIF('Hypotheses expl (2)'!R80,'Compte résultat prévi'!$Q$5,'Hypotheses expl (2)'!S80)+SUMIF('Hypotheses expl (2)'!T80,'Compte résultat prévi'!$Q$5,'Hypotheses expl (2)'!U80)+SUMIF('Hypotheses expl (2)'!V80,'Compte résultat prévi'!$Q$5,'Hypotheses expl (2)'!W80)+SUMIF('Hypotheses expl (2)'!X80,'Compte résultat prévi'!$Q$5,'Hypotheses expl (2)'!Y80)+SUMIF('Hypotheses expl (2)'!Z80,'Compte résultat prévi'!$Q$5,'Hypotheses expl (2)'!AA80)+SUMIF('Hypotheses expl (2)'!AB80,'Compte résultat prévi'!$Q$5,'Hypotheses expl (2)'!AC80)</f>
        <v>0</v>
      </c>
      <c r="R29" s="201">
        <f>+SUMIF('Hypotheses expl (2)'!R80,'Compte résultat prévi'!$R$5,'Hypotheses expl (2)'!S80)+SUMIF('Hypotheses expl (2)'!T80,'Compte résultat prévi'!$R$5,'Hypotheses expl (2)'!U80)+SUMIF('Hypotheses expl (2)'!V80,'Compte résultat prévi'!$R$5,'Hypotheses expl (2)'!W80)+SUMIF('Hypotheses expl (2)'!X80,'Compte résultat prévi'!$R$5,'Hypotheses expl (2)'!Y80)+SUMIF('Hypotheses expl (2)'!Z80,'Compte résultat prévi'!$R$5,'Hypotheses expl (2)'!AA80)+SUMIF('Hypotheses expl (2)'!AB80,'Compte résultat prévi'!$R$5,'Hypotheses expl (2)'!AC80)</f>
        <v>0</v>
      </c>
      <c r="S29" s="201">
        <f>+SUMIF('Hypotheses expl (2)'!R80,'Compte résultat prévi'!$S$5,'Hypotheses expl (2)'!S80)+SUMIF('Hypotheses expl (2)'!T80,'Compte résultat prévi'!$S$5,'Hypotheses expl (2)'!U80)+SUMIF('Hypotheses expl (2)'!V80,'Compte résultat prévi'!$S$5,'Hypotheses expl (2)'!W80)+SUMIF('Hypotheses expl (2)'!X80,'Compte résultat prévi'!$S$5,'Hypotheses expl (2)'!Y80)+SUMIF('Hypotheses expl (2)'!Z80,'Compte résultat prévi'!$S$5,'Hypotheses expl (2)'!AA80)+SUMIF('Hypotheses expl (2)'!AB80,'Compte résultat prévi'!$S$5,'Hypotheses expl (2)'!AC80)</f>
        <v>0</v>
      </c>
      <c r="T29" s="202">
        <f>+SUMIF('Hypotheses expl (2)'!R80,'Compte résultat prévi'!$T$5,'Hypotheses expl (2)'!S80)+SUMIF('Hypotheses expl (2)'!T80,'Compte résultat prévi'!$T$5,'Hypotheses expl (2)'!U80)+SUMIF('Hypotheses expl (2)'!V80,'Compte résultat prévi'!$T$5,'Hypotheses expl (2)'!W80)+SUMIF('Hypotheses expl (2)'!X80,'Compte résultat prévi'!$T$5,'Hypotheses expl (2)'!Y80)+SUMIF('Hypotheses expl (2)'!Z80,'Compte résultat prévi'!$T$5,'Hypotheses expl (2)'!AA80)+SUMIF('Hypotheses expl (2)'!AB80,'Compte résultat prévi'!$T$5,'Hypotheses expl (2)'!AC80)</f>
        <v>0</v>
      </c>
      <c r="U29" s="203"/>
      <c r="V29" s="204"/>
    </row>
    <row r="30" hidden="1" outlineLevel="1">
      <c r="A30" s="198" t="str">
        <f>'Hypotheses expl'!A81</f>
        <v xml:space="preserve">Financeur 12</v>
      </c>
      <c r="B30" s="199"/>
      <c r="C30" s="200">
        <f>'Hypotheses expl'!B81</f>
        <v>0</v>
      </c>
      <c r="D30" s="201">
        <f>+SUMIF('Hypotheses expl'!R81,'Compte résultat prévi'!$D$5,'Hypotheses expl'!S81)+SUMIF('Hypotheses expl'!T81,'Compte résultat prévi'!$D$5,'Hypotheses expl'!U81)+SUMIF('Hypotheses expl'!V81,'Compte résultat prévi'!$D$5,'Hypotheses expl'!W81)+SUMIF('Hypotheses expl'!X81,'Compte résultat prévi'!$D$5,'Hypotheses expl'!Y81)+SUMIF('Hypotheses expl'!Z81,'Compte résultat prévi'!$D$5,'Hypotheses expl'!AA81)+SUMIF('Hypotheses expl'!AB81,'Compte résultat prévi'!$D$5,'Hypotheses expl'!AC81)</f>
        <v>0</v>
      </c>
      <c r="E30" s="201">
        <f>+SUMIF('Hypotheses expl'!R81,'Compte résultat prévi'!$E$5,'Hypotheses expl'!S81)+SUMIF('Hypotheses expl'!T81,'Compte résultat prévi'!$E$5,'Hypotheses expl'!U81)+SUMIF('Hypotheses expl'!V81,'Compte résultat prévi'!$E$5,'Hypotheses expl'!W81)+SUMIF('Hypotheses expl'!X81,'Compte résultat prévi'!$E$5,'Hypotheses expl'!Y81)+SUMIF('Hypotheses expl'!Z81,'Compte résultat prévi'!$E$5,'Hypotheses expl'!AA81)+SUMIF('Hypotheses expl'!AB81,'Compte résultat prévi'!$E$5,'Hypotheses expl'!AC81)</f>
        <v>0</v>
      </c>
      <c r="F30" s="201">
        <f>+SUMIF('Hypotheses expl'!R81,'Compte résultat prévi'!$F$5,'Hypotheses expl'!S81)+SUMIF('Hypotheses expl'!T81,'Compte résultat prévi'!$F$5,'Hypotheses expl'!U81)+SUMIF('Hypotheses expl'!V81,'Compte résultat prévi'!$F$5,'Hypotheses expl'!W81)+SUMIF('Hypotheses expl'!X81,'Compte résultat prévi'!$F$5,'Hypotheses expl'!Y81)+SUMIF('Hypotheses expl'!Z81,'Compte résultat prévi'!$F$5,'Hypotheses expl'!AA81)+SUMIF('Hypotheses expl'!AB81,'Compte résultat prévi'!$F$5,'Hypotheses expl'!AC81)</f>
        <v>0</v>
      </c>
      <c r="G30" s="201">
        <f>+SUMIF('Hypotheses expl'!R81,'Compte résultat prévi'!$G$5,'Hypotheses expl'!S81)+SUMIF('Hypotheses expl'!T81,'Compte résultat prévi'!$G$5,'Hypotheses expl'!U81)+SUMIF('Hypotheses expl'!V81,'Compte résultat prévi'!$G$5,'Hypotheses expl'!W81)+SUMIF('Hypotheses expl'!X81,'Compte résultat prévi'!$G$5,'Hypotheses expl'!Y81)+SUMIF('Hypotheses expl'!Z81,'Compte résultat prévi'!$G$5,'Hypotheses expl'!AA81)+SUMIF('Hypotheses expl'!AB81,'Compte résultat prévi'!$G$5,'Hypotheses expl'!AC81)</f>
        <v>0</v>
      </c>
      <c r="H30" s="202">
        <f>+SUMIF('Hypotheses expl'!R81,'Compte résultat prévi'!$H$5,'Hypotheses expl'!S81)+SUMIF('Hypotheses expl'!T81,'Compte résultat prévi'!$H$5,'Hypotheses expl'!U81)+SUMIF('Hypotheses expl'!V81,'Compte résultat prévi'!$H$5,'Hypotheses expl'!W81)+SUMIF('Hypotheses expl'!X81,'Compte résultat prévi'!$H$5,'Hypotheses expl'!Y81)+SUMIF('Hypotheses expl'!Z81,'Compte résultat prévi'!$H$5,'Hypotheses expl'!AA81)+SUMIF('Hypotheses expl'!AB81,'Compte résultat prévi'!$H$5,'Hypotheses expl'!AC81)</f>
        <v>0</v>
      </c>
      <c r="I30" s="200">
        <f>'Hypotheses expl (3,)'!B81</f>
        <v>0</v>
      </c>
      <c r="J30" s="201">
        <f>+SUMIF('Hypotheses expl (3,)'!R81,'Compte résultat prévi'!$J$5,'Hypotheses expl (3,)'!S81)+SUMIF('Hypotheses expl (3,)'!T81,'Compte résultat prévi'!$J$5,'Hypotheses expl (3,)'!U81)+SUMIF('Hypotheses expl (3,)'!V81,'Compte résultat prévi'!$J$5,'Hypotheses expl (3,)'!W81)+SUMIF('Hypotheses expl (3,)'!X81,'Compte résultat prévi'!$J$5,'Hypotheses expl (3,)'!Y81)+SUMIF('Hypotheses expl (3,)'!Z81,'Compte résultat prévi'!$J$5,'Hypotheses expl (3,)'!AA81)+SUMIF('Hypotheses expl (3,)'!AB81,'Compte résultat prévi'!$J$5,'Hypotheses expl (3,)'!AC81)</f>
        <v>0</v>
      </c>
      <c r="K30" s="201">
        <f>+SUMIF('Hypotheses expl (3,)'!R81,'Compte résultat prévi'!$K$5,'Hypotheses expl (3,)'!S81)+SUMIF('Hypotheses expl (3,)'!T81,'Compte résultat prévi'!$K$5,'Hypotheses expl (3,)'!U81)+SUMIF('Hypotheses expl (3,)'!V81,'Compte résultat prévi'!$K$5,'Hypotheses expl (3,)'!W81)+SUMIF('Hypotheses expl (3,)'!X81,'Compte résultat prévi'!$K$5,'Hypotheses expl (3,)'!Y81)+SUMIF('Hypotheses expl (3,)'!Z81,'Compte résultat prévi'!$K$5,'Hypotheses expl (3,)'!AA81)+SUMIF('Hypotheses expl (3,)'!AB81,'Compte résultat prévi'!$K$5,'Hypotheses expl (3,)'!AC81)</f>
        <v>0</v>
      </c>
      <c r="L30" s="201">
        <f>+SUMIF('Hypotheses expl (3,)'!R81,'Compte résultat prévi'!$L$5,'Hypotheses expl (3,)'!S81)+SUMIF('Hypotheses expl (3,)'!T81,'Compte résultat prévi'!$L$5,'Hypotheses expl (3,)'!U81)+SUMIF('Hypotheses expl (3,)'!V81,'Compte résultat prévi'!$L$5,'Hypotheses expl (3,)'!W81)+SUMIF('Hypotheses expl (3,)'!X81,'Compte résultat prévi'!$L$5,'Hypotheses expl (3,)'!Y81)+SUMIF('Hypotheses expl (3,)'!Z81,'Compte résultat prévi'!$L$5,'Hypotheses expl (3,)'!AA81)+SUMIF('Hypotheses expl (3,)'!AB81,'Compte résultat prévi'!$L$5,'Hypotheses expl (3,)'!AC81)</f>
        <v>0</v>
      </c>
      <c r="M30" s="201">
        <f>+SUMIF('Hypotheses expl (3,)'!R81,'Compte résultat prévi'!$M$5,'Hypotheses expl (3,)'!S81)+SUMIF('Hypotheses expl (3,)'!T81,'Compte résultat prévi'!$M$5,'Hypotheses expl (3,)'!U81)+SUMIF('Hypotheses expl (3,)'!V81,'Compte résultat prévi'!$M$5,'Hypotheses expl (3,)'!W81)+SUMIF('Hypotheses expl (3,)'!X81,'Compte résultat prévi'!$M$5,'Hypotheses expl (3,)'!Y81)+SUMIF('Hypotheses expl (3,)'!Z81,'Compte résultat prévi'!$M$5,'Hypotheses expl (3,)'!AA81)+SUMIF('Hypotheses expl (3,)'!AB81,'Compte résultat prévi'!$M$5,'Hypotheses expl (3,)'!AC81)</f>
        <v>0</v>
      </c>
      <c r="N30" s="202">
        <f>+SUMIF('Hypotheses expl (3,)'!R81,'Compte résultat prévi'!$N$5,'Hypotheses expl (3,)'!S81)+SUMIF('Hypotheses expl (3,)'!T81,'Compte résultat prévi'!$N$5,'Hypotheses expl (3,)'!U81)+SUMIF('Hypotheses expl (3,)'!V81,'Compte résultat prévi'!$N$5,'Hypotheses expl (3,)'!W81)+SUMIF('Hypotheses expl (3,)'!X81,'Compte résultat prévi'!$N$5,'Hypotheses expl (3,)'!Y81)+SUMIF('Hypotheses expl (3,)'!Z81,'Compte résultat prévi'!$N$5,'Hypotheses expl (3,)'!AA81)+SUMIF('Hypotheses expl (3,)'!AB81,'Compte résultat prévi'!$N$5,'Hypotheses expl (3,)'!AC81)</f>
        <v>0</v>
      </c>
      <c r="O30" s="200">
        <f>'Hypotheses expl (2)'!B81</f>
        <v>0</v>
      </c>
      <c r="P30" s="201">
        <f>+SUMIF('Hypotheses expl (2)'!R81,'Compte résultat prévi'!$P$5,'Hypotheses expl (2)'!S81)+SUMIF('Hypotheses expl (2)'!T81,'Compte résultat prévi'!$P$5,'Hypotheses expl (2)'!U81)+SUMIF('Hypotheses expl (2)'!V81,'Compte résultat prévi'!$P$5,'Hypotheses expl (2)'!W81)+SUMIF('Hypotheses expl (2)'!X81,'Compte résultat prévi'!$P$5,'Hypotheses expl (2)'!Y81)+SUMIF('Hypotheses expl (2)'!Z81,'Compte résultat prévi'!$P$5,'Hypotheses expl (2)'!AA81)+SUMIF('Hypotheses expl (2)'!AB81,'Compte résultat prévi'!$P$5,'Hypotheses expl (2)'!AC81)</f>
        <v>0</v>
      </c>
      <c r="Q30" s="201">
        <f>+SUMIF('Hypotheses expl (2)'!R81,'Compte résultat prévi'!$Q$5,'Hypotheses expl (2)'!S81)+SUMIF('Hypotheses expl (2)'!T81,'Compte résultat prévi'!$Q$5,'Hypotheses expl (2)'!U81)+SUMIF('Hypotheses expl (2)'!V81,'Compte résultat prévi'!$Q$5,'Hypotheses expl (2)'!W81)+SUMIF('Hypotheses expl (2)'!X81,'Compte résultat prévi'!$Q$5,'Hypotheses expl (2)'!Y81)+SUMIF('Hypotheses expl (2)'!Z81,'Compte résultat prévi'!$Q$5,'Hypotheses expl (2)'!AA81)+SUMIF('Hypotheses expl (2)'!AB81,'Compte résultat prévi'!$Q$5,'Hypotheses expl (2)'!AC81)</f>
        <v>0</v>
      </c>
      <c r="R30" s="201">
        <f>+SUMIF('Hypotheses expl (2)'!R81,'Compte résultat prévi'!$R$5,'Hypotheses expl (2)'!S81)+SUMIF('Hypotheses expl (2)'!T81,'Compte résultat prévi'!$R$5,'Hypotheses expl (2)'!U81)+SUMIF('Hypotheses expl (2)'!V81,'Compte résultat prévi'!$R$5,'Hypotheses expl (2)'!W81)+SUMIF('Hypotheses expl (2)'!X81,'Compte résultat prévi'!$R$5,'Hypotheses expl (2)'!Y81)+SUMIF('Hypotheses expl (2)'!Z81,'Compte résultat prévi'!$R$5,'Hypotheses expl (2)'!AA81)+SUMIF('Hypotheses expl (2)'!AB81,'Compte résultat prévi'!$R$5,'Hypotheses expl (2)'!AC81)</f>
        <v>0</v>
      </c>
      <c r="S30" s="201">
        <f>+SUMIF('Hypotheses expl (2)'!R81,'Compte résultat prévi'!$S$5,'Hypotheses expl (2)'!S81)+SUMIF('Hypotheses expl (2)'!T81,'Compte résultat prévi'!$S$5,'Hypotheses expl (2)'!U81)+SUMIF('Hypotheses expl (2)'!V81,'Compte résultat prévi'!$S$5,'Hypotheses expl (2)'!W81)+SUMIF('Hypotheses expl (2)'!X81,'Compte résultat prévi'!$S$5,'Hypotheses expl (2)'!Y81)+SUMIF('Hypotheses expl (2)'!Z81,'Compte résultat prévi'!$S$5,'Hypotheses expl (2)'!AA81)+SUMIF('Hypotheses expl (2)'!AB81,'Compte résultat prévi'!$S$5,'Hypotheses expl (2)'!AC81)</f>
        <v>0</v>
      </c>
      <c r="T30" s="202">
        <f>+SUMIF('Hypotheses expl (2)'!R81,'Compte résultat prévi'!$T$5,'Hypotheses expl (2)'!S81)+SUMIF('Hypotheses expl (2)'!T81,'Compte résultat prévi'!$T$5,'Hypotheses expl (2)'!U81)+SUMIF('Hypotheses expl (2)'!V81,'Compte résultat prévi'!$T$5,'Hypotheses expl (2)'!W81)+SUMIF('Hypotheses expl (2)'!X81,'Compte résultat prévi'!$T$5,'Hypotheses expl (2)'!Y81)+SUMIF('Hypotheses expl (2)'!Z81,'Compte résultat prévi'!$T$5,'Hypotheses expl (2)'!AA81)+SUMIF('Hypotheses expl (2)'!AB81,'Compte résultat prévi'!$T$5,'Hypotheses expl (2)'!AC81)</f>
        <v>0</v>
      </c>
      <c r="U30" s="203"/>
      <c r="V30" s="204"/>
    </row>
    <row r="31" hidden="1" outlineLevel="1">
      <c r="A31" s="198" t="str">
        <f>'Hypotheses expl'!A82</f>
        <v xml:space="preserve">Financeur 13</v>
      </c>
      <c r="B31" s="199"/>
      <c r="C31" s="200">
        <f>'Hypotheses expl'!B82</f>
        <v>0</v>
      </c>
      <c r="D31" s="201">
        <f>+SUMIF('Hypotheses expl'!R82,'Compte résultat prévi'!$D$5,'Hypotheses expl'!S82)+SUMIF('Hypotheses expl'!T82,'Compte résultat prévi'!$D$5,'Hypotheses expl'!U82)+SUMIF('Hypotheses expl'!V82,'Compte résultat prévi'!$D$5,'Hypotheses expl'!W82)+SUMIF('Hypotheses expl'!X82,'Compte résultat prévi'!$D$5,'Hypotheses expl'!Y82)+SUMIF('Hypotheses expl'!Z82,'Compte résultat prévi'!$D$5,'Hypotheses expl'!AA82)+SUMIF('Hypotheses expl'!AB82,'Compte résultat prévi'!$D$5,'Hypotheses expl'!AC82)</f>
        <v>0</v>
      </c>
      <c r="E31" s="201">
        <f>+SUMIF('Hypotheses expl'!R82,'Compte résultat prévi'!$E$5,'Hypotheses expl'!S82)+SUMIF('Hypotheses expl'!T82,'Compte résultat prévi'!$E$5,'Hypotheses expl'!U82)+SUMIF('Hypotheses expl'!V82,'Compte résultat prévi'!$E$5,'Hypotheses expl'!W82)+SUMIF('Hypotheses expl'!X82,'Compte résultat prévi'!$E$5,'Hypotheses expl'!Y82)+SUMIF('Hypotheses expl'!Z82,'Compte résultat prévi'!$E$5,'Hypotheses expl'!AA82)+SUMIF('Hypotheses expl'!AB82,'Compte résultat prévi'!$E$5,'Hypotheses expl'!AC82)</f>
        <v>0</v>
      </c>
      <c r="F31" s="201">
        <f>+SUMIF('Hypotheses expl'!R82,'Compte résultat prévi'!$F$5,'Hypotheses expl'!S82)+SUMIF('Hypotheses expl'!T82,'Compte résultat prévi'!$F$5,'Hypotheses expl'!U82)+SUMIF('Hypotheses expl'!V82,'Compte résultat prévi'!$F$5,'Hypotheses expl'!W82)+SUMIF('Hypotheses expl'!X82,'Compte résultat prévi'!$F$5,'Hypotheses expl'!Y82)+SUMIF('Hypotheses expl'!Z82,'Compte résultat prévi'!$F$5,'Hypotheses expl'!AA82)+SUMIF('Hypotheses expl'!AB82,'Compte résultat prévi'!$F$5,'Hypotheses expl'!AC82)</f>
        <v>0</v>
      </c>
      <c r="G31" s="201">
        <f>+SUMIF('Hypotheses expl'!R82,'Compte résultat prévi'!$G$5,'Hypotheses expl'!S82)+SUMIF('Hypotheses expl'!T82,'Compte résultat prévi'!$G$5,'Hypotheses expl'!U82)+SUMIF('Hypotheses expl'!V82,'Compte résultat prévi'!$G$5,'Hypotheses expl'!W82)+SUMIF('Hypotheses expl'!X82,'Compte résultat prévi'!$G$5,'Hypotheses expl'!Y82)+SUMIF('Hypotheses expl'!Z82,'Compte résultat prévi'!$G$5,'Hypotheses expl'!AA82)+SUMIF('Hypotheses expl'!AB82,'Compte résultat prévi'!$G$5,'Hypotheses expl'!AC82)</f>
        <v>0</v>
      </c>
      <c r="H31" s="202">
        <f>+SUMIF('Hypotheses expl'!R82,'Compte résultat prévi'!$H$5,'Hypotheses expl'!S82)+SUMIF('Hypotheses expl'!T82,'Compte résultat prévi'!$H$5,'Hypotheses expl'!U82)+SUMIF('Hypotheses expl'!V82,'Compte résultat prévi'!$H$5,'Hypotheses expl'!W82)+SUMIF('Hypotheses expl'!X82,'Compte résultat prévi'!$H$5,'Hypotheses expl'!Y82)+SUMIF('Hypotheses expl'!Z82,'Compte résultat prévi'!$H$5,'Hypotheses expl'!AA82)+SUMIF('Hypotheses expl'!AB82,'Compte résultat prévi'!$H$5,'Hypotheses expl'!AC82)</f>
        <v>0</v>
      </c>
      <c r="I31" s="200">
        <f>'Hypotheses expl (3,)'!B82</f>
        <v>0</v>
      </c>
      <c r="J31" s="201">
        <f>+SUMIF('Hypotheses expl (3,)'!R82,'Compte résultat prévi'!$J$5,'Hypotheses expl (3,)'!S82)+SUMIF('Hypotheses expl (3,)'!T82,'Compte résultat prévi'!$J$5,'Hypotheses expl (3,)'!U82)+SUMIF('Hypotheses expl (3,)'!V82,'Compte résultat prévi'!$J$5,'Hypotheses expl (3,)'!W82)+SUMIF('Hypotheses expl (3,)'!X82,'Compte résultat prévi'!$J$5,'Hypotheses expl (3,)'!Y82)+SUMIF('Hypotheses expl (3,)'!Z82,'Compte résultat prévi'!$J$5,'Hypotheses expl (3,)'!AA82)+SUMIF('Hypotheses expl (3,)'!AB82,'Compte résultat prévi'!$J$5,'Hypotheses expl (3,)'!AC82)</f>
        <v>0</v>
      </c>
      <c r="K31" s="201">
        <f>+SUMIF('Hypotheses expl (3,)'!R82,'Compte résultat prévi'!$K$5,'Hypotheses expl (3,)'!S82)+SUMIF('Hypotheses expl (3,)'!T82,'Compte résultat prévi'!$K$5,'Hypotheses expl (3,)'!U82)+SUMIF('Hypotheses expl (3,)'!V82,'Compte résultat prévi'!$K$5,'Hypotheses expl (3,)'!W82)+SUMIF('Hypotheses expl (3,)'!X82,'Compte résultat prévi'!$K$5,'Hypotheses expl (3,)'!Y82)+SUMIF('Hypotheses expl (3,)'!Z82,'Compte résultat prévi'!$K$5,'Hypotheses expl (3,)'!AA82)+SUMIF('Hypotheses expl (3,)'!AB82,'Compte résultat prévi'!$K$5,'Hypotheses expl (3,)'!AC82)</f>
        <v>0</v>
      </c>
      <c r="L31" s="201">
        <f>+SUMIF('Hypotheses expl (3,)'!R82,'Compte résultat prévi'!$L$5,'Hypotheses expl (3,)'!S82)+SUMIF('Hypotheses expl (3,)'!T82,'Compte résultat prévi'!$L$5,'Hypotheses expl (3,)'!U82)+SUMIF('Hypotheses expl (3,)'!V82,'Compte résultat prévi'!$L$5,'Hypotheses expl (3,)'!W82)+SUMIF('Hypotheses expl (3,)'!X82,'Compte résultat prévi'!$L$5,'Hypotheses expl (3,)'!Y82)+SUMIF('Hypotheses expl (3,)'!Z82,'Compte résultat prévi'!$L$5,'Hypotheses expl (3,)'!AA82)+SUMIF('Hypotheses expl (3,)'!AB82,'Compte résultat prévi'!$L$5,'Hypotheses expl (3,)'!AC82)</f>
        <v>0</v>
      </c>
      <c r="M31" s="201">
        <f>+SUMIF('Hypotheses expl (3,)'!R82,'Compte résultat prévi'!$M$5,'Hypotheses expl (3,)'!S82)+SUMIF('Hypotheses expl (3,)'!T82,'Compte résultat prévi'!$M$5,'Hypotheses expl (3,)'!U82)+SUMIF('Hypotheses expl (3,)'!V82,'Compte résultat prévi'!$M$5,'Hypotheses expl (3,)'!W82)+SUMIF('Hypotheses expl (3,)'!X82,'Compte résultat prévi'!$M$5,'Hypotheses expl (3,)'!Y82)+SUMIF('Hypotheses expl (3,)'!Z82,'Compte résultat prévi'!$M$5,'Hypotheses expl (3,)'!AA82)+SUMIF('Hypotheses expl (3,)'!AB82,'Compte résultat prévi'!$M$5,'Hypotheses expl (3,)'!AC82)</f>
        <v>0</v>
      </c>
      <c r="N31" s="202">
        <f>+SUMIF('Hypotheses expl (3,)'!R82,'Compte résultat prévi'!$N$5,'Hypotheses expl (3,)'!S82)+SUMIF('Hypotheses expl (3,)'!T82,'Compte résultat prévi'!$N$5,'Hypotheses expl (3,)'!U82)+SUMIF('Hypotheses expl (3,)'!V82,'Compte résultat prévi'!$N$5,'Hypotheses expl (3,)'!W82)+SUMIF('Hypotheses expl (3,)'!X82,'Compte résultat prévi'!$N$5,'Hypotheses expl (3,)'!Y82)+SUMIF('Hypotheses expl (3,)'!Z82,'Compte résultat prévi'!$N$5,'Hypotheses expl (3,)'!AA82)+SUMIF('Hypotheses expl (3,)'!AB82,'Compte résultat prévi'!$N$5,'Hypotheses expl (3,)'!AC82)</f>
        <v>0</v>
      </c>
      <c r="O31" s="200">
        <f>'Hypotheses expl (2)'!B82</f>
        <v>0</v>
      </c>
      <c r="P31" s="201">
        <f>+SUMIF('Hypotheses expl (2)'!R82,'Compte résultat prévi'!$P$5,'Hypotheses expl (2)'!S82)+SUMIF('Hypotheses expl (2)'!T82,'Compte résultat prévi'!$P$5,'Hypotheses expl (2)'!U82)+SUMIF('Hypotheses expl (2)'!V82,'Compte résultat prévi'!$P$5,'Hypotheses expl (2)'!W82)+SUMIF('Hypotheses expl (2)'!X82,'Compte résultat prévi'!$P$5,'Hypotheses expl (2)'!Y82)+SUMIF('Hypotheses expl (2)'!Z82,'Compte résultat prévi'!$P$5,'Hypotheses expl (2)'!AA82)+SUMIF('Hypotheses expl (2)'!AB82,'Compte résultat prévi'!$P$5,'Hypotheses expl (2)'!AC82)</f>
        <v>0</v>
      </c>
      <c r="Q31" s="201">
        <f>+SUMIF('Hypotheses expl (2)'!R82,'Compte résultat prévi'!$Q$5,'Hypotheses expl (2)'!S82)+SUMIF('Hypotheses expl (2)'!T82,'Compte résultat prévi'!$Q$5,'Hypotheses expl (2)'!U82)+SUMIF('Hypotheses expl (2)'!V82,'Compte résultat prévi'!$Q$5,'Hypotheses expl (2)'!W82)+SUMIF('Hypotheses expl (2)'!X82,'Compte résultat prévi'!$Q$5,'Hypotheses expl (2)'!Y82)+SUMIF('Hypotheses expl (2)'!Z82,'Compte résultat prévi'!$Q$5,'Hypotheses expl (2)'!AA82)+SUMIF('Hypotheses expl (2)'!AB82,'Compte résultat prévi'!$Q$5,'Hypotheses expl (2)'!AC82)</f>
        <v>0</v>
      </c>
      <c r="R31" s="201">
        <f>+SUMIF('Hypotheses expl (2)'!R82,'Compte résultat prévi'!$R$5,'Hypotheses expl (2)'!S82)+SUMIF('Hypotheses expl (2)'!T82,'Compte résultat prévi'!$R$5,'Hypotheses expl (2)'!U82)+SUMIF('Hypotheses expl (2)'!V82,'Compte résultat prévi'!$R$5,'Hypotheses expl (2)'!W82)+SUMIF('Hypotheses expl (2)'!X82,'Compte résultat prévi'!$R$5,'Hypotheses expl (2)'!Y82)+SUMIF('Hypotheses expl (2)'!Z82,'Compte résultat prévi'!$R$5,'Hypotheses expl (2)'!AA82)+SUMIF('Hypotheses expl (2)'!AB82,'Compte résultat prévi'!$R$5,'Hypotheses expl (2)'!AC82)</f>
        <v>0</v>
      </c>
      <c r="S31" s="201">
        <f>+SUMIF('Hypotheses expl (2)'!R82,'Compte résultat prévi'!$S$5,'Hypotheses expl (2)'!S82)+SUMIF('Hypotheses expl (2)'!T82,'Compte résultat prévi'!$S$5,'Hypotheses expl (2)'!U82)+SUMIF('Hypotheses expl (2)'!V82,'Compte résultat prévi'!$S$5,'Hypotheses expl (2)'!W82)+SUMIF('Hypotheses expl (2)'!X82,'Compte résultat prévi'!$S$5,'Hypotheses expl (2)'!Y82)+SUMIF('Hypotheses expl (2)'!Z82,'Compte résultat prévi'!$S$5,'Hypotheses expl (2)'!AA82)+SUMIF('Hypotheses expl (2)'!AB82,'Compte résultat prévi'!$S$5,'Hypotheses expl (2)'!AC82)</f>
        <v>0</v>
      </c>
      <c r="T31" s="202">
        <f>+SUMIF('Hypotheses expl (2)'!R82,'Compte résultat prévi'!$T$5,'Hypotheses expl (2)'!S82)+SUMIF('Hypotheses expl (2)'!T82,'Compte résultat prévi'!$T$5,'Hypotheses expl (2)'!U82)+SUMIF('Hypotheses expl (2)'!V82,'Compte résultat prévi'!$T$5,'Hypotheses expl (2)'!W82)+SUMIF('Hypotheses expl (2)'!X82,'Compte résultat prévi'!$T$5,'Hypotheses expl (2)'!Y82)+SUMIF('Hypotheses expl (2)'!Z82,'Compte résultat prévi'!$T$5,'Hypotheses expl (2)'!AA82)+SUMIF('Hypotheses expl (2)'!AB82,'Compte résultat prévi'!$T$5,'Hypotheses expl (2)'!AC82)</f>
        <v>0</v>
      </c>
      <c r="U31" s="203"/>
      <c r="V31" s="204"/>
    </row>
    <row r="32" hidden="1" outlineLevel="1">
      <c r="A32" s="198" t="str">
        <f>'Hypotheses expl'!A83</f>
        <v xml:space="preserve">Financeur 14</v>
      </c>
      <c r="B32" s="199"/>
      <c r="C32" s="200">
        <f>'Hypotheses expl'!B83</f>
        <v>0</v>
      </c>
      <c r="D32" s="201">
        <f>+SUMIF('Hypotheses expl'!R83,'Compte résultat prévi'!$D$5,'Hypotheses expl'!S83)+SUMIF('Hypotheses expl'!T83,'Compte résultat prévi'!$D$5,'Hypotheses expl'!U83)+SUMIF('Hypotheses expl'!V83,'Compte résultat prévi'!$D$5,'Hypotheses expl'!W83)+SUMIF('Hypotheses expl'!X83,'Compte résultat prévi'!$D$5,'Hypotheses expl'!Y83)+SUMIF('Hypotheses expl'!Z83,'Compte résultat prévi'!$D$5,'Hypotheses expl'!AA83)+SUMIF('Hypotheses expl'!AB83,'Compte résultat prévi'!$D$5,'Hypotheses expl'!AC83)</f>
        <v>0</v>
      </c>
      <c r="E32" s="201">
        <f>+SUMIF('Hypotheses expl'!R83,'Compte résultat prévi'!$E$5,'Hypotheses expl'!S83)+SUMIF('Hypotheses expl'!T83,'Compte résultat prévi'!$E$5,'Hypotheses expl'!U83)+SUMIF('Hypotheses expl'!V83,'Compte résultat prévi'!$E$5,'Hypotheses expl'!W83)+SUMIF('Hypotheses expl'!X83,'Compte résultat prévi'!$E$5,'Hypotheses expl'!Y83)+SUMIF('Hypotheses expl'!Z83,'Compte résultat prévi'!$E$5,'Hypotheses expl'!AA83)+SUMIF('Hypotheses expl'!AB83,'Compte résultat prévi'!$E$5,'Hypotheses expl'!AC83)</f>
        <v>0</v>
      </c>
      <c r="F32" s="201">
        <f>+SUMIF('Hypotheses expl'!R83,'Compte résultat prévi'!$F$5,'Hypotheses expl'!S83)+SUMIF('Hypotheses expl'!T83,'Compte résultat prévi'!$F$5,'Hypotheses expl'!U83)+SUMIF('Hypotheses expl'!V83,'Compte résultat prévi'!$F$5,'Hypotheses expl'!W83)+SUMIF('Hypotheses expl'!X83,'Compte résultat prévi'!$F$5,'Hypotheses expl'!Y83)+SUMIF('Hypotheses expl'!Z83,'Compte résultat prévi'!$F$5,'Hypotheses expl'!AA83)+SUMIF('Hypotheses expl'!AB83,'Compte résultat prévi'!$F$5,'Hypotheses expl'!AC83)</f>
        <v>0</v>
      </c>
      <c r="G32" s="201">
        <f>+SUMIF('Hypotheses expl'!R83,'Compte résultat prévi'!$G$5,'Hypotheses expl'!S83)+SUMIF('Hypotheses expl'!T83,'Compte résultat prévi'!$G$5,'Hypotheses expl'!U83)+SUMIF('Hypotheses expl'!V83,'Compte résultat prévi'!$G$5,'Hypotheses expl'!W83)+SUMIF('Hypotheses expl'!X83,'Compte résultat prévi'!$G$5,'Hypotheses expl'!Y83)+SUMIF('Hypotheses expl'!Z83,'Compte résultat prévi'!$G$5,'Hypotheses expl'!AA83)+SUMIF('Hypotheses expl'!AB83,'Compte résultat prévi'!$G$5,'Hypotheses expl'!AC83)</f>
        <v>0</v>
      </c>
      <c r="H32" s="202">
        <f>+SUMIF('Hypotheses expl'!R83,'Compte résultat prévi'!$H$5,'Hypotheses expl'!S83)+SUMIF('Hypotheses expl'!T83,'Compte résultat prévi'!$H$5,'Hypotheses expl'!U83)+SUMIF('Hypotheses expl'!V83,'Compte résultat prévi'!$H$5,'Hypotheses expl'!W83)+SUMIF('Hypotheses expl'!X83,'Compte résultat prévi'!$H$5,'Hypotheses expl'!Y83)+SUMIF('Hypotheses expl'!Z83,'Compte résultat prévi'!$H$5,'Hypotheses expl'!AA83)+SUMIF('Hypotheses expl'!AB83,'Compte résultat prévi'!$H$5,'Hypotheses expl'!AC83)</f>
        <v>0</v>
      </c>
      <c r="I32" s="200">
        <f>'Hypotheses expl (3,)'!B83</f>
        <v>0</v>
      </c>
      <c r="J32" s="201">
        <f>+SUMIF('Hypotheses expl (3,)'!R83,'Compte résultat prévi'!$J$5,'Hypotheses expl (3,)'!S83)+SUMIF('Hypotheses expl (3,)'!T83,'Compte résultat prévi'!$J$5,'Hypotheses expl (3,)'!U83)+SUMIF('Hypotheses expl (3,)'!V83,'Compte résultat prévi'!$J$5,'Hypotheses expl (3,)'!W83)+SUMIF('Hypotheses expl (3,)'!X83,'Compte résultat prévi'!$J$5,'Hypotheses expl (3,)'!Y83)+SUMIF('Hypotheses expl (3,)'!Z83,'Compte résultat prévi'!$J$5,'Hypotheses expl (3,)'!AA83)+SUMIF('Hypotheses expl (3,)'!AB83,'Compte résultat prévi'!$J$5,'Hypotheses expl (3,)'!AC83)</f>
        <v>0</v>
      </c>
      <c r="K32" s="201">
        <f>+SUMIF('Hypotheses expl (3,)'!R83,'Compte résultat prévi'!$K$5,'Hypotheses expl (3,)'!S83)+SUMIF('Hypotheses expl (3,)'!T83,'Compte résultat prévi'!$K$5,'Hypotheses expl (3,)'!U83)+SUMIF('Hypotheses expl (3,)'!V83,'Compte résultat prévi'!$K$5,'Hypotheses expl (3,)'!W83)+SUMIF('Hypotheses expl (3,)'!X83,'Compte résultat prévi'!$K$5,'Hypotheses expl (3,)'!Y83)+SUMIF('Hypotheses expl (3,)'!Z83,'Compte résultat prévi'!$K$5,'Hypotheses expl (3,)'!AA83)+SUMIF('Hypotheses expl (3,)'!AB83,'Compte résultat prévi'!$K$5,'Hypotheses expl (3,)'!AC83)</f>
        <v>0</v>
      </c>
      <c r="L32" s="201">
        <f>+SUMIF('Hypotheses expl (3,)'!R83,'Compte résultat prévi'!$L$5,'Hypotheses expl (3,)'!S83)+SUMIF('Hypotheses expl (3,)'!T83,'Compte résultat prévi'!$L$5,'Hypotheses expl (3,)'!U83)+SUMIF('Hypotheses expl (3,)'!V83,'Compte résultat prévi'!$L$5,'Hypotheses expl (3,)'!W83)+SUMIF('Hypotheses expl (3,)'!X83,'Compte résultat prévi'!$L$5,'Hypotheses expl (3,)'!Y83)+SUMIF('Hypotheses expl (3,)'!Z83,'Compte résultat prévi'!$L$5,'Hypotheses expl (3,)'!AA83)+SUMIF('Hypotheses expl (3,)'!AB83,'Compte résultat prévi'!$L$5,'Hypotheses expl (3,)'!AC83)</f>
        <v>0</v>
      </c>
      <c r="M32" s="201">
        <f>+SUMIF('Hypotheses expl (3,)'!R83,'Compte résultat prévi'!$M$5,'Hypotheses expl (3,)'!S83)+SUMIF('Hypotheses expl (3,)'!T83,'Compte résultat prévi'!$M$5,'Hypotheses expl (3,)'!U83)+SUMIF('Hypotheses expl (3,)'!V83,'Compte résultat prévi'!$M$5,'Hypotheses expl (3,)'!W83)+SUMIF('Hypotheses expl (3,)'!X83,'Compte résultat prévi'!$M$5,'Hypotheses expl (3,)'!Y83)+SUMIF('Hypotheses expl (3,)'!Z83,'Compte résultat prévi'!$M$5,'Hypotheses expl (3,)'!AA83)+SUMIF('Hypotheses expl (3,)'!AB83,'Compte résultat prévi'!$M$5,'Hypotheses expl (3,)'!AC83)</f>
        <v>0</v>
      </c>
      <c r="N32" s="202">
        <f>+SUMIF('Hypotheses expl (3,)'!R83,'Compte résultat prévi'!$N$5,'Hypotheses expl (3,)'!S83)+SUMIF('Hypotheses expl (3,)'!T83,'Compte résultat prévi'!$N$5,'Hypotheses expl (3,)'!U83)+SUMIF('Hypotheses expl (3,)'!V83,'Compte résultat prévi'!$N$5,'Hypotheses expl (3,)'!W83)+SUMIF('Hypotheses expl (3,)'!X83,'Compte résultat prévi'!$N$5,'Hypotheses expl (3,)'!Y83)+SUMIF('Hypotheses expl (3,)'!Z83,'Compte résultat prévi'!$N$5,'Hypotheses expl (3,)'!AA83)+SUMIF('Hypotheses expl (3,)'!AB83,'Compte résultat prévi'!$N$5,'Hypotheses expl (3,)'!AC83)</f>
        <v>0</v>
      </c>
      <c r="O32" s="200">
        <f>'Hypotheses expl (2)'!B83</f>
        <v>0</v>
      </c>
      <c r="P32" s="201">
        <f>+SUMIF('Hypotheses expl (2)'!R83,'Compte résultat prévi'!$P$5,'Hypotheses expl (2)'!S83)+SUMIF('Hypotheses expl (2)'!T83,'Compte résultat prévi'!$P$5,'Hypotheses expl (2)'!U83)+SUMIF('Hypotheses expl (2)'!V83,'Compte résultat prévi'!$P$5,'Hypotheses expl (2)'!W83)+SUMIF('Hypotheses expl (2)'!X83,'Compte résultat prévi'!$P$5,'Hypotheses expl (2)'!Y83)+SUMIF('Hypotheses expl (2)'!Z83,'Compte résultat prévi'!$P$5,'Hypotheses expl (2)'!AA83)+SUMIF('Hypotheses expl (2)'!AB83,'Compte résultat prévi'!$P$5,'Hypotheses expl (2)'!AC83)</f>
        <v>0</v>
      </c>
      <c r="Q32" s="201">
        <f>+SUMIF('Hypotheses expl (2)'!R83,'Compte résultat prévi'!$Q$5,'Hypotheses expl (2)'!S83)+SUMIF('Hypotheses expl (2)'!T83,'Compte résultat prévi'!$Q$5,'Hypotheses expl (2)'!U83)+SUMIF('Hypotheses expl (2)'!V83,'Compte résultat prévi'!$Q$5,'Hypotheses expl (2)'!W83)+SUMIF('Hypotheses expl (2)'!X83,'Compte résultat prévi'!$Q$5,'Hypotheses expl (2)'!Y83)+SUMIF('Hypotheses expl (2)'!Z83,'Compte résultat prévi'!$Q$5,'Hypotheses expl (2)'!AA83)+SUMIF('Hypotheses expl (2)'!AB83,'Compte résultat prévi'!$Q$5,'Hypotheses expl (2)'!AC83)</f>
        <v>0</v>
      </c>
      <c r="R32" s="201">
        <f>+SUMIF('Hypotheses expl (2)'!R83,'Compte résultat prévi'!$R$5,'Hypotheses expl (2)'!S83)+SUMIF('Hypotheses expl (2)'!T83,'Compte résultat prévi'!$R$5,'Hypotheses expl (2)'!U83)+SUMIF('Hypotheses expl (2)'!V83,'Compte résultat prévi'!$R$5,'Hypotheses expl (2)'!W83)+SUMIF('Hypotheses expl (2)'!X83,'Compte résultat prévi'!$R$5,'Hypotheses expl (2)'!Y83)+SUMIF('Hypotheses expl (2)'!Z83,'Compte résultat prévi'!$R$5,'Hypotheses expl (2)'!AA83)+SUMIF('Hypotheses expl (2)'!AB83,'Compte résultat prévi'!$R$5,'Hypotheses expl (2)'!AC83)</f>
        <v>0</v>
      </c>
      <c r="S32" s="201">
        <f>+SUMIF('Hypotheses expl (2)'!R83,'Compte résultat prévi'!$S$5,'Hypotheses expl (2)'!S83)+SUMIF('Hypotheses expl (2)'!T83,'Compte résultat prévi'!$S$5,'Hypotheses expl (2)'!U83)+SUMIF('Hypotheses expl (2)'!V83,'Compte résultat prévi'!$S$5,'Hypotheses expl (2)'!W83)+SUMIF('Hypotheses expl (2)'!X83,'Compte résultat prévi'!$S$5,'Hypotheses expl (2)'!Y83)+SUMIF('Hypotheses expl (2)'!Z83,'Compte résultat prévi'!$S$5,'Hypotheses expl (2)'!AA83)+SUMIF('Hypotheses expl (2)'!AB83,'Compte résultat prévi'!$S$5,'Hypotheses expl (2)'!AC83)</f>
        <v>0</v>
      </c>
      <c r="T32" s="202">
        <f>+SUMIF('Hypotheses expl (2)'!R83,'Compte résultat prévi'!$T$5,'Hypotheses expl (2)'!S83)+SUMIF('Hypotheses expl (2)'!T83,'Compte résultat prévi'!$T$5,'Hypotheses expl (2)'!U83)+SUMIF('Hypotheses expl (2)'!V83,'Compte résultat prévi'!$T$5,'Hypotheses expl (2)'!W83)+SUMIF('Hypotheses expl (2)'!X83,'Compte résultat prévi'!$T$5,'Hypotheses expl (2)'!Y83)+SUMIF('Hypotheses expl (2)'!Z83,'Compte résultat prévi'!$T$5,'Hypotheses expl (2)'!AA83)+SUMIF('Hypotheses expl (2)'!AB83,'Compte résultat prévi'!$T$5,'Hypotheses expl (2)'!AC83)</f>
        <v>0</v>
      </c>
      <c r="U32" s="203"/>
      <c r="V32" s="204"/>
    </row>
    <row r="33" hidden="1" outlineLevel="1">
      <c r="A33" s="198" t="str">
        <f>'Hypotheses expl'!A84</f>
        <v xml:space="preserve">Financeur 15</v>
      </c>
      <c r="B33" s="199"/>
      <c r="C33" s="200">
        <f>'Hypotheses expl'!B84</f>
        <v>0</v>
      </c>
      <c r="D33" s="201">
        <f>+SUMIF('Hypotheses expl'!R84,'Compte résultat prévi'!$D$5,'Hypotheses expl'!S84)+SUMIF('Hypotheses expl'!T84,'Compte résultat prévi'!$D$5,'Hypotheses expl'!U84)+SUMIF('Hypotheses expl'!V84,'Compte résultat prévi'!$D$5,'Hypotheses expl'!W84)+SUMIF('Hypotheses expl'!X84,'Compte résultat prévi'!$D$5,'Hypotheses expl'!Y84)+SUMIF('Hypotheses expl'!Z84,'Compte résultat prévi'!$D$5,'Hypotheses expl'!AA84)+SUMIF('Hypotheses expl'!AB84,'Compte résultat prévi'!$D$5,'Hypotheses expl'!AC84)</f>
        <v>0</v>
      </c>
      <c r="E33" s="201">
        <f>+SUMIF('Hypotheses expl'!R84,'Compte résultat prévi'!$E$5,'Hypotheses expl'!S84)+SUMIF('Hypotheses expl'!T84,'Compte résultat prévi'!$E$5,'Hypotheses expl'!U84)+SUMIF('Hypotheses expl'!V84,'Compte résultat prévi'!$E$5,'Hypotheses expl'!W84)+SUMIF('Hypotheses expl'!X84,'Compte résultat prévi'!$E$5,'Hypotheses expl'!Y84)+SUMIF('Hypotheses expl'!Z84,'Compte résultat prévi'!$E$5,'Hypotheses expl'!AA84)+SUMIF('Hypotheses expl'!AB84,'Compte résultat prévi'!$E$5,'Hypotheses expl'!AC84)</f>
        <v>0</v>
      </c>
      <c r="F33" s="201">
        <f>+SUMIF('Hypotheses expl'!R84,'Compte résultat prévi'!$F$5,'Hypotheses expl'!S84)+SUMIF('Hypotheses expl'!T84,'Compte résultat prévi'!$F$5,'Hypotheses expl'!U84)+SUMIF('Hypotheses expl'!V84,'Compte résultat prévi'!$F$5,'Hypotheses expl'!W84)+SUMIF('Hypotheses expl'!X84,'Compte résultat prévi'!$F$5,'Hypotheses expl'!Y84)+SUMIF('Hypotheses expl'!Z84,'Compte résultat prévi'!$F$5,'Hypotheses expl'!AA84)+SUMIF('Hypotheses expl'!AB84,'Compte résultat prévi'!$F$5,'Hypotheses expl'!AC84)</f>
        <v>0</v>
      </c>
      <c r="G33" s="201">
        <f>+SUMIF('Hypotheses expl'!R84,'Compte résultat prévi'!$G$5,'Hypotheses expl'!S84)+SUMIF('Hypotheses expl'!T84,'Compte résultat prévi'!$G$5,'Hypotheses expl'!U84)+SUMIF('Hypotheses expl'!V84,'Compte résultat prévi'!$G$5,'Hypotheses expl'!W84)+SUMIF('Hypotheses expl'!X84,'Compte résultat prévi'!$G$5,'Hypotheses expl'!Y84)+SUMIF('Hypotheses expl'!Z84,'Compte résultat prévi'!$G$5,'Hypotheses expl'!AA84)+SUMIF('Hypotheses expl'!AB84,'Compte résultat prévi'!$G$5,'Hypotheses expl'!AC84)</f>
        <v>0</v>
      </c>
      <c r="H33" s="202">
        <f>+SUMIF('Hypotheses expl'!R84,'Compte résultat prévi'!$H$5,'Hypotheses expl'!S84)+SUMIF('Hypotheses expl'!T84,'Compte résultat prévi'!$H$5,'Hypotheses expl'!U84)+SUMIF('Hypotheses expl'!V84,'Compte résultat prévi'!$H$5,'Hypotheses expl'!W84)+SUMIF('Hypotheses expl'!X84,'Compte résultat prévi'!$H$5,'Hypotheses expl'!Y84)+SUMIF('Hypotheses expl'!Z84,'Compte résultat prévi'!$H$5,'Hypotheses expl'!AA84)+SUMIF('Hypotheses expl'!AB84,'Compte résultat prévi'!$H$5,'Hypotheses expl'!AC84)</f>
        <v>0</v>
      </c>
      <c r="I33" s="200">
        <f>'Hypotheses expl (3,)'!B84</f>
        <v>0</v>
      </c>
      <c r="J33" s="201">
        <f>+SUMIF('Hypotheses expl (3,)'!R84,'Compte résultat prévi'!$J$5,'Hypotheses expl (3,)'!S84)+SUMIF('Hypotheses expl (3,)'!T84,'Compte résultat prévi'!$J$5,'Hypotheses expl (3,)'!U84)+SUMIF('Hypotheses expl (3,)'!V84,'Compte résultat prévi'!$J$5,'Hypotheses expl (3,)'!W84)+SUMIF('Hypotheses expl (3,)'!X84,'Compte résultat prévi'!$J$5,'Hypotheses expl (3,)'!Y84)+SUMIF('Hypotheses expl (3,)'!Z84,'Compte résultat prévi'!$J$5,'Hypotheses expl (3,)'!AA84)+SUMIF('Hypotheses expl (3,)'!AB84,'Compte résultat prévi'!$J$5,'Hypotheses expl (3,)'!AC84)</f>
        <v>0</v>
      </c>
      <c r="K33" s="201">
        <f>+SUMIF('Hypotheses expl (3,)'!R84,'Compte résultat prévi'!$K$5,'Hypotheses expl (3,)'!S84)+SUMIF('Hypotheses expl (3,)'!T84,'Compte résultat prévi'!$K$5,'Hypotheses expl (3,)'!U84)+SUMIF('Hypotheses expl (3,)'!V84,'Compte résultat prévi'!$K$5,'Hypotheses expl (3,)'!W84)+SUMIF('Hypotheses expl (3,)'!X84,'Compte résultat prévi'!$K$5,'Hypotheses expl (3,)'!Y84)+SUMIF('Hypotheses expl (3,)'!Z84,'Compte résultat prévi'!$K$5,'Hypotheses expl (3,)'!AA84)+SUMIF('Hypotheses expl (3,)'!AB84,'Compte résultat prévi'!$K$5,'Hypotheses expl (3,)'!AC84)</f>
        <v>0</v>
      </c>
      <c r="L33" s="201">
        <f>+SUMIF('Hypotheses expl (3,)'!R84,'Compte résultat prévi'!$L$5,'Hypotheses expl (3,)'!S84)+SUMIF('Hypotheses expl (3,)'!T84,'Compte résultat prévi'!$L$5,'Hypotheses expl (3,)'!U84)+SUMIF('Hypotheses expl (3,)'!V84,'Compte résultat prévi'!$L$5,'Hypotheses expl (3,)'!W84)+SUMIF('Hypotheses expl (3,)'!X84,'Compte résultat prévi'!$L$5,'Hypotheses expl (3,)'!Y84)+SUMIF('Hypotheses expl (3,)'!Z84,'Compte résultat prévi'!$L$5,'Hypotheses expl (3,)'!AA84)+SUMIF('Hypotheses expl (3,)'!AB84,'Compte résultat prévi'!$L$5,'Hypotheses expl (3,)'!AC84)</f>
        <v>0</v>
      </c>
      <c r="M33" s="201">
        <f>+SUMIF('Hypotheses expl (3,)'!R84,'Compte résultat prévi'!$M$5,'Hypotheses expl (3,)'!S84)+SUMIF('Hypotheses expl (3,)'!T84,'Compte résultat prévi'!$M$5,'Hypotheses expl (3,)'!U84)+SUMIF('Hypotheses expl (3,)'!V84,'Compte résultat prévi'!$M$5,'Hypotheses expl (3,)'!W84)+SUMIF('Hypotheses expl (3,)'!X84,'Compte résultat prévi'!$M$5,'Hypotheses expl (3,)'!Y84)+SUMIF('Hypotheses expl (3,)'!Z84,'Compte résultat prévi'!$M$5,'Hypotheses expl (3,)'!AA84)+SUMIF('Hypotheses expl (3,)'!AB84,'Compte résultat prévi'!$M$5,'Hypotheses expl (3,)'!AC84)</f>
        <v>0</v>
      </c>
      <c r="N33" s="202">
        <f>+SUMIF('Hypotheses expl (3,)'!R84,'Compte résultat prévi'!$N$5,'Hypotheses expl (3,)'!S84)+SUMIF('Hypotheses expl (3,)'!T84,'Compte résultat prévi'!$N$5,'Hypotheses expl (3,)'!U84)+SUMIF('Hypotheses expl (3,)'!V84,'Compte résultat prévi'!$N$5,'Hypotheses expl (3,)'!W84)+SUMIF('Hypotheses expl (3,)'!X84,'Compte résultat prévi'!$N$5,'Hypotheses expl (3,)'!Y84)+SUMIF('Hypotheses expl (3,)'!Z84,'Compte résultat prévi'!$N$5,'Hypotheses expl (3,)'!AA84)+SUMIF('Hypotheses expl (3,)'!AB84,'Compte résultat prévi'!$N$5,'Hypotheses expl (3,)'!AC84)</f>
        <v>0</v>
      </c>
      <c r="O33" s="200">
        <f>'Hypotheses expl (2)'!B84</f>
        <v>0</v>
      </c>
      <c r="P33" s="201">
        <f>+SUMIF('Hypotheses expl (2)'!R84,'Compte résultat prévi'!$P$5,'Hypotheses expl (2)'!S84)+SUMIF('Hypotheses expl (2)'!T84,'Compte résultat prévi'!$P$5,'Hypotheses expl (2)'!U84)+SUMIF('Hypotheses expl (2)'!V84,'Compte résultat prévi'!$P$5,'Hypotheses expl (2)'!W84)+SUMIF('Hypotheses expl (2)'!X84,'Compte résultat prévi'!$P$5,'Hypotheses expl (2)'!Y84)+SUMIF('Hypotheses expl (2)'!Z84,'Compte résultat prévi'!$P$5,'Hypotheses expl (2)'!AA84)+SUMIF('Hypotheses expl (2)'!AB84,'Compte résultat prévi'!$P$5,'Hypotheses expl (2)'!AC84)</f>
        <v>0</v>
      </c>
      <c r="Q33" s="201">
        <f>+SUMIF('Hypotheses expl (2)'!R84,'Compte résultat prévi'!$Q$5,'Hypotheses expl (2)'!S84)+SUMIF('Hypotheses expl (2)'!T84,'Compte résultat prévi'!$Q$5,'Hypotheses expl (2)'!U84)+SUMIF('Hypotheses expl (2)'!V84,'Compte résultat prévi'!$Q$5,'Hypotheses expl (2)'!W84)+SUMIF('Hypotheses expl (2)'!X84,'Compte résultat prévi'!$Q$5,'Hypotheses expl (2)'!Y84)+SUMIF('Hypotheses expl (2)'!Z84,'Compte résultat prévi'!$Q$5,'Hypotheses expl (2)'!AA84)+SUMIF('Hypotheses expl (2)'!AB84,'Compte résultat prévi'!$Q$5,'Hypotheses expl (2)'!AC84)</f>
        <v>0</v>
      </c>
      <c r="R33" s="201">
        <f>+SUMIF('Hypotheses expl (2)'!R84,'Compte résultat prévi'!$R$5,'Hypotheses expl (2)'!S84)+SUMIF('Hypotheses expl (2)'!T84,'Compte résultat prévi'!$R$5,'Hypotheses expl (2)'!U84)+SUMIF('Hypotheses expl (2)'!V84,'Compte résultat prévi'!$R$5,'Hypotheses expl (2)'!W84)+SUMIF('Hypotheses expl (2)'!X84,'Compte résultat prévi'!$R$5,'Hypotheses expl (2)'!Y84)+SUMIF('Hypotheses expl (2)'!Z84,'Compte résultat prévi'!$R$5,'Hypotheses expl (2)'!AA84)+SUMIF('Hypotheses expl (2)'!AB84,'Compte résultat prévi'!$R$5,'Hypotheses expl (2)'!AC84)</f>
        <v>0</v>
      </c>
      <c r="S33" s="201">
        <f>+SUMIF('Hypotheses expl (2)'!R84,'Compte résultat prévi'!$S$5,'Hypotheses expl (2)'!S84)+SUMIF('Hypotheses expl (2)'!T84,'Compte résultat prévi'!$S$5,'Hypotheses expl (2)'!U84)+SUMIF('Hypotheses expl (2)'!V84,'Compte résultat prévi'!$S$5,'Hypotheses expl (2)'!W84)+SUMIF('Hypotheses expl (2)'!X84,'Compte résultat prévi'!$S$5,'Hypotheses expl (2)'!Y84)+SUMIF('Hypotheses expl (2)'!Z84,'Compte résultat prévi'!$S$5,'Hypotheses expl (2)'!AA84)+SUMIF('Hypotheses expl (2)'!AB84,'Compte résultat prévi'!$S$5,'Hypotheses expl (2)'!AC84)</f>
        <v>0</v>
      </c>
      <c r="T33" s="202">
        <f>+SUMIF('Hypotheses expl (2)'!R84,'Compte résultat prévi'!$T$5,'Hypotheses expl (2)'!S84)+SUMIF('Hypotheses expl (2)'!T84,'Compte résultat prévi'!$T$5,'Hypotheses expl (2)'!U84)+SUMIF('Hypotheses expl (2)'!V84,'Compte résultat prévi'!$T$5,'Hypotheses expl (2)'!W84)+SUMIF('Hypotheses expl (2)'!X84,'Compte résultat prévi'!$T$5,'Hypotheses expl (2)'!Y84)+SUMIF('Hypotheses expl (2)'!Z84,'Compte résultat prévi'!$T$5,'Hypotheses expl (2)'!AA84)+SUMIF('Hypotheses expl (2)'!AB84,'Compte résultat prévi'!$T$5,'Hypotheses expl (2)'!AC84)</f>
        <v>0</v>
      </c>
      <c r="U33" s="203"/>
      <c r="V33" s="204"/>
    </row>
    <row r="34" hidden="1" outlineLevel="1">
      <c r="A34" s="210" t="str">
        <f>'Hypotheses expl'!A85</f>
        <v xml:space="preserve">Financeur 16</v>
      </c>
      <c r="B34" s="211"/>
      <c r="C34" s="200">
        <f>'Hypotheses expl'!B85</f>
        <v>0</v>
      </c>
      <c r="D34" s="201">
        <f>+SUMIF('Hypotheses expl'!R85,'Compte résultat prévi'!$D$5,'Hypotheses expl'!S85)+SUMIF('Hypotheses expl'!T85,'Compte résultat prévi'!$D$5,'Hypotheses expl'!U85)+SUMIF('Hypotheses expl'!V85,'Compte résultat prévi'!$D$5,'Hypotheses expl'!W85)+SUMIF('Hypotheses expl'!X85,'Compte résultat prévi'!$D$5,'Hypotheses expl'!Y85)+SUMIF('Hypotheses expl'!Z85,'Compte résultat prévi'!$D$5,'Hypotheses expl'!AA85)+SUMIF('Hypotheses expl'!AB85,'Compte résultat prévi'!$D$5,'Hypotheses expl'!AC85)</f>
        <v>0</v>
      </c>
      <c r="E34" s="201">
        <f>+SUMIF('Hypotheses expl'!R85,'Compte résultat prévi'!$E$5,'Hypotheses expl'!S85)+SUMIF('Hypotheses expl'!T85,'Compte résultat prévi'!$E$5,'Hypotheses expl'!U85)+SUMIF('Hypotheses expl'!V85,'Compte résultat prévi'!$E$5,'Hypotheses expl'!W85)+SUMIF('Hypotheses expl'!X85,'Compte résultat prévi'!$E$5,'Hypotheses expl'!Y85)+SUMIF('Hypotheses expl'!Z85,'Compte résultat prévi'!$E$5,'Hypotheses expl'!AA85)+SUMIF('Hypotheses expl'!AB85,'Compte résultat prévi'!$E$5,'Hypotheses expl'!AC85)</f>
        <v>0</v>
      </c>
      <c r="F34" s="201">
        <f>+SUMIF('Hypotheses expl'!R85,'Compte résultat prévi'!$F$5,'Hypotheses expl'!S85)+SUMIF('Hypotheses expl'!T85,'Compte résultat prévi'!$F$5,'Hypotheses expl'!U85)+SUMIF('Hypotheses expl'!V85,'Compte résultat prévi'!$F$5,'Hypotheses expl'!W85)+SUMIF('Hypotheses expl'!X85,'Compte résultat prévi'!$F$5,'Hypotheses expl'!Y85)+SUMIF('Hypotheses expl'!Z85,'Compte résultat prévi'!$F$5,'Hypotheses expl'!AA85)+SUMIF('Hypotheses expl'!AB85,'Compte résultat prévi'!$F$5,'Hypotheses expl'!AC85)</f>
        <v>0</v>
      </c>
      <c r="G34" s="201">
        <f>+SUMIF('Hypotheses expl'!R85,'Compte résultat prévi'!$G$5,'Hypotheses expl'!S85)+SUMIF('Hypotheses expl'!T85,'Compte résultat prévi'!$G$5,'Hypotheses expl'!U85)+SUMIF('Hypotheses expl'!V85,'Compte résultat prévi'!$G$5,'Hypotheses expl'!W85)+SUMIF('Hypotheses expl'!X85,'Compte résultat prévi'!$G$5,'Hypotheses expl'!Y85)+SUMIF('Hypotheses expl'!Z85,'Compte résultat prévi'!$G$5,'Hypotheses expl'!AA85)+SUMIF('Hypotheses expl'!AB85,'Compte résultat prévi'!$G$5,'Hypotheses expl'!AC85)</f>
        <v>0</v>
      </c>
      <c r="H34" s="202">
        <f>+SUMIF('Hypotheses expl'!R85,'Compte résultat prévi'!$H$5,'Hypotheses expl'!S85)+SUMIF('Hypotheses expl'!T85,'Compte résultat prévi'!$H$5,'Hypotheses expl'!U85)+SUMIF('Hypotheses expl'!V85,'Compte résultat prévi'!$H$5,'Hypotheses expl'!W85)+SUMIF('Hypotheses expl'!X85,'Compte résultat prévi'!$H$5,'Hypotheses expl'!Y85)+SUMIF('Hypotheses expl'!Z85,'Compte résultat prévi'!$H$5,'Hypotheses expl'!AA85)+SUMIF('Hypotheses expl'!AB85,'Compte résultat prévi'!$H$5,'Hypotheses expl'!AC85)</f>
        <v>0</v>
      </c>
      <c r="I34" s="200">
        <f>'Hypotheses expl (3,)'!B85</f>
        <v>0</v>
      </c>
      <c r="J34" s="201">
        <f>+SUMIF('Hypotheses expl (3,)'!R85,'Compte résultat prévi'!$J$5,'Hypotheses expl (3,)'!S85)+SUMIF('Hypotheses expl (3,)'!T85,'Compte résultat prévi'!$J$5,'Hypotheses expl (3,)'!U85)+SUMIF('Hypotheses expl (3,)'!V85,'Compte résultat prévi'!$J$5,'Hypotheses expl (3,)'!W85)+SUMIF('Hypotheses expl (3,)'!X85,'Compte résultat prévi'!$J$5,'Hypotheses expl (3,)'!Y85)+SUMIF('Hypotheses expl (3,)'!Z85,'Compte résultat prévi'!$J$5,'Hypotheses expl (3,)'!AA85)+SUMIF('Hypotheses expl (3,)'!AB85,'Compte résultat prévi'!$J$5,'Hypotheses expl (3,)'!AC85)</f>
        <v>0</v>
      </c>
      <c r="K34" s="201">
        <f>+SUMIF('Hypotheses expl (3,)'!R85,'Compte résultat prévi'!$K$5,'Hypotheses expl (3,)'!S85)+SUMIF('Hypotheses expl (3,)'!T85,'Compte résultat prévi'!$K$5,'Hypotheses expl (3,)'!U85)+SUMIF('Hypotheses expl (3,)'!V85,'Compte résultat prévi'!$K$5,'Hypotheses expl (3,)'!W85)+SUMIF('Hypotheses expl (3,)'!X85,'Compte résultat prévi'!$K$5,'Hypotheses expl (3,)'!Y85)+SUMIF('Hypotheses expl (3,)'!Z85,'Compte résultat prévi'!$K$5,'Hypotheses expl (3,)'!AA85)+SUMIF('Hypotheses expl (3,)'!AB85,'Compte résultat prévi'!$K$5,'Hypotheses expl (3,)'!AC85)</f>
        <v>0</v>
      </c>
      <c r="L34" s="201">
        <f>+SUMIF('Hypotheses expl (3,)'!R85,'Compte résultat prévi'!$L$5,'Hypotheses expl (3,)'!S85)+SUMIF('Hypotheses expl (3,)'!T85,'Compte résultat prévi'!$L$5,'Hypotheses expl (3,)'!U85)+SUMIF('Hypotheses expl (3,)'!V85,'Compte résultat prévi'!$L$5,'Hypotheses expl (3,)'!W85)+SUMIF('Hypotheses expl (3,)'!X85,'Compte résultat prévi'!$L$5,'Hypotheses expl (3,)'!Y85)+SUMIF('Hypotheses expl (3,)'!Z85,'Compte résultat prévi'!$L$5,'Hypotheses expl (3,)'!AA85)+SUMIF('Hypotheses expl (3,)'!AB85,'Compte résultat prévi'!$L$5,'Hypotheses expl (3,)'!AC85)</f>
        <v>0</v>
      </c>
      <c r="M34" s="201">
        <f>+SUMIF('Hypotheses expl (3,)'!R85,'Compte résultat prévi'!$M$5,'Hypotheses expl (3,)'!S85)+SUMIF('Hypotheses expl (3,)'!T85,'Compte résultat prévi'!$M$5,'Hypotheses expl (3,)'!U85)+SUMIF('Hypotheses expl (3,)'!V85,'Compte résultat prévi'!$M$5,'Hypotheses expl (3,)'!W85)+SUMIF('Hypotheses expl (3,)'!X85,'Compte résultat prévi'!$M$5,'Hypotheses expl (3,)'!Y85)+SUMIF('Hypotheses expl (3,)'!Z85,'Compte résultat prévi'!$M$5,'Hypotheses expl (3,)'!AA85)+SUMIF('Hypotheses expl (3,)'!AB85,'Compte résultat prévi'!$M$5,'Hypotheses expl (3,)'!AC85)</f>
        <v>0</v>
      </c>
      <c r="N34" s="202">
        <f>+SUMIF('Hypotheses expl (3,)'!R85,'Compte résultat prévi'!$N$5,'Hypotheses expl (3,)'!S85)+SUMIF('Hypotheses expl (3,)'!T85,'Compte résultat prévi'!$N$5,'Hypotheses expl (3,)'!U85)+SUMIF('Hypotheses expl (3,)'!V85,'Compte résultat prévi'!$N$5,'Hypotheses expl (3,)'!W85)+SUMIF('Hypotheses expl (3,)'!X85,'Compte résultat prévi'!$N$5,'Hypotheses expl (3,)'!Y85)+SUMIF('Hypotheses expl (3,)'!Z85,'Compte résultat prévi'!$N$5,'Hypotheses expl (3,)'!AA85)+SUMIF('Hypotheses expl (3,)'!AB85,'Compte résultat prévi'!$N$5,'Hypotheses expl (3,)'!AC85)</f>
        <v>0</v>
      </c>
      <c r="O34" s="200">
        <f>'Hypotheses expl (2)'!B85</f>
        <v>0</v>
      </c>
      <c r="P34" s="201">
        <f>+SUMIF('Hypotheses expl (2)'!R85,'Compte résultat prévi'!$P$5,'Hypotheses expl (2)'!S85)+SUMIF('Hypotheses expl (2)'!T85,'Compte résultat prévi'!$P$5,'Hypotheses expl (2)'!U85)+SUMIF('Hypotheses expl (2)'!V85,'Compte résultat prévi'!$P$5,'Hypotheses expl (2)'!W85)+SUMIF('Hypotheses expl (2)'!X85,'Compte résultat prévi'!$P$5,'Hypotheses expl (2)'!Y85)+SUMIF('Hypotheses expl (2)'!Z85,'Compte résultat prévi'!$P$5,'Hypotheses expl (2)'!AA85)+SUMIF('Hypotheses expl (2)'!AB85,'Compte résultat prévi'!$P$5,'Hypotheses expl (2)'!AC85)</f>
        <v>0</v>
      </c>
      <c r="Q34" s="201">
        <f>+SUMIF('Hypotheses expl (2)'!R85,'Compte résultat prévi'!$Q$5,'Hypotheses expl (2)'!S85)+SUMIF('Hypotheses expl (2)'!T85,'Compte résultat prévi'!$Q$5,'Hypotheses expl (2)'!U85)+SUMIF('Hypotheses expl (2)'!V85,'Compte résultat prévi'!$Q$5,'Hypotheses expl (2)'!W85)+SUMIF('Hypotheses expl (2)'!X85,'Compte résultat prévi'!$Q$5,'Hypotheses expl (2)'!Y85)+SUMIF('Hypotheses expl (2)'!Z85,'Compte résultat prévi'!$Q$5,'Hypotheses expl (2)'!AA85)+SUMIF('Hypotheses expl (2)'!AB85,'Compte résultat prévi'!$Q$5,'Hypotheses expl (2)'!AC85)</f>
        <v>0</v>
      </c>
      <c r="R34" s="201">
        <f>+SUMIF('Hypotheses expl (2)'!R85,'Compte résultat prévi'!$R$5,'Hypotheses expl (2)'!S85)+SUMIF('Hypotheses expl (2)'!T85,'Compte résultat prévi'!$R$5,'Hypotheses expl (2)'!U85)+SUMIF('Hypotheses expl (2)'!V85,'Compte résultat prévi'!$R$5,'Hypotheses expl (2)'!W85)+SUMIF('Hypotheses expl (2)'!X85,'Compte résultat prévi'!$R$5,'Hypotheses expl (2)'!Y85)+SUMIF('Hypotheses expl (2)'!Z85,'Compte résultat prévi'!$R$5,'Hypotheses expl (2)'!AA85)+SUMIF('Hypotheses expl (2)'!AB85,'Compte résultat prévi'!$R$5,'Hypotheses expl (2)'!AC85)</f>
        <v>0</v>
      </c>
      <c r="S34" s="201">
        <f>+SUMIF('Hypotheses expl (2)'!R85,'Compte résultat prévi'!$S$5,'Hypotheses expl (2)'!S85)+SUMIF('Hypotheses expl (2)'!T85,'Compte résultat prévi'!$S$5,'Hypotheses expl (2)'!U85)+SUMIF('Hypotheses expl (2)'!V85,'Compte résultat prévi'!$S$5,'Hypotheses expl (2)'!W85)+SUMIF('Hypotheses expl (2)'!X85,'Compte résultat prévi'!$S$5,'Hypotheses expl (2)'!Y85)+SUMIF('Hypotheses expl (2)'!Z85,'Compte résultat prévi'!$S$5,'Hypotheses expl (2)'!AA85)+SUMIF('Hypotheses expl (2)'!AB85,'Compte résultat prévi'!$S$5,'Hypotheses expl (2)'!AC85)</f>
        <v>0</v>
      </c>
      <c r="T34" s="202">
        <f>+SUMIF('Hypotheses expl (2)'!R85,'Compte résultat prévi'!$T$5,'Hypotheses expl (2)'!S85)+SUMIF('Hypotheses expl (2)'!T85,'Compte résultat prévi'!$T$5,'Hypotheses expl (2)'!U85)+SUMIF('Hypotheses expl (2)'!V85,'Compte résultat prévi'!$T$5,'Hypotheses expl (2)'!W85)+SUMIF('Hypotheses expl (2)'!X85,'Compte résultat prévi'!$T$5,'Hypotheses expl (2)'!Y85)+SUMIF('Hypotheses expl (2)'!Z85,'Compte résultat prévi'!$T$5,'Hypotheses expl (2)'!AA85)+SUMIF('Hypotheses expl (2)'!AB85,'Compte résultat prévi'!$T$5,'Hypotheses expl (2)'!AC85)</f>
        <v>0</v>
      </c>
      <c r="U34" s="203"/>
      <c r="V34" s="204"/>
    </row>
    <row r="35" hidden="1" outlineLevel="1">
      <c r="A35" s="210" t="str">
        <f>'Hypotheses expl'!A86</f>
        <v xml:space="preserve">Financeur 17</v>
      </c>
      <c r="B35" s="211"/>
      <c r="C35" s="200">
        <f>'Hypotheses expl'!B86</f>
        <v>0</v>
      </c>
      <c r="D35" s="201">
        <f>+SUMIF('Hypotheses expl'!R86,'Compte résultat prévi'!$D$5,'Hypotheses expl'!S86)+SUMIF('Hypotheses expl'!T86,'Compte résultat prévi'!$D$5,'Hypotheses expl'!U86)+SUMIF('Hypotheses expl'!V86,'Compte résultat prévi'!$D$5,'Hypotheses expl'!W86)+SUMIF('Hypotheses expl'!X86,'Compte résultat prévi'!$D$5,'Hypotheses expl'!Y86)+SUMIF('Hypotheses expl'!Z86,'Compte résultat prévi'!$D$5,'Hypotheses expl'!AA86)+SUMIF('Hypotheses expl'!AB86,'Compte résultat prévi'!$D$5,'Hypotheses expl'!AC86)</f>
        <v>0</v>
      </c>
      <c r="E35" s="201">
        <f>+SUMIF('Hypotheses expl'!R86,'Compte résultat prévi'!$E$5,'Hypotheses expl'!S86)+SUMIF('Hypotheses expl'!T86,'Compte résultat prévi'!$E$5,'Hypotheses expl'!U86)+SUMIF('Hypotheses expl'!V86,'Compte résultat prévi'!$E$5,'Hypotheses expl'!W86)+SUMIF('Hypotheses expl'!X86,'Compte résultat prévi'!$E$5,'Hypotheses expl'!Y86)+SUMIF('Hypotheses expl'!Z86,'Compte résultat prévi'!$E$5,'Hypotheses expl'!AA86)+SUMIF('Hypotheses expl'!AB86,'Compte résultat prévi'!$E$5,'Hypotheses expl'!AC86)</f>
        <v>0</v>
      </c>
      <c r="F35" s="201">
        <f>+SUMIF('Hypotheses expl'!R86,'Compte résultat prévi'!$F$5,'Hypotheses expl'!S86)+SUMIF('Hypotheses expl'!T86,'Compte résultat prévi'!$F$5,'Hypotheses expl'!U86)+SUMIF('Hypotheses expl'!V86,'Compte résultat prévi'!$F$5,'Hypotheses expl'!W86)+SUMIF('Hypotheses expl'!X86,'Compte résultat prévi'!$F$5,'Hypotheses expl'!Y86)+SUMIF('Hypotheses expl'!Z86,'Compte résultat prévi'!$F$5,'Hypotheses expl'!AA86)+SUMIF('Hypotheses expl'!AB86,'Compte résultat prévi'!$F$5,'Hypotheses expl'!AC86)</f>
        <v>0</v>
      </c>
      <c r="G35" s="201">
        <f>+SUMIF('Hypotheses expl'!R86,'Compte résultat prévi'!$G$5,'Hypotheses expl'!S86)+SUMIF('Hypotheses expl'!T86,'Compte résultat prévi'!$G$5,'Hypotheses expl'!U86)+SUMIF('Hypotheses expl'!V86,'Compte résultat prévi'!$G$5,'Hypotheses expl'!W86)+SUMIF('Hypotheses expl'!X86,'Compte résultat prévi'!$G$5,'Hypotheses expl'!Y86)+SUMIF('Hypotheses expl'!Z86,'Compte résultat prévi'!$G$5,'Hypotheses expl'!AA86)+SUMIF('Hypotheses expl'!AB86,'Compte résultat prévi'!$G$5,'Hypotheses expl'!AC86)</f>
        <v>0</v>
      </c>
      <c r="H35" s="202">
        <f>+SUMIF('Hypotheses expl'!R86,'Compte résultat prévi'!$H$5,'Hypotheses expl'!S86)+SUMIF('Hypotheses expl'!T86,'Compte résultat prévi'!$H$5,'Hypotheses expl'!U86)+SUMIF('Hypotheses expl'!V86,'Compte résultat prévi'!$H$5,'Hypotheses expl'!W86)+SUMIF('Hypotheses expl'!X86,'Compte résultat prévi'!$H$5,'Hypotheses expl'!Y86)+SUMIF('Hypotheses expl'!Z86,'Compte résultat prévi'!$H$5,'Hypotheses expl'!AA86)+SUMIF('Hypotheses expl'!AB86,'Compte résultat prévi'!$H$5,'Hypotheses expl'!AC86)</f>
        <v>0</v>
      </c>
      <c r="I35" s="200">
        <f>'Hypotheses expl (3,)'!B86</f>
        <v>0</v>
      </c>
      <c r="J35" s="201">
        <f>+SUMIF('Hypotheses expl (3,)'!R86,'Compte résultat prévi'!$J$5,'Hypotheses expl (3,)'!S86)+SUMIF('Hypotheses expl (3,)'!T86,'Compte résultat prévi'!$J$5,'Hypotheses expl (3,)'!U86)+SUMIF('Hypotheses expl (3,)'!V86,'Compte résultat prévi'!$J$5,'Hypotheses expl (3,)'!W86)+SUMIF('Hypotheses expl (3,)'!X86,'Compte résultat prévi'!$J$5,'Hypotheses expl (3,)'!Y86)+SUMIF('Hypotheses expl (3,)'!Z86,'Compte résultat prévi'!$J$5,'Hypotheses expl (3,)'!AA86)+SUMIF('Hypotheses expl (3,)'!AB86,'Compte résultat prévi'!$J$5,'Hypotheses expl (3,)'!AC86)</f>
        <v>0</v>
      </c>
      <c r="K35" s="201">
        <f>+SUMIF('Hypotheses expl (3,)'!R86,'Compte résultat prévi'!$K$5,'Hypotheses expl (3,)'!S86)+SUMIF('Hypotheses expl (3,)'!T86,'Compte résultat prévi'!$K$5,'Hypotheses expl (3,)'!U86)+SUMIF('Hypotheses expl (3,)'!V86,'Compte résultat prévi'!$K$5,'Hypotheses expl (3,)'!W86)+SUMIF('Hypotheses expl (3,)'!X86,'Compte résultat prévi'!$K$5,'Hypotheses expl (3,)'!Y86)+SUMIF('Hypotheses expl (3,)'!Z86,'Compte résultat prévi'!$K$5,'Hypotheses expl (3,)'!AA86)+SUMIF('Hypotheses expl (3,)'!AB86,'Compte résultat prévi'!$K$5,'Hypotheses expl (3,)'!AC86)</f>
        <v>0</v>
      </c>
      <c r="L35" s="201">
        <f>+SUMIF('Hypotheses expl (3,)'!R86,'Compte résultat prévi'!$L$5,'Hypotheses expl (3,)'!S86)+SUMIF('Hypotheses expl (3,)'!T86,'Compte résultat prévi'!$L$5,'Hypotheses expl (3,)'!U86)+SUMIF('Hypotheses expl (3,)'!V86,'Compte résultat prévi'!$L$5,'Hypotheses expl (3,)'!W86)+SUMIF('Hypotheses expl (3,)'!X86,'Compte résultat prévi'!$L$5,'Hypotheses expl (3,)'!Y86)+SUMIF('Hypotheses expl (3,)'!Z86,'Compte résultat prévi'!$L$5,'Hypotheses expl (3,)'!AA86)+SUMIF('Hypotheses expl (3,)'!AB86,'Compte résultat prévi'!$L$5,'Hypotheses expl (3,)'!AC86)</f>
        <v>0</v>
      </c>
      <c r="M35" s="201">
        <f>+SUMIF('Hypotheses expl (3,)'!R86,'Compte résultat prévi'!$M$5,'Hypotheses expl (3,)'!S86)+SUMIF('Hypotheses expl (3,)'!T86,'Compte résultat prévi'!$M$5,'Hypotheses expl (3,)'!U86)+SUMIF('Hypotheses expl (3,)'!V86,'Compte résultat prévi'!$M$5,'Hypotheses expl (3,)'!W86)+SUMIF('Hypotheses expl (3,)'!X86,'Compte résultat prévi'!$M$5,'Hypotheses expl (3,)'!Y86)+SUMIF('Hypotheses expl (3,)'!Z86,'Compte résultat prévi'!$M$5,'Hypotheses expl (3,)'!AA86)+SUMIF('Hypotheses expl (3,)'!AB86,'Compte résultat prévi'!$M$5,'Hypotheses expl (3,)'!AC86)</f>
        <v>0</v>
      </c>
      <c r="N35" s="202">
        <f>+SUMIF('Hypotheses expl (3,)'!R86,'Compte résultat prévi'!$N$5,'Hypotheses expl (3,)'!S86)+SUMIF('Hypotheses expl (3,)'!T86,'Compte résultat prévi'!$N$5,'Hypotheses expl (3,)'!U86)+SUMIF('Hypotheses expl (3,)'!V86,'Compte résultat prévi'!$N$5,'Hypotheses expl (3,)'!W86)+SUMIF('Hypotheses expl (3,)'!X86,'Compte résultat prévi'!$N$5,'Hypotheses expl (3,)'!Y86)+SUMIF('Hypotheses expl (3,)'!Z86,'Compte résultat prévi'!$N$5,'Hypotheses expl (3,)'!AA86)+SUMIF('Hypotheses expl (3,)'!AB86,'Compte résultat prévi'!$N$5,'Hypotheses expl (3,)'!AC86)</f>
        <v>0</v>
      </c>
      <c r="O35" s="200">
        <f>'Hypotheses expl (2)'!B86</f>
        <v>0</v>
      </c>
      <c r="P35" s="201">
        <f>+SUMIF('Hypotheses expl (2)'!R86,'Compte résultat prévi'!$P$5,'Hypotheses expl (2)'!S86)+SUMIF('Hypotheses expl (2)'!T86,'Compte résultat prévi'!$P$5,'Hypotheses expl (2)'!U86)+SUMIF('Hypotheses expl (2)'!V86,'Compte résultat prévi'!$P$5,'Hypotheses expl (2)'!W86)+SUMIF('Hypotheses expl (2)'!X86,'Compte résultat prévi'!$P$5,'Hypotheses expl (2)'!Y86)+SUMIF('Hypotheses expl (2)'!Z86,'Compte résultat prévi'!$P$5,'Hypotheses expl (2)'!AA86)+SUMIF('Hypotheses expl (2)'!AB86,'Compte résultat prévi'!$P$5,'Hypotheses expl (2)'!AC86)</f>
        <v>0</v>
      </c>
      <c r="Q35" s="201">
        <f>+SUMIF('Hypotheses expl (2)'!R86,'Compte résultat prévi'!$Q$5,'Hypotheses expl (2)'!S86)+SUMIF('Hypotheses expl (2)'!T86,'Compte résultat prévi'!$Q$5,'Hypotheses expl (2)'!U86)+SUMIF('Hypotheses expl (2)'!V86,'Compte résultat prévi'!$Q$5,'Hypotheses expl (2)'!W86)+SUMIF('Hypotheses expl (2)'!X86,'Compte résultat prévi'!$Q$5,'Hypotheses expl (2)'!Y86)+SUMIF('Hypotheses expl (2)'!Z86,'Compte résultat prévi'!$Q$5,'Hypotheses expl (2)'!AA86)+SUMIF('Hypotheses expl (2)'!AB86,'Compte résultat prévi'!$Q$5,'Hypotheses expl (2)'!AC86)</f>
        <v>0</v>
      </c>
      <c r="R35" s="201">
        <f>+SUMIF('Hypotheses expl (2)'!R86,'Compte résultat prévi'!$R$5,'Hypotheses expl (2)'!S86)+SUMIF('Hypotheses expl (2)'!T86,'Compte résultat prévi'!$R$5,'Hypotheses expl (2)'!U86)+SUMIF('Hypotheses expl (2)'!V86,'Compte résultat prévi'!$R$5,'Hypotheses expl (2)'!W86)+SUMIF('Hypotheses expl (2)'!X86,'Compte résultat prévi'!$R$5,'Hypotheses expl (2)'!Y86)+SUMIF('Hypotheses expl (2)'!Z86,'Compte résultat prévi'!$R$5,'Hypotheses expl (2)'!AA86)+SUMIF('Hypotheses expl (2)'!AB86,'Compte résultat prévi'!$R$5,'Hypotheses expl (2)'!AC86)</f>
        <v>0</v>
      </c>
      <c r="S35" s="201">
        <f>+SUMIF('Hypotheses expl (2)'!R86,'Compte résultat prévi'!$S$5,'Hypotheses expl (2)'!S86)+SUMIF('Hypotheses expl (2)'!T86,'Compte résultat prévi'!$S$5,'Hypotheses expl (2)'!U86)+SUMIF('Hypotheses expl (2)'!V86,'Compte résultat prévi'!$S$5,'Hypotheses expl (2)'!W86)+SUMIF('Hypotheses expl (2)'!X86,'Compte résultat prévi'!$S$5,'Hypotheses expl (2)'!Y86)+SUMIF('Hypotheses expl (2)'!Z86,'Compte résultat prévi'!$S$5,'Hypotheses expl (2)'!AA86)+SUMIF('Hypotheses expl (2)'!AB86,'Compte résultat prévi'!$S$5,'Hypotheses expl (2)'!AC86)</f>
        <v>0</v>
      </c>
      <c r="T35" s="202">
        <f>+SUMIF('Hypotheses expl (2)'!R86,'Compte résultat prévi'!$T$5,'Hypotheses expl (2)'!S86)+SUMIF('Hypotheses expl (2)'!T86,'Compte résultat prévi'!$T$5,'Hypotheses expl (2)'!U86)+SUMIF('Hypotheses expl (2)'!V86,'Compte résultat prévi'!$T$5,'Hypotheses expl (2)'!W86)+SUMIF('Hypotheses expl (2)'!X86,'Compte résultat prévi'!$T$5,'Hypotheses expl (2)'!Y86)+SUMIF('Hypotheses expl (2)'!Z86,'Compte résultat prévi'!$T$5,'Hypotheses expl (2)'!AA86)+SUMIF('Hypotheses expl (2)'!AB86,'Compte résultat prévi'!$T$5,'Hypotheses expl (2)'!AC86)</f>
        <v>0</v>
      </c>
      <c r="U35" s="203"/>
      <c r="V35" s="204"/>
    </row>
    <row r="36" hidden="1" outlineLevel="1">
      <c r="A36" s="210" t="str">
        <f>'Hypotheses expl'!A87</f>
        <v xml:space="preserve">Financeur 18</v>
      </c>
      <c r="B36" s="211"/>
      <c r="C36" s="200">
        <f>'Hypotheses expl'!B87</f>
        <v>0</v>
      </c>
      <c r="D36" s="201">
        <f>+SUMIF('Hypotheses expl'!R87,'Compte résultat prévi'!$D$5,'Hypotheses expl'!S87)+SUMIF('Hypotheses expl'!T87,'Compte résultat prévi'!$D$5,'Hypotheses expl'!U87)+SUMIF('Hypotheses expl'!V87,'Compte résultat prévi'!$D$5,'Hypotheses expl'!W87)+SUMIF('Hypotheses expl'!X87,'Compte résultat prévi'!$D$5,'Hypotheses expl'!Y87)+SUMIF('Hypotheses expl'!Z87,'Compte résultat prévi'!$D$5,'Hypotheses expl'!AA87)+SUMIF('Hypotheses expl'!AB87,'Compte résultat prévi'!$D$5,'Hypotheses expl'!AC87)</f>
        <v>0</v>
      </c>
      <c r="E36" s="201">
        <f>+SUMIF('Hypotheses expl'!R87,'Compte résultat prévi'!$E$5,'Hypotheses expl'!S87)+SUMIF('Hypotheses expl'!T87,'Compte résultat prévi'!$E$5,'Hypotheses expl'!U87)+SUMIF('Hypotheses expl'!V87,'Compte résultat prévi'!$E$5,'Hypotheses expl'!W87)+SUMIF('Hypotheses expl'!X87,'Compte résultat prévi'!$E$5,'Hypotheses expl'!Y87)+SUMIF('Hypotheses expl'!Z87,'Compte résultat prévi'!$E$5,'Hypotheses expl'!AA87)+SUMIF('Hypotheses expl'!AB87,'Compte résultat prévi'!$E$5,'Hypotheses expl'!AC87)</f>
        <v>0</v>
      </c>
      <c r="F36" s="201">
        <f>+SUMIF('Hypotheses expl'!R87,'Compte résultat prévi'!$F$5,'Hypotheses expl'!S87)+SUMIF('Hypotheses expl'!T87,'Compte résultat prévi'!$F$5,'Hypotheses expl'!U87)+SUMIF('Hypotheses expl'!V87,'Compte résultat prévi'!$F$5,'Hypotheses expl'!W87)+SUMIF('Hypotheses expl'!X87,'Compte résultat prévi'!$F$5,'Hypotheses expl'!Y87)+SUMIF('Hypotheses expl'!Z87,'Compte résultat prévi'!$F$5,'Hypotheses expl'!AA87)+SUMIF('Hypotheses expl'!AB87,'Compte résultat prévi'!$F$5,'Hypotheses expl'!AC87)</f>
        <v>0</v>
      </c>
      <c r="G36" s="201">
        <f>+SUMIF('Hypotheses expl'!R87,'Compte résultat prévi'!$G$5,'Hypotheses expl'!S87)+SUMIF('Hypotheses expl'!T87,'Compte résultat prévi'!$G$5,'Hypotheses expl'!U87)+SUMIF('Hypotheses expl'!V87,'Compte résultat prévi'!$G$5,'Hypotheses expl'!W87)+SUMIF('Hypotheses expl'!X87,'Compte résultat prévi'!$G$5,'Hypotheses expl'!Y87)+SUMIF('Hypotheses expl'!Z87,'Compte résultat prévi'!$G$5,'Hypotheses expl'!AA87)+SUMIF('Hypotheses expl'!AB87,'Compte résultat prévi'!$G$5,'Hypotheses expl'!AC87)</f>
        <v>0</v>
      </c>
      <c r="H36" s="202">
        <f>+SUMIF('Hypotheses expl'!R87,'Compte résultat prévi'!$H$5,'Hypotheses expl'!S87)+SUMIF('Hypotheses expl'!T87,'Compte résultat prévi'!$H$5,'Hypotheses expl'!U87)+SUMIF('Hypotheses expl'!V87,'Compte résultat prévi'!$H$5,'Hypotheses expl'!W87)+SUMIF('Hypotheses expl'!X87,'Compte résultat prévi'!$H$5,'Hypotheses expl'!Y87)+SUMIF('Hypotheses expl'!Z87,'Compte résultat prévi'!$H$5,'Hypotheses expl'!AA87)+SUMIF('Hypotheses expl'!AB87,'Compte résultat prévi'!$H$5,'Hypotheses expl'!AC87)</f>
        <v>0</v>
      </c>
      <c r="I36" s="200">
        <f>'Hypotheses expl (3,)'!B87</f>
        <v>0</v>
      </c>
      <c r="J36" s="201">
        <f>+SUMIF('Hypotheses expl (3,)'!R87,'Compte résultat prévi'!$J$5,'Hypotheses expl (3,)'!S87)+SUMIF('Hypotheses expl (3,)'!T87,'Compte résultat prévi'!$J$5,'Hypotheses expl (3,)'!U87)+SUMIF('Hypotheses expl (3,)'!V87,'Compte résultat prévi'!$J$5,'Hypotheses expl (3,)'!W87)+SUMIF('Hypotheses expl (3,)'!X87,'Compte résultat prévi'!$J$5,'Hypotheses expl (3,)'!Y87)+SUMIF('Hypotheses expl (3,)'!Z87,'Compte résultat prévi'!$J$5,'Hypotheses expl (3,)'!AA87)+SUMIF('Hypotheses expl (3,)'!AB87,'Compte résultat prévi'!$J$5,'Hypotheses expl (3,)'!AC87)</f>
        <v>0</v>
      </c>
      <c r="K36" s="201">
        <f>+SUMIF('Hypotheses expl (3,)'!R87,'Compte résultat prévi'!$K$5,'Hypotheses expl (3,)'!S87)+SUMIF('Hypotheses expl (3,)'!T87,'Compte résultat prévi'!$K$5,'Hypotheses expl (3,)'!U87)+SUMIF('Hypotheses expl (3,)'!V87,'Compte résultat prévi'!$K$5,'Hypotheses expl (3,)'!W87)+SUMIF('Hypotheses expl (3,)'!X87,'Compte résultat prévi'!$K$5,'Hypotheses expl (3,)'!Y87)+SUMIF('Hypotheses expl (3,)'!Z87,'Compte résultat prévi'!$K$5,'Hypotheses expl (3,)'!AA87)+SUMIF('Hypotheses expl (3,)'!AB87,'Compte résultat prévi'!$K$5,'Hypotheses expl (3,)'!AC87)</f>
        <v>0</v>
      </c>
      <c r="L36" s="201">
        <f>+SUMIF('Hypotheses expl (3,)'!R87,'Compte résultat prévi'!$L$5,'Hypotheses expl (3,)'!S87)+SUMIF('Hypotheses expl (3,)'!T87,'Compte résultat prévi'!$L$5,'Hypotheses expl (3,)'!U87)+SUMIF('Hypotheses expl (3,)'!V87,'Compte résultat prévi'!$L$5,'Hypotheses expl (3,)'!W87)+SUMIF('Hypotheses expl (3,)'!X87,'Compte résultat prévi'!$L$5,'Hypotheses expl (3,)'!Y87)+SUMIF('Hypotheses expl (3,)'!Z87,'Compte résultat prévi'!$L$5,'Hypotheses expl (3,)'!AA87)+SUMIF('Hypotheses expl (3,)'!AB87,'Compte résultat prévi'!$L$5,'Hypotheses expl (3,)'!AC87)</f>
        <v>0</v>
      </c>
      <c r="M36" s="201">
        <f>+SUMIF('Hypotheses expl (3,)'!R87,'Compte résultat prévi'!$M$5,'Hypotheses expl (3,)'!S87)+SUMIF('Hypotheses expl (3,)'!T87,'Compte résultat prévi'!$M$5,'Hypotheses expl (3,)'!U87)+SUMIF('Hypotheses expl (3,)'!V87,'Compte résultat prévi'!$M$5,'Hypotheses expl (3,)'!W87)+SUMIF('Hypotheses expl (3,)'!X87,'Compte résultat prévi'!$M$5,'Hypotheses expl (3,)'!Y87)+SUMIF('Hypotheses expl (3,)'!Z87,'Compte résultat prévi'!$M$5,'Hypotheses expl (3,)'!AA87)+SUMIF('Hypotheses expl (3,)'!AB87,'Compte résultat prévi'!$M$5,'Hypotheses expl (3,)'!AC87)</f>
        <v>0</v>
      </c>
      <c r="N36" s="202">
        <f>+SUMIF('Hypotheses expl (3,)'!R87,'Compte résultat prévi'!$N$5,'Hypotheses expl (3,)'!S87)+SUMIF('Hypotheses expl (3,)'!T87,'Compte résultat prévi'!$N$5,'Hypotheses expl (3,)'!U87)+SUMIF('Hypotheses expl (3,)'!V87,'Compte résultat prévi'!$N$5,'Hypotheses expl (3,)'!W87)+SUMIF('Hypotheses expl (3,)'!X87,'Compte résultat prévi'!$N$5,'Hypotheses expl (3,)'!Y87)+SUMIF('Hypotheses expl (3,)'!Z87,'Compte résultat prévi'!$N$5,'Hypotheses expl (3,)'!AA87)+SUMIF('Hypotheses expl (3,)'!AB87,'Compte résultat prévi'!$N$5,'Hypotheses expl (3,)'!AC87)</f>
        <v>0</v>
      </c>
      <c r="O36" s="200">
        <f>'Hypotheses expl (2)'!B87</f>
        <v>0</v>
      </c>
      <c r="P36" s="201">
        <f>+SUMIF('Hypotheses expl (2)'!R87,'Compte résultat prévi'!$P$5,'Hypotheses expl (2)'!S87)+SUMIF('Hypotheses expl (2)'!T87,'Compte résultat prévi'!$P$5,'Hypotheses expl (2)'!U87)+SUMIF('Hypotheses expl (2)'!V87,'Compte résultat prévi'!$P$5,'Hypotheses expl (2)'!W87)+SUMIF('Hypotheses expl (2)'!X87,'Compte résultat prévi'!$P$5,'Hypotheses expl (2)'!Y87)+SUMIF('Hypotheses expl (2)'!Z87,'Compte résultat prévi'!$P$5,'Hypotheses expl (2)'!AA87)+SUMIF('Hypotheses expl (2)'!AB87,'Compte résultat prévi'!$P$5,'Hypotheses expl (2)'!AC87)</f>
        <v>0</v>
      </c>
      <c r="Q36" s="201">
        <f>+SUMIF('Hypotheses expl (2)'!R87,'Compte résultat prévi'!$Q$5,'Hypotheses expl (2)'!S87)+SUMIF('Hypotheses expl (2)'!T87,'Compte résultat prévi'!$Q$5,'Hypotheses expl (2)'!U87)+SUMIF('Hypotheses expl (2)'!V87,'Compte résultat prévi'!$Q$5,'Hypotheses expl (2)'!W87)+SUMIF('Hypotheses expl (2)'!X87,'Compte résultat prévi'!$Q$5,'Hypotheses expl (2)'!Y87)+SUMIF('Hypotheses expl (2)'!Z87,'Compte résultat prévi'!$Q$5,'Hypotheses expl (2)'!AA87)+SUMIF('Hypotheses expl (2)'!AB87,'Compte résultat prévi'!$Q$5,'Hypotheses expl (2)'!AC87)</f>
        <v>0</v>
      </c>
      <c r="R36" s="201">
        <f>+SUMIF('Hypotheses expl (2)'!R87,'Compte résultat prévi'!$R$5,'Hypotheses expl (2)'!S87)+SUMIF('Hypotheses expl (2)'!T87,'Compte résultat prévi'!$R$5,'Hypotheses expl (2)'!U87)+SUMIF('Hypotheses expl (2)'!V87,'Compte résultat prévi'!$R$5,'Hypotheses expl (2)'!W87)+SUMIF('Hypotheses expl (2)'!X87,'Compte résultat prévi'!$R$5,'Hypotheses expl (2)'!Y87)+SUMIF('Hypotheses expl (2)'!Z87,'Compte résultat prévi'!$R$5,'Hypotheses expl (2)'!AA87)+SUMIF('Hypotheses expl (2)'!AB87,'Compte résultat prévi'!$R$5,'Hypotheses expl (2)'!AC87)</f>
        <v>0</v>
      </c>
      <c r="S36" s="201">
        <f>+SUMIF('Hypotheses expl (2)'!R87,'Compte résultat prévi'!$S$5,'Hypotheses expl (2)'!S87)+SUMIF('Hypotheses expl (2)'!T87,'Compte résultat prévi'!$S$5,'Hypotheses expl (2)'!U87)+SUMIF('Hypotheses expl (2)'!V87,'Compte résultat prévi'!$S$5,'Hypotheses expl (2)'!W87)+SUMIF('Hypotheses expl (2)'!X87,'Compte résultat prévi'!$S$5,'Hypotheses expl (2)'!Y87)+SUMIF('Hypotheses expl (2)'!Z87,'Compte résultat prévi'!$S$5,'Hypotheses expl (2)'!AA87)+SUMIF('Hypotheses expl (2)'!AB87,'Compte résultat prévi'!$S$5,'Hypotheses expl (2)'!AC87)</f>
        <v>0</v>
      </c>
      <c r="T36" s="202">
        <f>+SUMIF('Hypotheses expl (2)'!R87,'Compte résultat prévi'!$T$5,'Hypotheses expl (2)'!S87)+SUMIF('Hypotheses expl (2)'!T87,'Compte résultat prévi'!$T$5,'Hypotheses expl (2)'!U87)+SUMIF('Hypotheses expl (2)'!V87,'Compte résultat prévi'!$T$5,'Hypotheses expl (2)'!W87)+SUMIF('Hypotheses expl (2)'!X87,'Compte résultat prévi'!$T$5,'Hypotheses expl (2)'!Y87)+SUMIF('Hypotheses expl (2)'!Z87,'Compte résultat prévi'!$T$5,'Hypotheses expl (2)'!AA87)+SUMIF('Hypotheses expl (2)'!AB87,'Compte résultat prévi'!$T$5,'Hypotheses expl (2)'!AC87)</f>
        <v>0</v>
      </c>
      <c r="U36" s="203"/>
      <c r="V36" s="204"/>
    </row>
    <row r="37" hidden="1" outlineLevel="1">
      <c r="A37" s="210" t="str">
        <f>'Hypotheses expl'!A88</f>
        <v xml:space="preserve">Financeur 19</v>
      </c>
      <c r="B37" s="211"/>
      <c r="C37" s="200">
        <f>'Hypotheses expl'!B88</f>
        <v>0</v>
      </c>
      <c r="D37" s="201">
        <f>+SUMIF('Hypotheses expl'!R88,'Compte résultat prévi'!$D$5,'Hypotheses expl'!S88)+SUMIF('Hypotheses expl'!T88,'Compte résultat prévi'!$D$5,'Hypotheses expl'!U88)+SUMIF('Hypotheses expl'!V88,'Compte résultat prévi'!$D$5,'Hypotheses expl'!W88)+SUMIF('Hypotheses expl'!X88,'Compte résultat prévi'!$D$5,'Hypotheses expl'!Y88)+SUMIF('Hypotheses expl'!Z88,'Compte résultat prévi'!$D$5,'Hypotheses expl'!AA88)+SUMIF('Hypotheses expl'!AB88,'Compte résultat prévi'!$D$5,'Hypotheses expl'!AC88)</f>
        <v>0</v>
      </c>
      <c r="E37" s="201">
        <f>+SUMIF('Hypotheses expl'!R88,'Compte résultat prévi'!$E$5,'Hypotheses expl'!S88)+SUMIF('Hypotheses expl'!T88,'Compte résultat prévi'!$E$5,'Hypotheses expl'!U88)+SUMIF('Hypotheses expl'!V88,'Compte résultat prévi'!$E$5,'Hypotheses expl'!W88)+SUMIF('Hypotheses expl'!X88,'Compte résultat prévi'!$E$5,'Hypotheses expl'!Y88)+SUMIF('Hypotheses expl'!Z88,'Compte résultat prévi'!$E$5,'Hypotheses expl'!AA88)+SUMIF('Hypotheses expl'!AB88,'Compte résultat prévi'!$E$5,'Hypotheses expl'!AC88)</f>
        <v>0</v>
      </c>
      <c r="F37" s="201">
        <f>+SUMIF('Hypotheses expl'!R88,'Compte résultat prévi'!$F$5,'Hypotheses expl'!S88)+SUMIF('Hypotheses expl'!T88,'Compte résultat prévi'!$F$5,'Hypotheses expl'!U88)+SUMIF('Hypotheses expl'!V88,'Compte résultat prévi'!$F$5,'Hypotheses expl'!W88)+SUMIF('Hypotheses expl'!X88,'Compte résultat prévi'!$F$5,'Hypotheses expl'!Y88)+SUMIF('Hypotheses expl'!Z88,'Compte résultat prévi'!$F$5,'Hypotheses expl'!AA88)+SUMIF('Hypotheses expl'!AB88,'Compte résultat prévi'!$F$5,'Hypotheses expl'!AC88)</f>
        <v>0</v>
      </c>
      <c r="G37" s="201">
        <f>+SUMIF('Hypotheses expl'!R88,'Compte résultat prévi'!$G$5,'Hypotheses expl'!S88)+SUMIF('Hypotheses expl'!T88,'Compte résultat prévi'!$G$5,'Hypotheses expl'!U88)+SUMIF('Hypotheses expl'!V88,'Compte résultat prévi'!$G$5,'Hypotheses expl'!W88)+SUMIF('Hypotheses expl'!X88,'Compte résultat prévi'!$G$5,'Hypotheses expl'!Y88)+SUMIF('Hypotheses expl'!Z88,'Compte résultat prévi'!$G$5,'Hypotheses expl'!AA88)+SUMIF('Hypotheses expl'!AB88,'Compte résultat prévi'!$G$5,'Hypotheses expl'!AC88)</f>
        <v>0</v>
      </c>
      <c r="H37" s="202">
        <f>+SUMIF('Hypotheses expl'!R88,'Compte résultat prévi'!$H$5,'Hypotheses expl'!S88)+SUMIF('Hypotheses expl'!T88,'Compte résultat prévi'!$H$5,'Hypotheses expl'!U88)+SUMIF('Hypotheses expl'!V88,'Compte résultat prévi'!$H$5,'Hypotheses expl'!W88)+SUMIF('Hypotheses expl'!X88,'Compte résultat prévi'!$H$5,'Hypotheses expl'!Y88)+SUMIF('Hypotheses expl'!Z88,'Compte résultat prévi'!$H$5,'Hypotheses expl'!AA88)+SUMIF('Hypotheses expl'!AB88,'Compte résultat prévi'!$H$5,'Hypotheses expl'!AC88)</f>
        <v>0</v>
      </c>
      <c r="I37" s="200">
        <f>'Hypotheses expl (3,)'!B88</f>
        <v>0</v>
      </c>
      <c r="J37" s="201">
        <f>+SUMIF('Hypotheses expl (3,)'!R88,'Compte résultat prévi'!$J$5,'Hypotheses expl (3,)'!S88)+SUMIF('Hypotheses expl (3,)'!T88,'Compte résultat prévi'!$J$5,'Hypotheses expl (3,)'!U88)+SUMIF('Hypotheses expl (3,)'!V88,'Compte résultat prévi'!$J$5,'Hypotheses expl (3,)'!W88)+SUMIF('Hypotheses expl (3,)'!X88,'Compte résultat prévi'!$J$5,'Hypotheses expl (3,)'!Y88)+SUMIF('Hypotheses expl (3,)'!Z88,'Compte résultat prévi'!$J$5,'Hypotheses expl (3,)'!AA88)+SUMIF('Hypotheses expl (3,)'!AB88,'Compte résultat prévi'!$J$5,'Hypotheses expl (3,)'!AC88)</f>
        <v>0</v>
      </c>
      <c r="K37" s="201">
        <f>+SUMIF('Hypotheses expl (3,)'!R88,'Compte résultat prévi'!$K$5,'Hypotheses expl (3,)'!S88)+SUMIF('Hypotheses expl (3,)'!T88,'Compte résultat prévi'!$K$5,'Hypotheses expl (3,)'!U88)+SUMIF('Hypotheses expl (3,)'!V88,'Compte résultat prévi'!$K$5,'Hypotheses expl (3,)'!W88)+SUMIF('Hypotheses expl (3,)'!X88,'Compte résultat prévi'!$K$5,'Hypotheses expl (3,)'!Y88)+SUMIF('Hypotheses expl (3,)'!Z88,'Compte résultat prévi'!$K$5,'Hypotheses expl (3,)'!AA88)+SUMIF('Hypotheses expl (3,)'!AB88,'Compte résultat prévi'!$K$5,'Hypotheses expl (3,)'!AC88)</f>
        <v>0</v>
      </c>
      <c r="L37" s="201">
        <f>+SUMIF('Hypotheses expl (3,)'!R88,'Compte résultat prévi'!$L$5,'Hypotheses expl (3,)'!S88)+SUMIF('Hypotheses expl (3,)'!T88,'Compte résultat prévi'!$L$5,'Hypotheses expl (3,)'!U88)+SUMIF('Hypotheses expl (3,)'!V88,'Compte résultat prévi'!$L$5,'Hypotheses expl (3,)'!W88)+SUMIF('Hypotheses expl (3,)'!X88,'Compte résultat prévi'!$L$5,'Hypotheses expl (3,)'!Y88)+SUMIF('Hypotheses expl (3,)'!Z88,'Compte résultat prévi'!$L$5,'Hypotheses expl (3,)'!AA88)+SUMIF('Hypotheses expl (3,)'!AB88,'Compte résultat prévi'!$L$5,'Hypotheses expl (3,)'!AC88)</f>
        <v>0</v>
      </c>
      <c r="M37" s="201">
        <f>+SUMIF('Hypotheses expl (3,)'!R88,'Compte résultat prévi'!$M$5,'Hypotheses expl (3,)'!S88)+SUMIF('Hypotheses expl (3,)'!T88,'Compte résultat prévi'!$M$5,'Hypotheses expl (3,)'!U88)+SUMIF('Hypotheses expl (3,)'!V88,'Compte résultat prévi'!$M$5,'Hypotheses expl (3,)'!W88)+SUMIF('Hypotheses expl (3,)'!X88,'Compte résultat prévi'!$M$5,'Hypotheses expl (3,)'!Y88)+SUMIF('Hypotheses expl (3,)'!Z88,'Compte résultat prévi'!$M$5,'Hypotheses expl (3,)'!AA88)+SUMIF('Hypotheses expl (3,)'!AB88,'Compte résultat prévi'!$M$5,'Hypotheses expl (3,)'!AC88)</f>
        <v>0</v>
      </c>
      <c r="N37" s="202">
        <f>+SUMIF('Hypotheses expl (3,)'!R88,'Compte résultat prévi'!$N$5,'Hypotheses expl (3,)'!S88)+SUMIF('Hypotheses expl (3,)'!T88,'Compte résultat prévi'!$N$5,'Hypotheses expl (3,)'!U88)+SUMIF('Hypotheses expl (3,)'!V88,'Compte résultat prévi'!$N$5,'Hypotheses expl (3,)'!W88)+SUMIF('Hypotheses expl (3,)'!X88,'Compte résultat prévi'!$N$5,'Hypotheses expl (3,)'!Y88)+SUMIF('Hypotheses expl (3,)'!Z88,'Compte résultat prévi'!$N$5,'Hypotheses expl (3,)'!AA88)+SUMIF('Hypotheses expl (3,)'!AB88,'Compte résultat prévi'!$N$5,'Hypotheses expl (3,)'!AC88)</f>
        <v>0</v>
      </c>
      <c r="O37" s="200">
        <f>'Hypotheses expl (2)'!B88</f>
        <v>0</v>
      </c>
      <c r="P37" s="201">
        <f>+SUMIF('Hypotheses expl (2)'!R88,'Compte résultat prévi'!$P$5,'Hypotheses expl (2)'!S88)+SUMIF('Hypotheses expl (2)'!T88,'Compte résultat prévi'!$P$5,'Hypotheses expl (2)'!U88)+SUMIF('Hypotheses expl (2)'!V88,'Compte résultat prévi'!$P$5,'Hypotheses expl (2)'!W88)+SUMIF('Hypotheses expl (2)'!X88,'Compte résultat prévi'!$P$5,'Hypotheses expl (2)'!Y88)+SUMIF('Hypotheses expl (2)'!Z88,'Compte résultat prévi'!$P$5,'Hypotheses expl (2)'!AA88)+SUMIF('Hypotheses expl (2)'!AB88,'Compte résultat prévi'!$P$5,'Hypotheses expl (2)'!AC88)</f>
        <v>0</v>
      </c>
      <c r="Q37" s="201">
        <f>+SUMIF('Hypotheses expl (2)'!R88,'Compte résultat prévi'!$Q$5,'Hypotheses expl (2)'!S88)+SUMIF('Hypotheses expl (2)'!T88,'Compte résultat prévi'!$Q$5,'Hypotheses expl (2)'!U88)+SUMIF('Hypotheses expl (2)'!V88,'Compte résultat prévi'!$Q$5,'Hypotheses expl (2)'!W88)+SUMIF('Hypotheses expl (2)'!X88,'Compte résultat prévi'!$Q$5,'Hypotheses expl (2)'!Y88)+SUMIF('Hypotheses expl (2)'!Z88,'Compte résultat prévi'!$Q$5,'Hypotheses expl (2)'!AA88)+SUMIF('Hypotheses expl (2)'!AB88,'Compte résultat prévi'!$Q$5,'Hypotheses expl (2)'!AC88)</f>
        <v>0</v>
      </c>
      <c r="R37" s="201">
        <f>+SUMIF('Hypotheses expl (2)'!R88,'Compte résultat prévi'!$R$5,'Hypotheses expl (2)'!S88)+SUMIF('Hypotheses expl (2)'!T88,'Compte résultat prévi'!$R$5,'Hypotheses expl (2)'!U88)+SUMIF('Hypotheses expl (2)'!V88,'Compte résultat prévi'!$R$5,'Hypotheses expl (2)'!W88)+SUMIF('Hypotheses expl (2)'!X88,'Compte résultat prévi'!$R$5,'Hypotheses expl (2)'!Y88)+SUMIF('Hypotheses expl (2)'!Z88,'Compte résultat prévi'!$R$5,'Hypotheses expl (2)'!AA88)+SUMIF('Hypotheses expl (2)'!AB88,'Compte résultat prévi'!$R$5,'Hypotheses expl (2)'!AC88)</f>
        <v>0</v>
      </c>
      <c r="S37" s="201">
        <f>+SUMIF('Hypotheses expl (2)'!R88,'Compte résultat prévi'!$S$5,'Hypotheses expl (2)'!S88)+SUMIF('Hypotheses expl (2)'!T88,'Compte résultat prévi'!$S$5,'Hypotheses expl (2)'!U88)+SUMIF('Hypotheses expl (2)'!V88,'Compte résultat prévi'!$S$5,'Hypotheses expl (2)'!W88)+SUMIF('Hypotheses expl (2)'!X88,'Compte résultat prévi'!$S$5,'Hypotheses expl (2)'!Y88)+SUMIF('Hypotheses expl (2)'!Z88,'Compte résultat prévi'!$S$5,'Hypotheses expl (2)'!AA88)+SUMIF('Hypotheses expl (2)'!AB88,'Compte résultat prévi'!$S$5,'Hypotheses expl (2)'!AC88)</f>
        <v>0</v>
      </c>
      <c r="T37" s="202">
        <f>+SUMIF('Hypotheses expl (2)'!R88,'Compte résultat prévi'!$T$5,'Hypotheses expl (2)'!S88)+SUMIF('Hypotheses expl (2)'!T88,'Compte résultat prévi'!$T$5,'Hypotheses expl (2)'!U88)+SUMIF('Hypotheses expl (2)'!V88,'Compte résultat prévi'!$T$5,'Hypotheses expl (2)'!W88)+SUMIF('Hypotheses expl (2)'!X88,'Compte résultat prévi'!$T$5,'Hypotheses expl (2)'!Y88)+SUMIF('Hypotheses expl (2)'!Z88,'Compte résultat prévi'!$T$5,'Hypotheses expl (2)'!AA88)+SUMIF('Hypotheses expl (2)'!AB88,'Compte résultat prévi'!$T$5,'Hypotheses expl (2)'!AC88)</f>
        <v>0</v>
      </c>
      <c r="U37" s="203"/>
      <c r="V37" s="204"/>
    </row>
    <row r="38" hidden="1" outlineLevel="1">
      <c r="A38" s="210" t="str">
        <f>'Hypotheses expl'!A89</f>
        <v xml:space="preserve">Financeur 20</v>
      </c>
      <c r="B38" s="211"/>
      <c r="C38" s="200">
        <f>'Hypotheses expl'!B89</f>
        <v>0</v>
      </c>
      <c r="D38" s="201">
        <f>+SUMIF('Hypotheses expl'!R89,'Compte résultat prévi'!$D$5,'Hypotheses expl'!S89)+SUMIF('Hypotheses expl'!T89,'Compte résultat prévi'!$D$5,'Hypotheses expl'!U89)+SUMIF('Hypotheses expl'!V89,'Compte résultat prévi'!$D$5,'Hypotheses expl'!W89)+SUMIF('Hypotheses expl'!X89,'Compte résultat prévi'!$D$5,'Hypotheses expl'!Y89)+SUMIF('Hypotheses expl'!Z89,'Compte résultat prévi'!$D$5,'Hypotheses expl'!AA89)+SUMIF('Hypotheses expl'!AB89,'Compte résultat prévi'!$D$5,'Hypotheses expl'!AC89)</f>
        <v>0</v>
      </c>
      <c r="E38" s="201">
        <f>+SUMIF('Hypotheses expl'!R89,'Compte résultat prévi'!$E$5,'Hypotheses expl'!S89)+SUMIF('Hypotheses expl'!T89,'Compte résultat prévi'!$E$5,'Hypotheses expl'!U89)+SUMIF('Hypotheses expl'!V89,'Compte résultat prévi'!$E$5,'Hypotheses expl'!W89)+SUMIF('Hypotheses expl'!X89,'Compte résultat prévi'!$E$5,'Hypotheses expl'!Y89)+SUMIF('Hypotheses expl'!Z89,'Compte résultat prévi'!$E$5,'Hypotheses expl'!AA89)+SUMIF('Hypotheses expl'!AB89,'Compte résultat prévi'!$E$5,'Hypotheses expl'!AC89)</f>
        <v>0</v>
      </c>
      <c r="F38" s="201">
        <f>+SUMIF('Hypotheses expl'!R89,'Compte résultat prévi'!$F$5,'Hypotheses expl'!S89)+SUMIF('Hypotheses expl'!T89,'Compte résultat prévi'!$F$5,'Hypotheses expl'!U89)+SUMIF('Hypotheses expl'!V89,'Compte résultat prévi'!$F$5,'Hypotheses expl'!W89)+SUMIF('Hypotheses expl'!X89,'Compte résultat prévi'!$F$5,'Hypotheses expl'!Y89)+SUMIF('Hypotheses expl'!Z89,'Compte résultat prévi'!$F$5,'Hypotheses expl'!AA89)+SUMIF('Hypotheses expl'!AB89,'Compte résultat prévi'!$F$5,'Hypotheses expl'!AC89)</f>
        <v>0</v>
      </c>
      <c r="G38" s="201">
        <f>+SUMIF('Hypotheses expl'!R89,'Compte résultat prévi'!$G$5,'Hypotheses expl'!S89)+SUMIF('Hypotheses expl'!T89,'Compte résultat prévi'!$G$5,'Hypotheses expl'!U89)+SUMIF('Hypotheses expl'!V89,'Compte résultat prévi'!$G$5,'Hypotheses expl'!W89)+SUMIF('Hypotheses expl'!X89,'Compte résultat prévi'!$G$5,'Hypotheses expl'!Y89)+SUMIF('Hypotheses expl'!Z89,'Compte résultat prévi'!$G$5,'Hypotheses expl'!AA89)+SUMIF('Hypotheses expl'!AB89,'Compte résultat prévi'!$G$5,'Hypotheses expl'!AC89)</f>
        <v>0</v>
      </c>
      <c r="H38" s="202">
        <f>+SUMIF('Hypotheses expl'!R89,'Compte résultat prévi'!$H$5,'Hypotheses expl'!S89)+SUMIF('Hypotheses expl'!T89,'Compte résultat prévi'!$H$5,'Hypotheses expl'!U89)+SUMIF('Hypotheses expl'!V89,'Compte résultat prévi'!$H$5,'Hypotheses expl'!W89)+SUMIF('Hypotheses expl'!X89,'Compte résultat prévi'!$H$5,'Hypotheses expl'!Y89)+SUMIF('Hypotheses expl'!Z89,'Compte résultat prévi'!$H$5,'Hypotheses expl'!AA89)+SUMIF('Hypotheses expl'!AB89,'Compte résultat prévi'!$H$5,'Hypotheses expl'!AC89)</f>
        <v>0</v>
      </c>
      <c r="I38" s="200">
        <f>'Hypotheses expl (3,)'!B89</f>
        <v>0</v>
      </c>
      <c r="J38" s="201">
        <f>+SUMIF('Hypotheses expl (3,)'!R89,'Compte résultat prévi'!$J$5,'Hypotheses expl (3,)'!S89)+SUMIF('Hypotheses expl (3,)'!T89,'Compte résultat prévi'!$J$5,'Hypotheses expl (3,)'!U89)+SUMIF('Hypotheses expl (3,)'!V89,'Compte résultat prévi'!$J$5,'Hypotheses expl (3,)'!W89)+SUMIF('Hypotheses expl (3,)'!X89,'Compte résultat prévi'!$J$5,'Hypotheses expl (3,)'!Y89)+SUMIF('Hypotheses expl (3,)'!Z89,'Compte résultat prévi'!$J$5,'Hypotheses expl (3,)'!AA89)+SUMIF('Hypotheses expl (3,)'!AB89,'Compte résultat prévi'!$J$5,'Hypotheses expl (3,)'!AC89)</f>
        <v>0</v>
      </c>
      <c r="K38" s="201">
        <f>+SUMIF('Hypotheses expl (3,)'!R89,'Compte résultat prévi'!$K$5,'Hypotheses expl (3,)'!S89)+SUMIF('Hypotheses expl (3,)'!T89,'Compte résultat prévi'!$K$5,'Hypotheses expl (3,)'!U89)+SUMIF('Hypotheses expl (3,)'!V89,'Compte résultat prévi'!$K$5,'Hypotheses expl (3,)'!W89)+SUMIF('Hypotheses expl (3,)'!X89,'Compte résultat prévi'!$K$5,'Hypotheses expl (3,)'!Y89)+SUMIF('Hypotheses expl (3,)'!Z89,'Compte résultat prévi'!$K$5,'Hypotheses expl (3,)'!AA89)+SUMIF('Hypotheses expl (3,)'!AB89,'Compte résultat prévi'!$K$5,'Hypotheses expl (3,)'!AC89)</f>
        <v>0</v>
      </c>
      <c r="L38" s="201">
        <f>+SUMIF('Hypotheses expl (3,)'!R89,'Compte résultat prévi'!$L$5,'Hypotheses expl (3,)'!S89)+SUMIF('Hypotheses expl (3,)'!T89,'Compte résultat prévi'!$L$5,'Hypotheses expl (3,)'!U89)+SUMIF('Hypotheses expl (3,)'!V89,'Compte résultat prévi'!$L$5,'Hypotheses expl (3,)'!W89)+SUMIF('Hypotheses expl (3,)'!X89,'Compte résultat prévi'!$L$5,'Hypotheses expl (3,)'!Y89)+SUMIF('Hypotheses expl (3,)'!Z89,'Compte résultat prévi'!$L$5,'Hypotheses expl (3,)'!AA89)+SUMIF('Hypotheses expl (3,)'!AB89,'Compte résultat prévi'!$L$5,'Hypotheses expl (3,)'!AC89)</f>
        <v>0</v>
      </c>
      <c r="M38" s="201">
        <f>+SUMIF('Hypotheses expl (3,)'!R89,'Compte résultat prévi'!$M$5,'Hypotheses expl (3,)'!S89)+SUMIF('Hypotheses expl (3,)'!T89,'Compte résultat prévi'!$M$5,'Hypotheses expl (3,)'!U89)+SUMIF('Hypotheses expl (3,)'!V89,'Compte résultat prévi'!$M$5,'Hypotheses expl (3,)'!W89)+SUMIF('Hypotheses expl (3,)'!X89,'Compte résultat prévi'!$M$5,'Hypotheses expl (3,)'!Y89)+SUMIF('Hypotheses expl (3,)'!Z89,'Compte résultat prévi'!$M$5,'Hypotheses expl (3,)'!AA89)+SUMIF('Hypotheses expl (3,)'!AB89,'Compte résultat prévi'!$M$5,'Hypotheses expl (3,)'!AC89)</f>
        <v>0</v>
      </c>
      <c r="N38" s="202">
        <f>+SUMIF('Hypotheses expl (3,)'!R89,'Compte résultat prévi'!$N$5,'Hypotheses expl (3,)'!S89)+SUMIF('Hypotheses expl (3,)'!T89,'Compte résultat prévi'!$N$5,'Hypotheses expl (3,)'!U89)+SUMIF('Hypotheses expl (3,)'!V89,'Compte résultat prévi'!$N$5,'Hypotheses expl (3,)'!W89)+SUMIF('Hypotheses expl (3,)'!X89,'Compte résultat prévi'!$N$5,'Hypotheses expl (3,)'!Y89)+SUMIF('Hypotheses expl (3,)'!Z89,'Compte résultat prévi'!$N$5,'Hypotheses expl (3,)'!AA89)+SUMIF('Hypotheses expl (3,)'!AB89,'Compte résultat prévi'!$N$5,'Hypotheses expl (3,)'!AC89)</f>
        <v>0</v>
      </c>
      <c r="O38" s="200">
        <f>'Hypotheses expl (2)'!B89</f>
        <v>0</v>
      </c>
      <c r="P38" s="201">
        <f>+SUMIF('Hypotheses expl (2)'!R89,'Compte résultat prévi'!$P$5,'Hypotheses expl (2)'!S89)+SUMIF('Hypotheses expl (2)'!T89,'Compte résultat prévi'!$P$5,'Hypotheses expl (2)'!U89)+SUMIF('Hypotheses expl (2)'!V89,'Compte résultat prévi'!$P$5,'Hypotheses expl (2)'!W89)+SUMIF('Hypotheses expl (2)'!X89,'Compte résultat prévi'!$P$5,'Hypotheses expl (2)'!Y89)+SUMIF('Hypotheses expl (2)'!Z89,'Compte résultat prévi'!$P$5,'Hypotheses expl (2)'!AA89)+SUMIF('Hypotheses expl (2)'!AB89,'Compte résultat prévi'!$P$5,'Hypotheses expl (2)'!AC89)</f>
        <v>0</v>
      </c>
      <c r="Q38" s="201">
        <f>+SUMIF('Hypotheses expl (2)'!R89,'Compte résultat prévi'!$Q$5,'Hypotheses expl (2)'!S89)+SUMIF('Hypotheses expl (2)'!T89,'Compte résultat prévi'!$Q$5,'Hypotheses expl (2)'!U89)+SUMIF('Hypotheses expl (2)'!V89,'Compte résultat prévi'!$Q$5,'Hypotheses expl (2)'!W89)+SUMIF('Hypotheses expl (2)'!X89,'Compte résultat prévi'!$Q$5,'Hypotheses expl (2)'!Y89)+SUMIF('Hypotheses expl (2)'!Z89,'Compte résultat prévi'!$Q$5,'Hypotheses expl (2)'!AA89)+SUMIF('Hypotheses expl (2)'!AB89,'Compte résultat prévi'!$Q$5,'Hypotheses expl (2)'!AC89)</f>
        <v>0</v>
      </c>
      <c r="R38" s="201">
        <f>+SUMIF('Hypotheses expl (2)'!R89,'Compte résultat prévi'!$R$5,'Hypotheses expl (2)'!S89)+SUMIF('Hypotheses expl (2)'!T89,'Compte résultat prévi'!$R$5,'Hypotheses expl (2)'!U89)+SUMIF('Hypotheses expl (2)'!V89,'Compte résultat prévi'!$R$5,'Hypotheses expl (2)'!W89)+SUMIF('Hypotheses expl (2)'!X89,'Compte résultat prévi'!$R$5,'Hypotheses expl (2)'!Y89)+SUMIF('Hypotheses expl (2)'!Z89,'Compte résultat prévi'!$R$5,'Hypotheses expl (2)'!AA89)+SUMIF('Hypotheses expl (2)'!AB89,'Compte résultat prévi'!$R$5,'Hypotheses expl (2)'!AC89)</f>
        <v>0</v>
      </c>
      <c r="S38" s="201">
        <f>+SUMIF('Hypotheses expl (2)'!R89,'Compte résultat prévi'!$S$5,'Hypotheses expl (2)'!S89)+SUMIF('Hypotheses expl (2)'!T89,'Compte résultat prévi'!$S$5,'Hypotheses expl (2)'!U89)+SUMIF('Hypotheses expl (2)'!V89,'Compte résultat prévi'!$S$5,'Hypotheses expl (2)'!W89)+SUMIF('Hypotheses expl (2)'!X89,'Compte résultat prévi'!$S$5,'Hypotheses expl (2)'!Y89)+SUMIF('Hypotheses expl (2)'!Z89,'Compte résultat prévi'!$S$5,'Hypotheses expl (2)'!AA89)+SUMIF('Hypotheses expl (2)'!AB89,'Compte résultat prévi'!$S$5,'Hypotheses expl (2)'!AC89)</f>
        <v>0</v>
      </c>
      <c r="T38" s="202">
        <f>+SUMIF('Hypotheses expl (2)'!R89,'Compte résultat prévi'!$T$5,'Hypotheses expl (2)'!S89)+SUMIF('Hypotheses expl (2)'!T89,'Compte résultat prévi'!$T$5,'Hypotheses expl (2)'!U89)+SUMIF('Hypotheses expl (2)'!V89,'Compte résultat prévi'!$T$5,'Hypotheses expl (2)'!W89)+SUMIF('Hypotheses expl (2)'!X89,'Compte résultat prévi'!$T$5,'Hypotheses expl (2)'!Y89)+SUMIF('Hypotheses expl (2)'!Z89,'Compte résultat prévi'!$T$5,'Hypotheses expl (2)'!AA89)+SUMIF('Hypotheses expl (2)'!AB89,'Compte résultat prévi'!$T$5,'Hypotheses expl (2)'!AC89)</f>
        <v>0</v>
      </c>
      <c r="U38" s="203"/>
      <c r="V38" s="204"/>
    </row>
    <row r="39" ht="18">
      <c r="A39" s="205" t="s">
        <v>311</v>
      </c>
      <c r="B39" s="206"/>
      <c r="C39" s="200">
        <f>'Hypotheses expl'!O93</f>
        <v>0</v>
      </c>
      <c r="D39" s="201">
        <f>+SUMIF('Hypotheses expl'!R93,'Compte résultat prévi'!$D$5,'Hypotheses expl'!S93)+SUMIF('Hypotheses expl'!T93,'Compte résultat prévi'!$D$5,'Hypotheses expl'!U93)+SUMIF('Hypotheses expl'!V93,'Compte résultat prévi'!$D$5,'Hypotheses expl'!W93)+SUMIF('Hypotheses expl'!X93,'Compte résultat prévi'!$D$5,'Hypotheses expl'!Y93)+SUMIF('Hypotheses expl'!Z93,'Compte résultat prévi'!$D$5,'Hypotheses expl'!AA93)+SUMIF('Hypotheses expl'!AB93,'Compte résultat prévi'!$D$5,'Hypotheses expl'!AC93)</f>
        <v>0</v>
      </c>
      <c r="E39" s="201">
        <f>+SUMIF('Hypotheses expl'!R93,'Compte résultat prévi'!$E$5,'Hypotheses expl'!S93)+SUMIF('Hypotheses expl'!T93,'Compte résultat prévi'!$E$5,'Hypotheses expl'!U93)+SUMIF('Hypotheses expl'!V93,'Compte résultat prévi'!$E$5,'Hypotheses expl'!W93)+SUMIF('Hypotheses expl'!X93,'Compte résultat prévi'!$E$5,'Hypotheses expl'!Y93)+SUMIF('Hypotheses expl'!Z93,'Compte résultat prévi'!$E$5,'Hypotheses expl'!AA93)+SUMIF('Hypotheses expl'!AB93,'Compte résultat prévi'!$E$5,'Hypotheses expl'!AC93)</f>
        <v>0</v>
      </c>
      <c r="F39" s="201">
        <f>+SUMIF('Hypotheses expl'!R93,'Compte résultat prévi'!$F$5,'Hypotheses expl'!S93)+SUMIF('Hypotheses expl'!T93,'Compte résultat prévi'!$F$5,'Hypotheses expl'!U93)+SUMIF('Hypotheses expl'!V93,'Compte résultat prévi'!$F$5,'Hypotheses expl'!W93)+SUMIF('Hypotheses expl'!X93,'Compte résultat prévi'!$F$5,'Hypotheses expl'!Y93)+SUMIF('Hypotheses expl'!Z93,'Compte résultat prévi'!$F$5,'Hypotheses expl'!AA93)+SUMIF('Hypotheses expl'!AB93,'Compte résultat prévi'!$F$5,'Hypotheses expl'!AC93)</f>
        <v>0</v>
      </c>
      <c r="G39" s="201">
        <f>+SUMIF('Hypotheses expl'!R93,'Compte résultat prévi'!$G$5,'Hypotheses expl'!S93)+SUMIF('Hypotheses expl'!T93,'Compte résultat prévi'!$G$5,'Hypotheses expl'!U93)+SUMIF('Hypotheses expl'!V93,'Compte résultat prévi'!$G$5,'Hypotheses expl'!W93)+SUMIF('Hypotheses expl'!X93,'Compte résultat prévi'!$G$5,'Hypotheses expl'!Y93)+SUMIF('Hypotheses expl'!Z93,'Compte résultat prévi'!$G$5,'Hypotheses expl'!AA93)+SUMIF('Hypotheses expl'!AB93,'Compte résultat prévi'!$G$5,'Hypotheses expl'!AC93)</f>
        <v>0</v>
      </c>
      <c r="H39" s="202">
        <f>+SUMIF('Hypotheses expl'!R93,'Compte résultat prévi'!$H$5,'Hypotheses expl'!S93)+SUMIF('Hypotheses expl'!T93,'Compte résultat prévi'!$H$5,'Hypotheses expl'!U93)+SUMIF('Hypotheses expl'!V93,'Compte résultat prévi'!$H$5,'Hypotheses expl'!W93)+SUMIF('Hypotheses expl'!X93,'Compte résultat prévi'!$H$5,'Hypotheses expl'!Y93)+SUMIF('Hypotheses expl'!Z93,'Compte résultat prévi'!$H$5,'Hypotheses expl'!AA93)+SUMIF('Hypotheses expl'!AB93,'Compte résultat prévi'!$H$5,'Hypotheses expl'!AC93)</f>
        <v>0</v>
      </c>
      <c r="I39" s="200">
        <f>'Hypotheses expl (3,)'!O93</f>
        <v>0</v>
      </c>
      <c r="J39" s="201">
        <f>+SUMIF('Hypotheses expl (3,)'!R93,'Compte résultat prévi'!$J$5,'Hypotheses expl (3,)'!S93)+SUMIF('Hypotheses expl (3,)'!T93,'Compte résultat prévi'!$J$5,'Hypotheses expl (3,)'!U93)+SUMIF('Hypotheses expl (3,)'!V93,'Compte résultat prévi'!$J$5,'Hypotheses expl (3,)'!W93)+SUMIF('Hypotheses expl (3,)'!X93,'Compte résultat prévi'!$J$5,'Hypotheses expl (3,)'!Y93)+SUMIF('Hypotheses expl (3,)'!Z93,'Compte résultat prévi'!$J$5,'Hypotheses expl (3,)'!AA93)+SUMIF('Hypotheses expl (3,)'!AB93,'Compte résultat prévi'!$J$5,'Hypotheses expl (3,)'!AC93)</f>
        <v>0</v>
      </c>
      <c r="K39" s="201">
        <f>+SUMIF('Hypotheses expl (3,)'!R93,'Compte résultat prévi'!$K$5,'Hypotheses expl (3,)'!S93)+SUMIF('Hypotheses expl (3,)'!T93,'Compte résultat prévi'!$K$5,'Hypotheses expl (3,)'!U93)+SUMIF('Hypotheses expl (3,)'!V93,'Compte résultat prévi'!$K$5,'Hypotheses expl (3,)'!W93)+SUMIF('Hypotheses expl (3,)'!X93,'Compte résultat prévi'!$K$5,'Hypotheses expl (3,)'!Y93)+SUMIF('Hypotheses expl (3,)'!Z93,'Compte résultat prévi'!$K$5,'Hypotheses expl (3,)'!AA93)+SUMIF('Hypotheses expl (3,)'!AB93,'Compte résultat prévi'!$K$5,'Hypotheses expl (3,)'!AC93)</f>
        <v>0</v>
      </c>
      <c r="L39" s="201">
        <f>+SUMIF('Hypotheses expl (3,)'!R93,'Compte résultat prévi'!$L$5,'Hypotheses expl (3,)'!S93)+SUMIF('Hypotheses expl (3,)'!T93,'Compte résultat prévi'!$L$5,'Hypotheses expl (3,)'!U93)+SUMIF('Hypotheses expl (3,)'!V93,'Compte résultat prévi'!$L$5,'Hypotheses expl (3,)'!W93)+SUMIF('Hypotheses expl (3,)'!X93,'Compte résultat prévi'!$L$5,'Hypotheses expl (3,)'!Y93)+SUMIF('Hypotheses expl (3,)'!Z93,'Compte résultat prévi'!$L$5,'Hypotheses expl (3,)'!AA93)+SUMIF('Hypotheses expl (3,)'!AB93,'Compte résultat prévi'!$L$5,'Hypotheses expl (3,)'!AC93)</f>
        <v>0</v>
      </c>
      <c r="M39" s="201">
        <f>+SUMIF('Hypotheses expl (3,)'!R93,'Compte résultat prévi'!$M$5,'Hypotheses expl (3,)'!S93)+SUMIF('Hypotheses expl (3,)'!T93,'Compte résultat prévi'!$M$5,'Hypotheses expl (3,)'!U93)+SUMIF('Hypotheses expl (3,)'!V93,'Compte résultat prévi'!$M$5,'Hypotheses expl (3,)'!W93)+SUMIF('Hypotheses expl (3,)'!X93,'Compte résultat prévi'!$M$5,'Hypotheses expl (3,)'!Y93)+SUMIF('Hypotheses expl (3,)'!Z93,'Compte résultat prévi'!$M$5,'Hypotheses expl (3,)'!AA93)+SUMIF('Hypotheses expl (3,)'!AB93,'Compte résultat prévi'!$M$5,'Hypotheses expl (3,)'!AC93)</f>
        <v>0</v>
      </c>
      <c r="N39" s="202">
        <f>+SUMIF('Hypotheses expl (3,)'!R93,'Compte résultat prévi'!$N$5,'Hypotheses expl (3,)'!S93)+SUMIF('Hypotheses expl (3,)'!T93,'Compte résultat prévi'!$N$5,'Hypotheses expl (3,)'!U93)+SUMIF('Hypotheses expl (3,)'!V93,'Compte résultat prévi'!$N$5,'Hypotheses expl (3,)'!W93)+SUMIF('Hypotheses expl (3,)'!X93,'Compte résultat prévi'!$N$5,'Hypotheses expl (3,)'!Y93)+SUMIF('Hypotheses expl (3,)'!Z93,'Compte résultat prévi'!$N$5,'Hypotheses expl (3,)'!AA93)+SUMIF('Hypotheses expl (3,)'!AB93,'Compte résultat prévi'!$N$5,'Hypotheses expl (3,)'!AC93)</f>
        <v>0</v>
      </c>
      <c r="O39" s="200">
        <f>'Hypotheses expl (2)'!O93</f>
        <v>0</v>
      </c>
      <c r="P39" s="201">
        <f>+SUMIF('Hypotheses expl (2)'!R93,'Compte résultat prévi'!$P$5,'Hypotheses expl (2)'!S93)+SUMIF('Hypotheses expl (2)'!T93,'Compte résultat prévi'!$P$5,'Hypotheses expl (2)'!U93)+SUMIF('Hypotheses expl (2)'!V93,'Compte résultat prévi'!$P$5,'Hypotheses expl (2)'!W93)+SUMIF('Hypotheses expl (2)'!X93,'Compte résultat prévi'!$P$5,'Hypotheses expl (2)'!Y93)+SUMIF('Hypotheses expl (2)'!Z93,'Compte résultat prévi'!$P$5,'Hypotheses expl (2)'!AA93)+SUMIF('Hypotheses expl (2)'!AB93,'Compte résultat prévi'!$P$5,'Hypotheses expl (2)'!AC93)</f>
        <v>0</v>
      </c>
      <c r="Q39" s="201">
        <f>+SUMIF('Hypotheses expl (2)'!R93,'Compte résultat prévi'!$Q$5,'Hypotheses expl (2)'!S93)+SUMIF('Hypotheses expl (2)'!T93,'Compte résultat prévi'!$Q$5,'Hypotheses expl (2)'!U93)+SUMIF('Hypotheses expl (2)'!V93,'Compte résultat prévi'!$Q$5,'Hypotheses expl (2)'!W93)+SUMIF('Hypotheses expl (2)'!X93,'Compte résultat prévi'!$Q$5,'Hypotheses expl (2)'!Y93)+SUMIF('Hypotheses expl (2)'!Z93,'Compte résultat prévi'!$Q$5,'Hypotheses expl (2)'!AA93)+SUMIF('Hypotheses expl (2)'!AB93,'Compte résultat prévi'!$Q$5,'Hypotheses expl (2)'!AC93)</f>
        <v>0</v>
      </c>
      <c r="R39" s="201">
        <f>+SUMIF('Hypotheses expl (2)'!R93,'Compte résultat prévi'!$R$5,'Hypotheses expl (2)'!S93)+SUMIF('Hypotheses expl (2)'!T93,'Compte résultat prévi'!$R$5,'Hypotheses expl (2)'!U93)+SUMIF('Hypotheses expl (2)'!V93,'Compte résultat prévi'!$R$5,'Hypotheses expl (2)'!W93)+SUMIF('Hypotheses expl (2)'!X93,'Compte résultat prévi'!$R$5,'Hypotheses expl (2)'!Y93)+SUMIF('Hypotheses expl (2)'!Z93,'Compte résultat prévi'!$R$5,'Hypotheses expl (2)'!AA93)+SUMIF('Hypotheses expl (2)'!AB93,'Compte résultat prévi'!$R$5,'Hypotheses expl (2)'!AC93)</f>
        <v>0</v>
      </c>
      <c r="S39" s="201">
        <f>+SUMIF('Hypotheses expl (2)'!R93,'Compte résultat prévi'!$S$5,'Hypotheses expl (2)'!S93)+SUMIF('Hypotheses expl (2)'!T93,'Compte résultat prévi'!$S$5,'Hypotheses expl (2)'!U93)+SUMIF('Hypotheses expl (2)'!V93,'Compte résultat prévi'!$S$5,'Hypotheses expl (2)'!W93)+SUMIF('Hypotheses expl (2)'!X93,'Compte résultat prévi'!$S$5,'Hypotheses expl (2)'!Y93)+SUMIF('Hypotheses expl (2)'!Z93,'Compte résultat prévi'!$S$5,'Hypotheses expl (2)'!AA93)+SUMIF('Hypotheses expl (2)'!AB93,'Compte résultat prévi'!$S$5,'Hypotheses expl (2)'!AC93)</f>
        <v>0</v>
      </c>
      <c r="T39" s="202">
        <f>+SUMIF('Hypotheses expl (2)'!R93,'Compte résultat prévi'!$T$5,'Hypotheses expl (2)'!S93)+SUMIF('Hypotheses expl (2)'!T93,'Compte résultat prévi'!$T$5,'Hypotheses expl (2)'!U93)+SUMIF('Hypotheses expl (2)'!V93,'Compte résultat prévi'!$T$5,'Hypotheses expl (2)'!W93)+SUMIF('Hypotheses expl (2)'!X93,'Compte résultat prévi'!$T$5,'Hypotheses expl (2)'!Y93)+SUMIF('Hypotheses expl (2)'!Z93,'Compte résultat prévi'!$T$5,'Hypotheses expl (2)'!AA93)+SUMIF('Hypotheses expl (2)'!AB93,'Compte résultat prévi'!$T$5,'Hypotheses expl (2)'!AC93)</f>
        <v>0</v>
      </c>
      <c r="U39" s="203"/>
      <c r="V39" s="204"/>
    </row>
    <row r="40" ht="18">
      <c r="A40" s="205" t="s">
        <v>312</v>
      </c>
      <c r="B40" s="206"/>
      <c r="C40" s="200">
        <f>'Hypotheses expl'!O94</f>
        <v>0</v>
      </c>
      <c r="D40" s="201">
        <f>+SUMIF('Hypotheses expl'!R94,'Compte résultat prévi'!$D$5,'Hypotheses expl'!S94)+SUMIF('Hypotheses expl'!T94,'Compte résultat prévi'!$D$5,'Hypotheses expl'!U94)+SUMIF('Hypotheses expl'!V94,'Compte résultat prévi'!$D$5,'Hypotheses expl'!W94)+SUMIF('Hypotheses expl'!X94,'Compte résultat prévi'!$D$5,'Hypotheses expl'!Y94)+SUMIF('Hypotheses expl'!Z94,'Compte résultat prévi'!$D$5,'Hypotheses expl'!AA94)+SUMIF('Hypotheses expl'!AB94,'Compte résultat prévi'!$D$5,'Hypotheses expl'!AC94)</f>
        <v>0</v>
      </c>
      <c r="E40" s="201">
        <f>+SUMIF('Hypotheses expl'!R94,'Compte résultat prévi'!$E$5,'Hypotheses expl'!S94)+SUMIF('Hypotheses expl'!T94,'Compte résultat prévi'!$E$5,'Hypotheses expl'!U94)+SUMIF('Hypotheses expl'!V94,'Compte résultat prévi'!$E$5,'Hypotheses expl'!W94)+SUMIF('Hypotheses expl'!X94,'Compte résultat prévi'!$E$5,'Hypotheses expl'!Y94)+SUMIF('Hypotheses expl'!Z94,'Compte résultat prévi'!$E$5,'Hypotheses expl'!AA94)+SUMIF('Hypotheses expl'!AB94,'Compte résultat prévi'!$E$5,'Hypotheses expl'!AC94)</f>
        <v>0</v>
      </c>
      <c r="F40" s="201">
        <f>+SUMIF('Hypotheses expl'!R94,'Compte résultat prévi'!$F$5,'Hypotheses expl'!S94)+SUMIF('Hypotheses expl'!T94,'Compte résultat prévi'!$F$5,'Hypotheses expl'!U94)+SUMIF('Hypotheses expl'!V94,'Compte résultat prévi'!$F$5,'Hypotheses expl'!W94)+SUMIF('Hypotheses expl'!X94,'Compte résultat prévi'!$F$5,'Hypotheses expl'!Y94)+SUMIF('Hypotheses expl'!Z94,'Compte résultat prévi'!$F$5,'Hypotheses expl'!AA94)+SUMIF('Hypotheses expl'!AB94,'Compte résultat prévi'!$F$5,'Hypotheses expl'!AC94)</f>
        <v>0</v>
      </c>
      <c r="G40" s="201">
        <f>+SUMIF('Hypotheses expl'!R94,'Compte résultat prévi'!$G$5,'Hypotheses expl'!S94)+SUMIF('Hypotheses expl'!T94,'Compte résultat prévi'!$G$5,'Hypotheses expl'!U94)+SUMIF('Hypotheses expl'!V94,'Compte résultat prévi'!$G$5,'Hypotheses expl'!W94)+SUMIF('Hypotheses expl'!X94,'Compte résultat prévi'!$G$5,'Hypotheses expl'!Y94)+SUMIF('Hypotheses expl'!Z94,'Compte résultat prévi'!$G$5,'Hypotheses expl'!AA94)+SUMIF('Hypotheses expl'!AB94,'Compte résultat prévi'!$G$5,'Hypotheses expl'!AC94)</f>
        <v>0</v>
      </c>
      <c r="H40" s="202">
        <f>+SUMIF('Hypotheses expl'!R94,'Compte résultat prévi'!$H$5,'Hypotheses expl'!S94)+SUMIF('Hypotheses expl'!T94,'Compte résultat prévi'!$H$5,'Hypotheses expl'!U94)+SUMIF('Hypotheses expl'!V94,'Compte résultat prévi'!$H$5,'Hypotheses expl'!W94)+SUMIF('Hypotheses expl'!X94,'Compte résultat prévi'!$H$5,'Hypotheses expl'!Y94)+SUMIF('Hypotheses expl'!Z94,'Compte résultat prévi'!$H$5,'Hypotheses expl'!AA94)+SUMIF('Hypotheses expl'!AB94,'Compte résultat prévi'!$H$5,'Hypotheses expl'!AC94)</f>
        <v>0</v>
      </c>
      <c r="I40" s="200">
        <f>'Hypotheses expl (3,)'!O94</f>
        <v>0</v>
      </c>
      <c r="J40" s="201">
        <f>+SUMIF('Hypotheses expl (3,)'!R94,'Compte résultat prévi'!$J$5,'Hypotheses expl (3,)'!S94)+SUMIF('Hypotheses expl (3,)'!T94,'Compte résultat prévi'!$J$5,'Hypotheses expl (3,)'!U94)+SUMIF('Hypotheses expl (3,)'!V94,'Compte résultat prévi'!$J$5,'Hypotheses expl (3,)'!W94)+SUMIF('Hypotheses expl (3,)'!X94,'Compte résultat prévi'!$J$5,'Hypotheses expl (3,)'!Y94)+SUMIF('Hypotheses expl (3,)'!Z94,'Compte résultat prévi'!$J$5,'Hypotheses expl (3,)'!AA94)+SUMIF('Hypotheses expl (3,)'!AB94,'Compte résultat prévi'!$J$5,'Hypotheses expl (3,)'!AC94)</f>
        <v>0</v>
      </c>
      <c r="K40" s="201">
        <f>+SUMIF('Hypotheses expl (3,)'!R94,'Compte résultat prévi'!$K$5,'Hypotheses expl (3,)'!S94)+SUMIF('Hypotheses expl (3,)'!T94,'Compte résultat prévi'!$K$5,'Hypotheses expl (3,)'!U94)+SUMIF('Hypotheses expl (3,)'!V94,'Compte résultat prévi'!$K$5,'Hypotheses expl (3,)'!W94)+SUMIF('Hypotheses expl (3,)'!X94,'Compte résultat prévi'!$K$5,'Hypotheses expl (3,)'!Y94)+SUMIF('Hypotheses expl (3,)'!Z94,'Compte résultat prévi'!$K$5,'Hypotheses expl (3,)'!AA94)+SUMIF('Hypotheses expl (3,)'!AB94,'Compte résultat prévi'!$K$5,'Hypotheses expl (3,)'!AC94)</f>
        <v>0</v>
      </c>
      <c r="L40" s="201">
        <f>+SUMIF('Hypotheses expl (3,)'!R94,'Compte résultat prévi'!$L$5,'Hypotheses expl (3,)'!S94)+SUMIF('Hypotheses expl (3,)'!T94,'Compte résultat prévi'!$L$5,'Hypotheses expl (3,)'!U94)+SUMIF('Hypotheses expl (3,)'!V94,'Compte résultat prévi'!$L$5,'Hypotheses expl (3,)'!W94)+SUMIF('Hypotheses expl (3,)'!X94,'Compte résultat prévi'!$L$5,'Hypotheses expl (3,)'!Y94)+SUMIF('Hypotheses expl (3,)'!Z94,'Compte résultat prévi'!$L$5,'Hypotheses expl (3,)'!AA94)+SUMIF('Hypotheses expl (3,)'!AB94,'Compte résultat prévi'!$L$5,'Hypotheses expl (3,)'!AC94)</f>
        <v>0</v>
      </c>
      <c r="M40" s="201">
        <f>+SUMIF('Hypotheses expl (3,)'!R94,'Compte résultat prévi'!$M$5,'Hypotheses expl (3,)'!S94)+SUMIF('Hypotheses expl (3,)'!T94,'Compte résultat prévi'!$M$5,'Hypotheses expl (3,)'!U94)+SUMIF('Hypotheses expl (3,)'!V94,'Compte résultat prévi'!$M$5,'Hypotheses expl (3,)'!W94)+SUMIF('Hypotheses expl (3,)'!X94,'Compte résultat prévi'!$M$5,'Hypotheses expl (3,)'!Y94)+SUMIF('Hypotheses expl (3,)'!Z94,'Compte résultat prévi'!$M$5,'Hypotheses expl (3,)'!AA94)+SUMIF('Hypotheses expl (3,)'!AB94,'Compte résultat prévi'!$M$5,'Hypotheses expl (3,)'!AC94)</f>
        <v>0</v>
      </c>
      <c r="N40" s="202">
        <f>+SUMIF('Hypotheses expl (3,)'!R94,'Compte résultat prévi'!$N$5,'Hypotheses expl (3,)'!S94)+SUMIF('Hypotheses expl (3,)'!T94,'Compte résultat prévi'!$N$5,'Hypotheses expl (3,)'!U94)+SUMIF('Hypotheses expl (3,)'!V94,'Compte résultat prévi'!$N$5,'Hypotheses expl (3,)'!W94)+SUMIF('Hypotheses expl (3,)'!X94,'Compte résultat prévi'!$N$5,'Hypotheses expl (3,)'!Y94)+SUMIF('Hypotheses expl (3,)'!Z94,'Compte résultat prévi'!$N$5,'Hypotheses expl (3,)'!AA94)+SUMIF('Hypotheses expl (3,)'!AB94,'Compte résultat prévi'!$N$5,'Hypotheses expl (3,)'!AC94)</f>
        <v>0</v>
      </c>
      <c r="O40" s="200">
        <f>'Hypotheses expl (2)'!O94</f>
        <v>0</v>
      </c>
      <c r="P40" s="201">
        <f>+SUMIF('Hypotheses expl (2)'!R94,'Compte résultat prévi'!$P$5,'Hypotheses expl (2)'!S94)+SUMIF('Hypotheses expl (2)'!T94,'Compte résultat prévi'!$P$5,'Hypotheses expl (2)'!U94)+SUMIF('Hypotheses expl (2)'!V94,'Compte résultat prévi'!$P$5,'Hypotheses expl (2)'!W94)+SUMIF('Hypotheses expl (2)'!X94,'Compte résultat prévi'!$P$5,'Hypotheses expl (2)'!Y94)+SUMIF('Hypotheses expl (2)'!Z94,'Compte résultat prévi'!$P$5,'Hypotheses expl (2)'!AA94)+SUMIF('Hypotheses expl (2)'!AB94,'Compte résultat prévi'!$P$5,'Hypotheses expl (2)'!AC94)</f>
        <v>0</v>
      </c>
      <c r="Q40" s="201">
        <f>+SUMIF('Hypotheses expl (2)'!R94,'Compte résultat prévi'!$Q$5,'Hypotheses expl (2)'!S94)+SUMIF('Hypotheses expl (2)'!T94,'Compte résultat prévi'!$Q$5,'Hypotheses expl (2)'!U94)+SUMIF('Hypotheses expl (2)'!V94,'Compte résultat prévi'!$Q$5,'Hypotheses expl (2)'!W94)+SUMIF('Hypotheses expl (2)'!X94,'Compte résultat prévi'!$Q$5,'Hypotheses expl (2)'!Y94)+SUMIF('Hypotheses expl (2)'!Z94,'Compte résultat prévi'!$Q$5,'Hypotheses expl (2)'!AA94)+SUMIF('Hypotheses expl (2)'!AB94,'Compte résultat prévi'!$Q$5,'Hypotheses expl (2)'!AC94)</f>
        <v>0</v>
      </c>
      <c r="R40" s="201">
        <f>+SUMIF('Hypotheses expl (2)'!R94,'Compte résultat prévi'!$R$5,'Hypotheses expl (2)'!S94)+SUMIF('Hypotheses expl (2)'!T94,'Compte résultat prévi'!$R$5,'Hypotheses expl (2)'!U94)+SUMIF('Hypotheses expl (2)'!V94,'Compte résultat prévi'!$R$5,'Hypotheses expl (2)'!W94)+SUMIF('Hypotheses expl (2)'!X94,'Compte résultat prévi'!$R$5,'Hypotheses expl (2)'!Y94)+SUMIF('Hypotheses expl (2)'!Z94,'Compte résultat prévi'!$R$5,'Hypotheses expl (2)'!AA94)+SUMIF('Hypotheses expl (2)'!AB94,'Compte résultat prévi'!$R$5,'Hypotheses expl (2)'!AC94)</f>
        <v>0</v>
      </c>
      <c r="S40" s="201">
        <f>+SUMIF('Hypotheses expl (2)'!R94,'Compte résultat prévi'!$S$5,'Hypotheses expl (2)'!S94)+SUMIF('Hypotheses expl (2)'!T94,'Compte résultat prévi'!$S$5,'Hypotheses expl (2)'!U94)+SUMIF('Hypotheses expl (2)'!V94,'Compte résultat prévi'!$S$5,'Hypotheses expl (2)'!W94)+SUMIF('Hypotheses expl (2)'!X94,'Compte résultat prévi'!$S$5,'Hypotheses expl (2)'!Y94)+SUMIF('Hypotheses expl (2)'!Z94,'Compte résultat prévi'!$S$5,'Hypotheses expl (2)'!AA94)+SUMIF('Hypotheses expl (2)'!AB94,'Compte résultat prévi'!$S$5,'Hypotheses expl (2)'!AC94)</f>
        <v>0</v>
      </c>
      <c r="T40" s="202">
        <f>+SUMIF('Hypotheses expl (2)'!R94,'Compte résultat prévi'!$T$5,'Hypotheses expl (2)'!S94)+SUMIF('Hypotheses expl (2)'!T94,'Compte résultat prévi'!$T$5,'Hypotheses expl (2)'!U94)+SUMIF('Hypotheses expl (2)'!V94,'Compte résultat prévi'!$T$5,'Hypotheses expl (2)'!W94)+SUMIF('Hypotheses expl (2)'!X94,'Compte résultat prévi'!$T$5,'Hypotheses expl (2)'!Y94)+SUMIF('Hypotheses expl (2)'!Z94,'Compte résultat prévi'!$T$5,'Hypotheses expl (2)'!AA94)+SUMIF('Hypotheses expl (2)'!AB94,'Compte résultat prévi'!$T$5,'Hypotheses expl (2)'!AC94)</f>
        <v>0</v>
      </c>
      <c r="U40" s="203"/>
      <c r="V40" s="204"/>
    </row>
    <row r="41" ht="18">
      <c r="A41" s="205" t="s">
        <v>221</v>
      </c>
      <c r="B41" s="206"/>
      <c r="C41" s="200">
        <f>'Hypotheses expl'!O95</f>
        <v>0</v>
      </c>
      <c r="D41" s="201">
        <f>+SUMIF('Hypotheses expl'!R95,'Compte résultat prévi'!$D$5,'Hypotheses expl'!S95)+SUMIF('Hypotheses expl'!T95,'Compte résultat prévi'!$D$5,'Hypotheses expl'!U95)+SUMIF('Hypotheses expl'!V95,'Compte résultat prévi'!$D$5,'Hypotheses expl'!W95)+SUMIF('Hypotheses expl'!X95,'Compte résultat prévi'!$D$5,'Hypotheses expl'!Y95)+SUMIF('Hypotheses expl'!Z95,'Compte résultat prévi'!$D$5,'Hypotheses expl'!AA95)+SUMIF('Hypotheses expl'!AB95,'Compte résultat prévi'!$D$5,'Hypotheses expl'!AC95)</f>
        <v>0</v>
      </c>
      <c r="E41" s="201">
        <f>+SUMIF('Hypotheses expl'!R95,'Compte résultat prévi'!$E$5,'Hypotheses expl'!S95)+SUMIF('Hypotheses expl'!T95,'Compte résultat prévi'!$E$5,'Hypotheses expl'!U95)+SUMIF('Hypotheses expl'!V95,'Compte résultat prévi'!$E$5,'Hypotheses expl'!W95)+SUMIF('Hypotheses expl'!X95,'Compte résultat prévi'!$E$5,'Hypotheses expl'!Y95)+SUMIF('Hypotheses expl'!Z95,'Compte résultat prévi'!$E$5,'Hypotheses expl'!AA95)+SUMIF('Hypotheses expl'!AB95,'Compte résultat prévi'!$E$5,'Hypotheses expl'!AC95)</f>
        <v>0</v>
      </c>
      <c r="F41" s="201">
        <f>+SUMIF('Hypotheses expl'!R95,'Compte résultat prévi'!$F$5,'Hypotheses expl'!S95)+SUMIF('Hypotheses expl'!T95,'Compte résultat prévi'!$F$5,'Hypotheses expl'!U95)+SUMIF('Hypotheses expl'!V95,'Compte résultat prévi'!$F$5,'Hypotheses expl'!W95)+SUMIF('Hypotheses expl'!X95,'Compte résultat prévi'!$F$5,'Hypotheses expl'!Y95)+SUMIF('Hypotheses expl'!Z95,'Compte résultat prévi'!$F$5,'Hypotheses expl'!AA95)+SUMIF('Hypotheses expl'!AB95,'Compte résultat prévi'!$F$5,'Hypotheses expl'!AC95)</f>
        <v>0</v>
      </c>
      <c r="G41" s="201">
        <f>+SUMIF('Hypotheses expl'!R95,'Compte résultat prévi'!$G$5,'Hypotheses expl'!S95)+SUMIF('Hypotheses expl'!T95,'Compte résultat prévi'!$G$5,'Hypotheses expl'!U95)+SUMIF('Hypotheses expl'!V95,'Compte résultat prévi'!$G$5,'Hypotheses expl'!W95)+SUMIF('Hypotheses expl'!X95,'Compte résultat prévi'!$G$5,'Hypotheses expl'!Y95)+SUMIF('Hypotheses expl'!Z95,'Compte résultat prévi'!$G$5,'Hypotheses expl'!AA95)+SUMIF('Hypotheses expl'!AB95,'Compte résultat prévi'!$G$5,'Hypotheses expl'!AC95)</f>
        <v>0</v>
      </c>
      <c r="H41" s="202">
        <f>+SUMIF('Hypotheses expl'!R95,'Compte résultat prévi'!$H$5,'Hypotheses expl'!S95)+SUMIF('Hypotheses expl'!T95,'Compte résultat prévi'!$H$5,'Hypotheses expl'!U95)+SUMIF('Hypotheses expl'!V95,'Compte résultat prévi'!$H$5,'Hypotheses expl'!W95)+SUMIF('Hypotheses expl'!X95,'Compte résultat prévi'!$H$5,'Hypotheses expl'!Y95)+SUMIF('Hypotheses expl'!Z95,'Compte résultat prévi'!$H$5,'Hypotheses expl'!AA95)+SUMIF('Hypotheses expl'!AB95,'Compte résultat prévi'!$H$5,'Hypotheses expl'!AC95)</f>
        <v>0</v>
      </c>
      <c r="I41" s="200">
        <f>'Hypotheses expl (3,)'!O95</f>
        <v>0</v>
      </c>
      <c r="J41" s="201">
        <f>+SUMIF('Hypotheses expl (3,)'!R95,'Compte résultat prévi'!$J$5,'Hypotheses expl (3,)'!S95)+SUMIF('Hypotheses expl (3,)'!T95,'Compte résultat prévi'!$J$5,'Hypotheses expl (3,)'!U95)+SUMIF('Hypotheses expl (3,)'!V95,'Compte résultat prévi'!$J$5,'Hypotheses expl (3,)'!W95)+SUMIF('Hypotheses expl (3,)'!X95,'Compte résultat prévi'!$J$5,'Hypotheses expl (3,)'!Y95)+SUMIF('Hypotheses expl (3,)'!Z95,'Compte résultat prévi'!$J$5,'Hypotheses expl (3,)'!AA95)+SUMIF('Hypotheses expl (3,)'!AB95,'Compte résultat prévi'!$J$5,'Hypotheses expl (3,)'!AC95)</f>
        <v>0</v>
      </c>
      <c r="K41" s="201">
        <f>+SUMIF('Hypotheses expl (3,)'!R95,'Compte résultat prévi'!$K$5,'Hypotheses expl (3,)'!S95)+SUMIF('Hypotheses expl (3,)'!T95,'Compte résultat prévi'!$K$5,'Hypotheses expl (3,)'!U95)+SUMIF('Hypotheses expl (3,)'!V95,'Compte résultat prévi'!$K$5,'Hypotheses expl (3,)'!W95)+SUMIF('Hypotheses expl (3,)'!X95,'Compte résultat prévi'!$K$5,'Hypotheses expl (3,)'!Y95)+SUMIF('Hypotheses expl (3,)'!Z95,'Compte résultat prévi'!$K$5,'Hypotheses expl (3,)'!AA95)+SUMIF('Hypotheses expl (3,)'!AB95,'Compte résultat prévi'!$K$5,'Hypotheses expl (3,)'!AC95)</f>
        <v>0</v>
      </c>
      <c r="L41" s="201">
        <f>+SUMIF('Hypotheses expl (3,)'!R95,'Compte résultat prévi'!$L$5,'Hypotheses expl (3,)'!S95)+SUMIF('Hypotheses expl (3,)'!T95,'Compte résultat prévi'!$L$5,'Hypotheses expl (3,)'!U95)+SUMIF('Hypotheses expl (3,)'!V95,'Compte résultat prévi'!$L$5,'Hypotheses expl (3,)'!W95)+SUMIF('Hypotheses expl (3,)'!X95,'Compte résultat prévi'!$L$5,'Hypotheses expl (3,)'!Y95)+SUMIF('Hypotheses expl (3,)'!Z95,'Compte résultat prévi'!$L$5,'Hypotheses expl (3,)'!AA95)+SUMIF('Hypotheses expl (3,)'!AB95,'Compte résultat prévi'!$L$5,'Hypotheses expl (3,)'!AC95)</f>
        <v>0</v>
      </c>
      <c r="M41" s="201">
        <f>+SUMIF('Hypotheses expl (3,)'!R95,'Compte résultat prévi'!$M$5,'Hypotheses expl (3,)'!S95)+SUMIF('Hypotheses expl (3,)'!T95,'Compte résultat prévi'!$M$5,'Hypotheses expl (3,)'!U95)+SUMIF('Hypotheses expl (3,)'!V95,'Compte résultat prévi'!$M$5,'Hypotheses expl (3,)'!W95)+SUMIF('Hypotheses expl (3,)'!X95,'Compte résultat prévi'!$M$5,'Hypotheses expl (3,)'!Y95)+SUMIF('Hypotheses expl (3,)'!Z95,'Compte résultat prévi'!$M$5,'Hypotheses expl (3,)'!AA95)+SUMIF('Hypotheses expl (3,)'!AB95,'Compte résultat prévi'!$M$5,'Hypotheses expl (3,)'!AC95)</f>
        <v>0</v>
      </c>
      <c r="N41" s="202">
        <f>+SUMIF('Hypotheses expl (3,)'!R95,'Compte résultat prévi'!$N$5,'Hypotheses expl (3,)'!S95)+SUMIF('Hypotheses expl (3,)'!T95,'Compte résultat prévi'!$N$5,'Hypotheses expl (3,)'!U95)+SUMIF('Hypotheses expl (3,)'!V95,'Compte résultat prévi'!$N$5,'Hypotheses expl (3,)'!W95)+SUMIF('Hypotheses expl (3,)'!X95,'Compte résultat prévi'!$N$5,'Hypotheses expl (3,)'!Y95)+SUMIF('Hypotheses expl (3,)'!Z95,'Compte résultat prévi'!$N$5,'Hypotheses expl (3,)'!AA95)+SUMIF('Hypotheses expl (3,)'!AB95,'Compte résultat prévi'!$N$5,'Hypotheses expl (3,)'!AC95)</f>
        <v>0</v>
      </c>
      <c r="O41" s="200">
        <f>'Hypotheses expl (2)'!O95</f>
        <v>0</v>
      </c>
      <c r="P41" s="201">
        <f>+SUMIF('Hypotheses expl (2)'!R95,'Compte résultat prévi'!$P$5,'Hypotheses expl (2)'!S95)+SUMIF('Hypotheses expl (2)'!T95,'Compte résultat prévi'!$P$5,'Hypotheses expl (2)'!U95)+SUMIF('Hypotheses expl (2)'!V95,'Compte résultat prévi'!$P$5,'Hypotheses expl (2)'!W95)+SUMIF('Hypotheses expl (2)'!X95,'Compte résultat prévi'!$P$5,'Hypotheses expl (2)'!Y95)+SUMIF('Hypotheses expl (2)'!Z95,'Compte résultat prévi'!$P$5,'Hypotheses expl (2)'!AA95)+SUMIF('Hypotheses expl (2)'!AB95,'Compte résultat prévi'!$P$5,'Hypotheses expl (2)'!AC95)</f>
        <v>0</v>
      </c>
      <c r="Q41" s="201">
        <f>+SUMIF('Hypotheses expl (2)'!R95,'Compte résultat prévi'!$Q$5,'Hypotheses expl (2)'!S95)+SUMIF('Hypotheses expl (2)'!T95,'Compte résultat prévi'!$Q$5,'Hypotheses expl (2)'!U95)+SUMIF('Hypotheses expl (2)'!V95,'Compte résultat prévi'!$Q$5,'Hypotheses expl (2)'!W95)+SUMIF('Hypotheses expl (2)'!X95,'Compte résultat prévi'!$Q$5,'Hypotheses expl (2)'!Y95)+SUMIF('Hypotheses expl (2)'!Z95,'Compte résultat prévi'!$Q$5,'Hypotheses expl (2)'!AA95)+SUMIF('Hypotheses expl (2)'!AB95,'Compte résultat prévi'!$Q$5,'Hypotheses expl (2)'!AC95)</f>
        <v>0</v>
      </c>
      <c r="R41" s="201">
        <f>+SUMIF('Hypotheses expl (2)'!R95,'Compte résultat prévi'!$R$5,'Hypotheses expl (2)'!S95)+SUMIF('Hypotheses expl (2)'!T95,'Compte résultat prévi'!$R$5,'Hypotheses expl (2)'!U95)+SUMIF('Hypotheses expl (2)'!V95,'Compte résultat prévi'!$R$5,'Hypotheses expl (2)'!W95)+SUMIF('Hypotheses expl (2)'!X95,'Compte résultat prévi'!$R$5,'Hypotheses expl (2)'!Y95)+SUMIF('Hypotheses expl (2)'!Z95,'Compte résultat prévi'!$R$5,'Hypotheses expl (2)'!AA95)+SUMIF('Hypotheses expl (2)'!AB95,'Compte résultat prévi'!$R$5,'Hypotheses expl (2)'!AC95)</f>
        <v>0</v>
      </c>
      <c r="S41" s="201">
        <f>+SUMIF('Hypotheses expl (2)'!R95,'Compte résultat prévi'!$S$5,'Hypotheses expl (2)'!S95)+SUMIF('Hypotheses expl (2)'!T95,'Compte résultat prévi'!$S$5,'Hypotheses expl (2)'!U95)+SUMIF('Hypotheses expl (2)'!V95,'Compte résultat prévi'!$S$5,'Hypotheses expl (2)'!W95)+SUMIF('Hypotheses expl (2)'!X95,'Compte résultat prévi'!$S$5,'Hypotheses expl (2)'!Y95)+SUMIF('Hypotheses expl (2)'!Z95,'Compte résultat prévi'!$S$5,'Hypotheses expl (2)'!AA95)+SUMIF('Hypotheses expl (2)'!AB95,'Compte résultat prévi'!$S$5,'Hypotheses expl (2)'!AC95)</f>
        <v>0</v>
      </c>
      <c r="T41" s="202">
        <f>+SUMIF('Hypotheses expl (2)'!R95,'Compte résultat prévi'!$T$5,'Hypotheses expl (2)'!S95)+SUMIF('Hypotheses expl (2)'!T95,'Compte résultat prévi'!$T$5,'Hypotheses expl (2)'!U95)+SUMIF('Hypotheses expl (2)'!V95,'Compte résultat prévi'!$T$5,'Hypotheses expl (2)'!W95)+SUMIF('Hypotheses expl (2)'!X95,'Compte résultat prévi'!$T$5,'Hypotheses expl (2)'!Y95)+SUMIF('Hypotheses expl (2)'!Z95,'Compte résultat prévi'!$T$5,'Hypotheses expl (2)'!AA95)+SUMIF('Hypotheses expl (2)'!AB95,'Compte résultat prévi'!$T$5,'Hypotheses expl (2)'!AC95)</f>
        <v>0</v>
      </c>
      <c r="U41" s="203"/>
      <c r="V41" s="204"/>
    </row>
    <row r="42" ht="15">
      <c r="A42" s="212"/>
      <c r="B42" s="213"/>
      <c r="C42" s="214"/>
      <c r="D42" s="169"/>
      <c r="E42" s="169"/>
      <c r="F42" s="169"/>
      <c r="G42" s="169"/>
      <c r="H42" s="215"/>
      <c r="I42" s="214"/>
      <c r="J42" s="169"/>
      <c r="K42" s="169"/>
      <c r="L42" s="169"/>
      <c r="M42" s="169"/>
      <c r="N42" s="215"/>
      <c r="O42" s="214"/>
      <c r="P42" s="169"/>
      <c r="Q42" s="169"/>
      <c r="R42" s="169"/>
      <c r="S42" s="169"/>
      <c r="T42" s="215"/>
      <c r="U42" s="216"/>
      <c r="V42" s="217"/>
    </row>
    <row r="43" ht="18.600000000000001">
      <c r="A43" s="218" t="s">
        <v>313</v>
      </c>
      <c r="B43" s="219"/>
      <c r="C43" s="220">
        <f t="shared" ref="C43:V43" si="212">C6+C18+C39+C40+C41</f>
        <v>2144222.5800000001</v>
      </c>
      <c r="D43" s="220">
        <f t="shared" si="212"/>
        <v>577322.95808811311</v>
      </c>
      <c r="E43" s="220">
        <f t="shared" si="212"/>
        <v>868054.5765419784</v>
      </c>
      <c r="F43" s="220">
        <f t="shared" si="212"/>
        <v>375616.04536990856</v>
      </c>
      <c r="G43" s="220">
        <f t="shared" si="212"/>
        <v>323229</v>
      </c>
      <c r="H43" s="221">
        <f t="shared" si="212"/>
        <v>0</v>
      </c>
      <c r="I43" s="220">
        <f t="shared" si="212"/>
        <v>2259558.5800000001</v>
      </c>
      <c r="J43" s="220">
        <f t="shared" si="212"/>
        <v>576822.95808811311</v>
      </c>
      <c r="K43" s="220">
        <f t="shared" si="212"/>
        <v>850434.5765419784</v>
      </c>
      <c r="L43" s="220">
        <f t="shared" si="212"/>
        <v>375116.04536990856</v>
      </c>
      <c r="M43" s="220">
        <f t="shared" si="212"/>
        <v>447185</v>
      </c>
      <c r="N43" s="221">
        <f t="shared" si="212"/>
        <v>10000</v>
      </c>
      <c r="O43" s="220">
        <f t="shared" si="212"/>
        <v>2342865</v>
      </c>
      <c r="P43" s="220">
        <f t="shared" si="212"/>
        <v>573858.43142144638</v>
      </c>
      <c r="Q43" s="220">
        <f t="shared" si="212"/>
        <v>847470.04987531179</v>
      </c>
      <c r="R43" s="220">
        <f t="shared" si="212"/>
        <v>413151.51870324189</v>
      </c>
      <c r="S43" s="220">
        <f t="shared" si="212"/>
        <v>388385</v>
      </c>
      <c r="T43" s="221">
        <f t="shared" si="212"/>
        <v>120000</v>
      </c>
      <c r="U43" s="220">
        <f t="shared" si="212"/>
        <v>0</v>
      </c>
      <c r="V43" s="221">
        <f t="shared" si="212"/>
        <v>0</v>
      </c>
    </row>
    <row r="44" ht="18.600000000000001">
      <c r="A44" s="222"/>
      <c r="B44" s="223"/>
      <c r="C44" s="224"/>
      <c r="D44" s="225"/>
      <c r="E44" s="225"/>
      <c r="F44" s="225"/>
      <c r="G44" s="225"/>
      <c r="H44" s="226"/>
      <c r="I44" s="224"/>
      <c r="J44" s="225"/>
      <c r="K44" s="225"/>
      <c r="L44" s="225"/>
      <c r="M44" s="225"/>
      <c r="N44" s="226"/>
      <c r="O44" s="224"/>
      <c r="P44" s="225"/>
      <c r="Q44" s="225"/>
      <c r="R44" s="225"/>
      <c r="S44" s="225"/>
      <c r="T44" s="226"/>
      <c r="U44" s="227"/>
      <c r="V44" s="228"/>
    </row>
    <row r="45" ht="18">
      <c r="A45" s="229" t="s">
        <v>314</v>
      </c>
      <c r="B45" s="230"/>
      <c r="C45" s="231">
        <f>+SUM(C46:C82)</f>
        <v>549115.09999999998</v>
      </c>
      <c r="D45" s="232">
        <f t="shared" ref="D45:V45" si="213">+SUM(D46:D82)</f>
        <v>52763.825621890552</v>
      </c>
      <c r="E45" s="232">
        <f t="shared" si="213"/>
        <v>29435.712935323387</v>
      </c>
      <c r="F45" s="232">
        <f>+SUM(F46:F82)</f>
        <v>31540.588805970146</v>
      </c>
      <c r="G45" s="232">
        <f t="shared" si="213"/>
        <v>12782.972636815923</v>
      </c>
      <c r="H45" s="233">
        <f t="shared" si="213"/>
        <v>422592</v>
      </c>
      <c r="I45" s="231">
        <f>+SUM(I46:I82)</f>
        <v>605263.09999999998</v>
      </c>
      <c r="J45" s="232">
        <f t="shared" ref="J45:M45" si="214">+SUM(J46:J82)</f>
        <v>52763.825621890552</v>
      </c>
      <c r="K45" s="232">
        <f t="shared" si="214"/>
        <v>29435.712935323387</v>
      </c>
      <c r="L45" s="232">
        <f t="shared" si="214"/>
        <v>31540.588805970146</v>
      </c>
      <c r="M45" s="232">
        <f t="shared" si="214"/>
        <v>12782.972636815923</v>
      </c>
      <c r="N45" s="233">
        <f>+SUM(N46:N82)</f>
        <v>476882</v>
      </c>
      <c r="O45" s="231" t="e">
        <f>+SUM(O46:O82)</f>
        <v>#REF!</v>
      </c>
      <c r="P45" s="232" t="e">
        <f t="shared" ref="P45:T45" si="215">+SUM(P46:P82)</f>
        <v>#REF!</v>
      </c>
      <c r="Q45" s="232" t="e">
        <f t="shared" si="215"/>
        <v>#REF!</v>
      </c>
      <c r="R45" s="232" t="e">
        <f t="shared" si="215"/>
        <v>#REF!</v>
      </c>
      <c r="S45" s="232" t="e">
        <f t="shared" si="215"/>
        <v>#REF!</v>
      </c>
      <c r="T45" s="233" t="e">
        <f t="shared" si="215"/>
        <v>#REF!</v>
      </c>
      <c r="U45" s="231">
        <f t="shared" si="213"/>
        <v>0</v>
      </c>
      <c r="V45" s="233">
        <f t="shared" si="213"/>
        <v>0</v>
      </c>
    </row>
    <row r="46" outlineLevel="1">
      <c r="A46" s="198" t="str">
        <f>'Hypotheses expl'!B101</f>
        <v xml:space="preserve">Voyage SENEGAL</v>
      </c>
      <c r="B46" s="234"/>
      <c r="C46" s="200">
        <f>+'Hypotheses expl'!O101</f>
        <v>0</v>
      </c>
      <c r="D46" s="201">
        <f>+SUMIF('Hypotheses expl'!R101,'Compte résultat prévi'!$D$5,'Hypotheses expl'!S101)+SUMIF('Hypotheses expl'!T101,'Compte résultat prévi'!$D$5,'Hypotheses expl'!U101)+SUMIF('Hypotheses expl'!V101,'Compte résultat prévi'!$D$5,'Hypotheses expl'!W101)+SUMIF('Hypotheses expl'!X101,'Compte résultat prévi'!$D$5,'Hypotheses expl'!Y101)+SUMIF('Hypotheses expl'!Z101,'Compte résultat prévi'!$D$5,'Hypotheses expl'!AA101)+SUMIF('Hypotheses expl'!AB101,'Compte résultat prévi'!$D$5,'Hypotheses expl'!AC101)</f>
        <v>0</v>
      </c>
      <c r="E46" s="201">
        <f>+SUMIF('Hypotheses expl'!R101,'Compte résultat prévi'!$E$5,'Hypotheses expl'!S101)+SUMIF('Hypotheses expl'!T101,'Compte résultat prévi'!$E$5,'Hypotheses expl'!U101)+SUMIF('Hypotheses expl'!V101,'Compte résultat prévi'!$E$5,'Hypotheses expl'!W101)+SUMIF('Hypotheses expl'!X101,'Compte résultat prévi'!$E$5,'Hypotheses expl'!Y101)+SUMIF('Hypotheses expl'!Z101,'Compte résultat prévi'!$E$5,'Hypotheses expl'!AA101)+SUMIF('Hypotheses expl'!AB101,'Compte résultat prévi'!$E$5,'Hypotheses expl'!AC101)</f>
        <v>0</v>
      </c>
      <c r="F46" s="201">
        <f>+SUMIF('Hypotheses expl'!R101,'Compte résultat prévi'!$F$5,'Hypotheses expl'!S101)+SUMIF('Hypotheses expl'!T101,'Compte résultat prévi'!$F$5,'Hypotheses expl'!U101)+SUMIF('Hypotheses expl'!V101,'Compte résultat prévi'!$F$5,'Hypotheses expl'!W101)+SUMIF('Hypotheses expl'!X101,'Compte résultat prévi'!$F$5,'Hypotheses expl'!Y101)+SUMIF('Hypotheses expl'!Z101,'Compte résultat prévi'!$F$5,'Hypotheses expl'!AA101)+SUMIF('Hypotheses expl'!AB101,'Compte résultat prévi'!$F$5,'Hypotheses expl'!AC101)</f>
        <v>0</v>
      </c>
      <c r="G46" s="201">
        <f>+SUMIF('Hypotheses expl'!R101,'Compte résultat prévi'!$G$5,'Hypotheses expl'!S101)+SUMIF('Hypotheses expl'!T101,'Compte résultat prévi'!$G$5,'Hypotheses expl'!U101)+SUMIF('Hypotheses expl'!V101,'Compte résultat prévi'!$G$5,'Hypotheses expl'!W101)+SUMIF('Hypotheses expl'!X101,'Compte résultat prévi'!$G$5,'Hypotheses expl'!Y101)+SUMIF('Hypotheses expl'!Z101,'Compte résultat prévi'!$G$5,'Hypotheses expl'!AA101)+SUMIF('Hypotheses expl'!AB101,'Compte résultat prévi'!$G$5,'Hypotheses expl'!AC101)</f>
        <v>0</v>
      </c>
      <c r="H46" s="202">
        <f>+SUMIF('Hypotheses expl'!R101,'Compte résultat prévi'!$H$5,'Hypotheses expl'!S101)+SUMIF('Hypotheses expl'!T101,'Compte résultat prévi'!$H$5,'Hypotheses expl'!U101)+SUMIF('Hypotheses expl'!V101,'Compte résultat prévi'!$H$5,'Hypotheses expl'!W101)+SUMIF('Hypotheses expl'!X101,'Compte résultat prévi'!$H$5,'Hypotheses expl'!Y101)+SUMIF('Hypotheses expl'!Z101,'Compte résultat prévi'!$H$5,'Hypotheses expl'!AA101)+SUMIF('Hypotheses expl'!AB101,'Compte résultat prévi'!$H$5,'Hypotheses expl'!AC101)</f>
        <v>0</v>
      </c>
      <c r="I46" s="200">
        <f>+'Hypotheses expl (3,)'!O101</f>
        <v>0</v>
      </c>
      <c r="J46" s="201">
        <f>+SUMIF('Hypotheses expl (3,)'!R101,'Compte résultat prévi'!$J$5,'Hypotheses expl (3,)'!S101)+SUMIF('Hypotheses expl (3,)'!T101,'Compte résultat prévi'!$J$5,'Hypotheses expl (3,)'!U101)+SUMIF('Hypotheses expl (3,)'!V101,'Compte résultat prévi'!$J$5,'Hypotheses expl (3,)'!W101)+SUMIF('Hypotheses expl (3,)'!X101,'Compte résultat prévi'!$J$5,'Hypotheses expl (3,)'!Y101)+SUMIF('Hypotheses expl (3,)'!Z101,'Compte résultat prévi'!$J$5,'Hypotheses expl (3,)'!AA101)+SUMIF('Hypotheses expl (3,)'!AB101,'Compte résultat prévi'!$J$5,'Hypotheses expl (3,)'!AC101)</f>
        <v>0</v>
      </c>
      <c r="K46" s="201">
        <f>+SUMIF('Hypotheses expl (3,)'!R101,'Compte résultat prévi'!$K$5,'Hypotheses expl (3,)'!S101)+SUMIF('Hypotheses expl (3,)'!T101,'Compte résultat prévi'!$K$5,'Hypotheses expl (3,)'!U101)+SUMIF('Hypotheses expl (3,)'!V101,'Compte résultat prévi'!$K$5,'Hypotheses expl (3,)'!W101)+SUMIF('Hypotheses expl (3,)'!X101,'Compte résultat prévi'!$K$5,'Hypotheses expl (3,)'!Y101)+SUMIF('Hypotheses expl (3,)'!Z101,'Compte résultat prévi'!$K$5,'Hypotheses expl (3,)'!AA101)+SUMIF('Hypotheses expl (3,)'!AB101,'Compte résultat prévi'!$K$5,'Hypotheses expl (3,)'!AC101)</f>
        <v>0</v>
      </c>
      <c r="L46" s="201">
        <f>+SUMIF('Hypotheses expl (3,)'!R101,'Compte résultat prévi'!$L$5,'Hypotheses expl (3,)'!S101)+SUMIF('Hypotheses expl (3,)'!T101,'Compte résultat prévi'!$L$5,'Hypotheses expl (3,)'!U101)+SUMIF('Hypotheses expl (3,)'!V101,'Compte résultat prévi'!$L$5,'Hypotheses expl (3,)'!W101)+SUMIF('Hypotheses expl (3,)'!X101,'Compte résultat prévi'!$L$5,'Hypotheses expl (3,)'!Y101)+SUMIF('Hypotheses expl (3,)'!Z101,'Compte résultat prévi'!$L$5,'Hypotheses expl (3,)'!AA101)+SUMIF('Hypotheses expl (3,)'!AB101,'Compte résultat prévi'!$L$5,'Hypotheses expl (3,)'!AC101)</f>
        <v>0</v>
      </c>
      <c r="M46" s="201">
        <f>+SUMIF('Hypotheses expl (3,)'!R101,'Compte résultat prévi'!$M$5,'Hypotheses expl (3,)'!S101)+SUMIF('Hypotheses expl (3,)'!T101,'Compte résultat prévi'!$M$5,'Hypotheses expl (3,)'!U101)+SUMIF('Hypotheses expl (3,)'!V101,'Compte résultat prévi'!$M$5,'Hypotheses expl (3,)'!W101)+SUMIF('Hypotheses expl (3,)'!X101,'Compte résultat prévi'!$M$5,'Hypotheses expl (3,)'!Y101)+SUMIF('Hypotheses expl (3,)'!Z101,'Compte résultat prévi'!$M$5,'Hypotheses expl (3,)'!AA101)+SUMIF('Hypotheses expl (3,)'!AB101,'Compte résultat prévi'!$M$5,'Hypotheses expl (3,)'!AC101)</f>
        <v>0</v>
      </c>
      <c r="N46" s="202">
        <f>+SUMIF('Hypotheses expl (3,)'!R101,'Compte résultat prévi'!$N$5,'Hypotheses expl (3,)'!S101)+SUMIF('Hypotheses expl (3,)'!T101,'Compte résultat prévi'!$N$5,'Hypotheses expl (3,)'!U101)+SUMIF('Hypotheses expl (3,)'!V101,'Compte résultat prévi'!$N$5,'Hypotheses expl (3,)'!W101)+SUMIF('Hypotheses expl (3,)'!X101,'Compte résultat prévi'!$N$5,'Hypotheses expl (3,)'!Y101)+SUMIF('Hypotheses expl (3,)'!Z101,'Compte résultat prévi'!$N$5,'Hypotheses expl (3,)'!AA101)+SUMIF('Hypotheses expl (3,)'!AB101,'Compte résultat prévi'!$N$5,'Hypotheses expl (3,)'!AC101)</f>
        <v>0</v>
      </c>
      <c r="O46" s="200">
        <f>+'Hypotheses expl (2)'!O101</f>
        <v>0</v>
      </c>
      <c r="P46" s="201">
        <f>+SUMIF('Hypotheses expl (2)'!R101,'Compte résultat prévi'!$P$5,'Hypotheses expl (2)'!S101)+SUMIF('Hypotheses expl (2)'!T101,'Compte résultat prévi'!$P$5,'Hypotheses expl (2)'!U101)+SUMIF('Hypotheses expl (2)'!V101,'Compte résultat prévi'!$P$5,'Hypotheses expl (2)'!W101)+SUMIF('Hypotheses expl (2)'!X101,'Compte résultat prévi'!$P$5,'Hypotheses expl (2)'!Y101)+SUMIF('Hypotheses expl (2)'!Z101,'Compte résultat prévi'!$P$5,'Hypotheses expl (2)'!AA101)+SUMIF('Hypotheses expl (2)'!AB101,'Compte résultat prévi'!$P$5,'Hypotheses expl (2)'!AC101)</f>
        <v>0</v>
      </c>
      <c r="Q46" s="201">
        <f>+SUMIF('Hypotheses expl (2)'!R101,'Compte résultat prévi'!$Q$5,'Hypotheses expl (2)'!S101)+SUMIF('Hypotheses expl (2)'!T101,'Compte résultat prévi'!$Q$5,'Hypotheses expl (2)'!U101)+SUMIF('Hypotheses expl (2)'!V101,'Compte résultat prévi'!$Q$5,'Hypotheses expl (2)'!W101)+SUMIF('Hypotheses expl (2)'!X101,'Compte résultat prévi'!$Q$5,'Hypotheses expl (2)'!Y101)+SUMIF('Hypotheses expl (2)'!Z101,'Compte résultat prévi'!$Q$5,'Hypotheses expl (2)'!AA101)+SUMIF('Hypotheses expl (2)'!AB101,'Compte résultat prévi'!$Q$5,'Hypotheses expl (2)'!AC101)</f>
        <v>0</v>
      </c>
      <c r="R46" s="201">
        <f>+SUMIF('Hypotheses expl (2)'!R101,'Compte résultat prévi'!$R$5,'Hypotheses expl (2)'!S101)+SUMIF('Hypotheses expl (2)'!T101,'Compte résultat prévi'!$R$5,'Hypotheses expl (2)'!U101)+SUMIF('Hypotheses expl (2)'!V101,'Compte résultat prévi'!$R$5,'Hypotheses expl (2)'!W101)+SUMIF('Hypotheses expl (2)'!X101,'Compte résultat prévi'!$R$5,'Hypotheses expl (2)'!Y101)+SUMIF('Hypotheses expl (2)'!Z101,'Compte résultat prévi'!$R$5,'Hypotheses expl (2)'!AA101)+SUMIF('Hypotheses expl (2)'!AB101,'Compte résultat prévi'!$R$5,'Hypotheses expl (2)'!AC101)</f>
        <v>0</v>
      </c>
      <c r="S46" s="201">
        <f>+SUMIF('Hypotheses expl (2)'!R101,'Compte résultat prévi'!$S$5,'Hypotheses expl (2)'!S101)+SUMIF('Hypotheses expl (2)'!T101,'Compte résultat prévi'!$S$5,'Hypotheses expl (2)'!U101)+SUMIF('Hypotheses expl (2)'!V101,'Compte résultat prévi'!$S$5,'Hypotheses expl (2)'!W101)+SUMIF('Hypotheses expl (2)'!X101,'Compte résultat prévi'!$S$5,'Hypotheses expl (2)'!Y101)+SUMIF('Hypotheses expl (2)'!Z101,'Compte résultat prévi'!$S$5,'Hypotheses expl (2)'!AA101)+SUMIF('Hypotheses expl (2)'!AB101,'Compte résultat prévi'!$S$5,'Hypotheses expl (2)'!AC101)</f>
        <v>0</v>
      </c>
      <c r="T46" s="202">
        <f>+SUMIF('Hypotheses expl (2)'!R101,'Compte résultat prévi'!$T$5,'Hypotheses expl (2)'!S101)+SUMIF('Hypotheses expl (2)'!T101,'Compte résultat prévi'!$T$5,'Hypotheses expl (2)'!U101)+SUMIF('Hypotheses expl (2)'!V101,'Compte résultat prévi'!$T$5,'Hypotheses expl (2)'!W101)+SUMIF('Hypotheses expl (2)'!X101,'Compte résultat prévi'!$T$5,'Hypotheses expl (2)'!Y101)+SUMIF('Hypotheses expl (2)'!Z101,'Compte résultat prévi'!$T$5,'Hypotheses expl (2)'!AA101)+SUMIF('Hypotheses expl (2)'!AB101,'Compte résultat prévi'!$T$5,'Hypotheses expl (2)'!AC101)</f>
        <v>0</v>
      </c>
      <c r="U46" s="203"/>
      <c r="V46" s="204"/>
    </row>
    <row r="47" outlineLevel="1">
      <c r="A47" s="198" t="str">
        <f>'Hypotheses expl'!B102</f>
        <v>STC</v>
      </c>
      <c r="B47" s="234"/>
      <c r="C47" s="200">
        <f>+'Hypotheses expl'!O102</f>
        <v>0</v>
      </c>
      <c r="D47" s="201">
        <f>+SUMIF('Hypotheses expl'!R102,'Compte résultat prévi'!$D$5,'Hypotheses expl'!S102)+SUMIF('Hypotheses expl'!T102,'Compte résultat prévi'!$D$5,'Hypotheses expl'!U102)+SUMIF('Hypotheses expl'!V102,'Compte résultat prévi'!$D$5,'Hypotheses expl'!W102)+SUMIF('Hypotheses expl'!X102,'Compte résultat prévi'!$D$5,'Hypotheses expl'!Y102)+SUMIF('Hypotheses expl'!Z102,'Compte résultat prévi'!$D$5,'Hypotheses expl'!AA102)+SUMIF('Hypotheses expl'!AB102,'Compte résultat prévi'!$D$5,'Hypotheses expl'!AC102)</f>
        <v>0</v>
      </c>
      <c r="E47" s="201">
        <f>+SUMIF('Hypotheses expl'!R102,'Compte résultat prévi'!$E$5,'Hypotheses expl'!S102)+SUMIF('Hypotheses expl'!T102,'Compte résultat prévi'!$E$5,'Hypotheses expl'!U102)+SUMIF('Hypotheses expl'!V102,'Compte résultat prévi'!$E$5,'Hypotheses expl'!W102)+SUMIF('Hypotheses expl'!X102,'Compte résultat prévi'!$E$5,'Hypotheses expl'!Y102)+SUMIF('Hypotheses expl'!Z102,'Compte résultat prévi'!$E$5,'Hypotheses expl'!AA102)+SUMIF('Hypotheses expl'!AB102,'Compte résultat prévi'!$E$5,'Hypotheses expl'!AC102)</f>
        <v>0</v>
      </c>
      <c r="F47" s="201">
        <f>+SUMIF('Hypotheses expl'!R102,'Compte résultat prévi'!$F$5,'Hypotheses expl'!S102)+SUMIF('Hypotheses expl'!T102,'Compte résultat prévi'!$F$5,'Hypotheses expl'!U102)+SUMIF('Hypotheses expl'!V102,'Compte résultat prévi'!$F$5,'Hypotheses expl'!W102)+SUMIF('Hypotheses expl'!X102,'Compte résultat prévi'!$F$5,'Hypotheses expl'!Y102)+SUMIF('Hypotheses expl'!Z102,'Compte résultat prévi'!$F$5,'Hypotheses expl'!AA102)+SUMIF('Hypotheses expl'!AB102,'Compte résultat prévi'!$F$5,'Hypotheses expl'!AC102)</f>
        <v>0</v>
      </c>
      <c r="G47" s="201">
        <f>+SUMIF('Hypotheses expl'!R102,'Compte résultat prévi'!$G$5,'Hypotheses expl'!S102)+SUMIF('Hypotheses expl'!T102,'Compte résultat prévi'!$G$5,'Hypotheses expl'!U102)+SUMIF('Hypotheses expl'!V102,'Compte résultat prévi'!$G$5,'Hypotheses expl'!W102)+SUMIF('Hypotheses expl'!X102,'Compte résultat prévi'!$G$5,'Hypotheses expl'!Y102)+SUMIF('Hypotheses expl'!Z102,'Compte résultat prévi'!$G$5,'Hypotheses expl'!AA102)+SUMIF('Hypotheses expl'!AB102,'Compte résultat prévi'!$G$5,'Hypotheses expl'!AC102)</f>
        <v>0</v>
      </c>
      <c r="H47" s="202">
        <f>+SUMIF('Hypotheses expl'!R102,'Compte résultat prévi'!$H$5,'Hypotheses expl'!S102)+SUMIF('Hypotheses expl'!T102,'Compte résultat prévi'!$H$5,'Hypotheses expl'!U102)+SUMIF('Hypotheses expl'!V102,'Compte résultat prévi'!$H$5,'Hypotheses expl'!W102)+SUMIF('Hypotheses expl'!X102,'Compte résultat prévi'!$H$5,'Hypotheses expl'!Y102)+SUMIF('Hypotheses expl'!Z102,'Compte résultat prévi'!$H$5,'Hypotheses expl'!AA102)+SUMIF('Hypotheses expl'!AB102,'Compte résultat prévi'!$H$5,'Hypotheses expl'!AC102)</f>
        <v>0</v>
      </c>
      <c r="I47" s="200">
        <f>+'Hypotheses expl (3,)'!O102</f>
        <v>0</v>
      </c>
      <c r="J47" s="201">
        <f>+SUMIF('Hypotheses expl (3,)'!R102,'Compte résultat prévi'!$J$5,'Hypotheses expl (3,)'!S102)+SUMIF('Hypotheses expl (3,)'!T102,'Compte résultat prévi'!$J$5,'Hypotheses expl (3,)'!U102)+SUMIF('Hypotheses expl (3,)'!V102,'Compte résultat prévi'!$J$5,'Hypotheses expl (3,)'!W102)+SUMIF('Hypotheses expl (3,)'!X102,'Compte résultat prévi'!$J$5,'Hypotheses expl (3,)'!Y102)+SUMIF('Hypotheses expl (3,)'!Z102,'Compte résultat prévi'!$J$5,'Hypotheses expl (3,)'!AA102)+SUMIF('Hypotheses expl (3,)'!AB102,'Compte résultat prévi'!$J$5,'Hypotheses expl (3,)'!AC102)</f>
        <v>0</v>
      </c>
      <c r="K47" s="201">
        <f>+SUMIF('Hypotheses expl (3,)'!R102,'Compte résultat prévi'!$K$5,'Hypotheses expl (3,)'!S102)+SUMIF('Hypotheses expl (3,)'!T102,'Compte résultat prévi'!$K$5,'Hypotheses expl (3,)'!U102)+SUMIF('Hypotheses expl (3,)'!V102,'Compte résultat prévi'!$K$5,'Hypotheses expl (3,)'!W102)+SUMIF('Hypotheses expl (3,)'!X102,'Compte résultat prévi'!$K$5,'Hypotheses expl (3,)'!Y102)+SUMIF('Hypotheses expl (3,)'!Z102,'Compte résultat prévi'!$K$5,'Hypotheses expl (3,)'!AA102)+SUMIF('Hypotheses expl (3,)'!AB102,'Compte résultat prévi'!$K$5,'Hypotheses expl (3,)'!AC102)</f>
        <v>0</v>
      </c>
      <c r="L47" s="201">
        <f>+SUMIF('Hypotheses expl (3,)'!R102,'Compte résultat prévi'!$L$5,'Hypotheses expl (3,)'!S102)+SUMIF('Hypotheses expl (3,)'!T102,'Compte résultat prévi'!$L$5,'Hypotheses expl (3,)'!U102)+SUMIF('Hypotheses expl (3,)'!V102,'Compte résultat prévi'!$L$5,'Hypotheses expl (3,)'!W102)+SUMIF('Hypotheses expl (3,)'!X102,'Compte résultat prévi'!$L$5,'Hypotheses expl (3,)'!Y102)+SUMIF('Hypotheses expl (3,)'!Z102,'Compte résultat prévi'!$L$5,'Hypotheses expl (3,)'!AA102)+SUMIF('Hypotheses expl (3,)'!AB102,'Compte résultat prévi'!$L$5,'Hypotheses expl (3,)'!AC102)</f>
        <v>0</v>
      </c>
      <c r="M47" s="201">
        <f>+SUMIF('Hypotheses expl (3,)'!R102,'Compte résultat prévi'!$M$5,'Hypotheses expl (3,)'!S102)+SUMIF('Hypotheses expl (3,)'!T102,'Compte résultat prévi'!$M$5,'Hypotheses expl (3,)'!U102)+SUMIF('Hypotheses expl (3,)'!V102,'Compte résultat prévi'!$M$5,'Hypotheses expl (3,)'!W102)+SUMIF('Hypotheses expl (3,)'!X102,'Compte résultat prévi'!$M$5,'Hypotheses expl (3,)'!Y102)+SUMIF('Hypotheses expl (3,)'!Z102,'Compte résultat prévi'!$M$5,'Hypotheses expl (3,)'!AA102)+SUMIF('Hypotheses expl (3,)'!AB102,'Compte résultat prévi'!$M$5,'Hypotheses expl (3,)'!AC102)</f>
        <v>0</v>
      </c>
      <c r="N47" s="202">
        <f>+SUMIF('Hypotheses expl (3,)'!R102,'Compte résultat prévi'!$N$5,'Hypotheses expl (3,)'!S102)+SUMIF('Hypotheses expl (3,)'!T102,'Compte résultat prévi'!$N$5,'Hypotheses expl (3,)'!U102)+SUMIF('Hypotheses expl (3,)'!V102,'Compte résultat prévi'!$N$5,'Hypotheses expl (3,)'!W102)+SUMIF('Hypotheses expl (3,)'!X102,'Compte résultat prévi'!$N$5,'Hypotheses expl (3,)'!Y102)+SUMIF('Hypotheses expl (3,)'!Z102,'Compte résultat prévi'!$N$5,'Hypotheses expl (3,)'!AA102)+SUMIF('Hypotheses expl (3,)'!AB102,'Compte résultat prévi'!$N$5,'Hypotheses expl (3,)'!AC102)</f>
        <v>0</v>
      </c>
      <c r="O47" s="200">
        <f>+'Hypotheses expl (2)'!O102</f>
        <v>0</v>
      </c>
      <c r="P47" s="201">
        <f>+SUMIF('Hypotheses expl (2)'!R102,'Compte résultat prévi'!$P$5,'Hypotheses expl (2)'!S102)+SUMIF('Hypotheses expl (2)'!T102,'Compte résultat prévi'!$P$5,'Hypotheses expl (2)'!U102)+SUMIF('Hypotheses expl (2)'!V102,'Compte résultat prévi'!$P$5,'Hypotheses expl (2)'!W102)+SUMIF('Hypotheses expl (2)'!X102,'Compte résultat prévi'!$P$5,'Hypotheses expl (2)'!Y102)+SUMIF('Hypotheses expl (2)'!Z102,'Compte résultat prévi'!$P$5,'Hypotheses expl (2)'!AA102)+SUMIF('Hypotheses expl (2)'!AB102,'Compte résultat prévi'!$P$5,'Hypotheses expl (2)'!AC102)</f>
        <v>0</v>
      </c>
      <c r="Q47" s="201">
        <f>+SUMIF('Hypotheses expl (2)'!R102,'Compte résultat prévi'!$Q$5,'Hypotheses expl (2)'!S102)+SUMIF('Hypotheses expl (2)'!T102,'Compte résultat prévi'!$Q$5,'Hypotheses expl (2)'!U102)+SUMIF('Hypotheses expl (2)'!V102,'Compte résultat prévi'!$Q$5,'Hypotheses expl (2)'!W102)+SUMIF('Hypotheses expl (2)'!X102,'Compte résultat prévi'!$Q$5,'Hypotheses expl (2)'!Y102)+SUMIF('Hypotheses expl (2)'!Z102,'Compte résultat prévi'!$Q$5,'Hypotheses expl (2)'!AA102)+SUMIF('Hypotheses expl (2)'!AB102,'Compte résultat prévi'!$Q$5,'Hypotheses expl (2)'!AC102)</f>
        <v>0</v>
      </c>
      <c r="R47" s="201">
        <f>+SUMIF('Hypotheses expl (2)'!R102,'Compte résultat prévi'!$R$5,'Hypotheses expl (2)'!S102)+SUMIF('Hypotheses expl (2)'!T102,'Compte résultat prévi'!$R$5,'Hypotheses expl (2)'!U102)+SUMIF('Hypotheses expl (2)'!V102,'Compte résultat prévi'!$R$5,'Hypotheses expl (2)'!W102)+SUMIF('Hypotheses expl (2)'!X102,'Compte résultat prévi'!$R$5,'Hypotheses expl (2)'!Y102)+SUMIF('Hypotheses expl (2)'!Z102,'Compte résultat prévi'!$R$5,'Hypotheses expl (2)'!AA102)+SUMIF('Hypotheses expl (2)'!AB102,'Compte résultat prévi'!$R$5,'Hypotheses expl (2)'!AC102)</f>
        <v>0</v>
      </c>
      <c r="S47" s="201">
        <f>+SUMIF('Hypotheses expl (2)'!R102,'Compte résultat prévi'!$S$5,'Hypotheses expl (2)'!S102)+SUMIF('Hypotheses expl (2)'!T102,'Compte résultat prévi'!$S$5,'Hypotheses expl (2)'!U102)+SUMIF('Hypotheses expl (2)'!V102,'Compte résultat prévi'!$S$5,'Hypotheses expl (2)'!W102)+SUMIF('Hypotheses expl (2)'!X102,'Compte résultat prévi'!$S$5,'Hypotheses expl (2)'!Y102)+SUMIF('Hypotheses expl (2)'!Z102,'Compte résultat prévi'!$S$5,'Hypotheses expl (2)'!AA102)+SUMIF('Hypotheses expl (2)'!AB102,'Compte résultat prévi'!$S$5,'Hypotheses expl (2)'!AC102)</f>
        <v>0</v>
      </c>
      <c r="T47" s="202">
        <f>+SUMIF('Hypotheses expl (2)'!R102,'Compte résultat prévi'!$T$5,'Hypotheses expl (2)'!S102)+SUMIF('Hypotheses expl (2)'!T102,'Compte résultat prévi'!$T$5,'Hypotheses expl (2)'!U102)+SUMIF('Hypotheses expl (2)'!V102,'Compte résultat prévi'!$T$5,'Hypotheses expl (2)'!W102)+SUMIF('Hypotheses expl (2)'!X102,'Compte résultat prévi'!$T$5,'Hypotheses expl (2)'!Y102)+SUMIF('Hypotheses expl (2)'!Z102,'Compte résultat prévi'!$T$5,'Hypotheses expl (2)'!AA102)+SUMIF('Hypotheses expl (2)'!AB102,'Compte résultat prévi'!$T$5,'Hypotheses expl (2)'!AC102)</f>
        <v>0</v>
      </c>
      <c r="U47" s="203"/>
      <c r="V47" s="204"/>
    </row>
    <row r="48" outlineLevel="1">
      <c r="A48" s="198" t="str">
        <f>'Hypotheses expl'!B103</f>
        <v xml:space="preserve">Projet Voltaire et autres</v>
      </c>
      <c r="B48" s="234"/>
      <c r="C48" s="200">
        <f>+'Hypotheses expl'!O103</f>
        <v>0</v>
      </c>
      <c r="D48" s="201">
        <f>+SUMIF('Hypotheses expl'!R103,'Compte résultat prévi'!$D$5,'Hypotheses expl'!S103)+SUMIF('Hypotheses expl'!T103,'Compte résultat prévi'!$D$5,'Hypotheses expl'!U103)+SUMIF('Hypotheses expl'!V103,'Compte résultat prévi'!$D$5,'Hypotheses expl'!W103)+SUMIF('Hypotheses expl'!X103,'Compte résultat prévi'!$D$5,'Hypotheses expl'!Y103)+SUMIF('Hypotheses expl'!Z103,'Compte résultat prévi'!$D$5,'Hypotheses expl'!AA103)+SUMIF('Hypotheses expl'!AB103,'Compte résultat prévi'!$D$5,'Hypotheses expl'!AC103)</f>
        <v>0</v>
      </c>
      <c r="E48" s="201">
        <f>+SUMIF('Hypotheses expl'!R103,'Compte résultat prévi'!$E$5,'Hypotheses expl'!S103)+SUMIF('Hypotheses expl'!T103,'Compte résultat prévi'!$E$5,'Hypotheses expl'!U103)+SUMIF('Hypotheses expl'!V103,'Compte résultat prévi'!$E$5,'Hypotheses expl'!W103)+SUMIF('Hypotheses expl'!X103,'Compte résultat prévi'!$E$5,'Hypotheses expl'!Y103)+SUMIF('Hypotheses expl'!Z103,'Compte résultat prévi'!$E$5,'Hypotheses expl'!AA103)+SUMIF('Hypotheses expl'!AB103,'Compte résultat prévi'!$E$5,'Hypotheses expl'!AC103)</f>
        <v>0</v>
      </c>
      <c r="F48" s="201">
        <f>+SUMIF('Hypotheses expl'!R103,'Compte résultat prévi'!$F$5,'Hypotheses expl'!S103)+SUMIF('Hypotheses expl'!T103,'Compte résultat prévi'!$F$5,'Hypotheses expl'!U103)+SUMIF('Hypotheses expl'!V103,'Compte résultat prévi'!$F$5,'Hypotheses expl'!W103)+SUMIF('Hypotheses expl'!X103,'Compte résultat prévi'!$F$5,'Hypotheses expl'!Y103)+SUMIF('Hypotheses expl'!Z103,'Compte résultat prévi'!$F$5,'Hypotheses expl'!AA103)+SUMIF('Hypotheses expl'!AB103,'Compte résultat prévi'!$F$5,'Hypotheses expl'!AC103)</f>
        <v>0</v>
      </c>
      <c r="G48" s="201">
        <f>+SUMIF('Hypotheses expl'!R103,'Compte résultat prévi'!$G$5,'Hypotheses expl'!S103)+SUMIF('Hypotheses expl'!T103,'Compte résultat prévi'!$G$5,'Hypotheses expl'!U103)+SUMIF('Hypotheses expl'!V103,'Compte résultat prévi'!$G$5,'Hypotheses expl'!W103)+SUMIF('Hypotheses expl'!X103,'Compte résultat prévi'!$G$5,'Hypotheses expl'!Y103)+SUMIF('Hypotheses expl'!Z103,'Compte résultat prévi'!$G$5,'Hypotheses expl'!AA103)+SUMIF('Hypotheses expl'!AB103,'Compte résultat prévi'!$G$5,'Hypotheses expl'!AC103)</f>
        <v>0</v>
      </c>
      <c r="H48" s="202">
        <f>+SUMIF('Hypotheses expl'!R103,'Compte résultat prévi'!$H$5,'Hypotheses expl'!S103)+SUMIF('Hypotheses expl'!T103,'Compte résultat prévi'!$H$5,'Hypotheses expl'!U103)+SUMIF('Hypotheses expl'!V103,'Compte résultat prévi'!$H$5,'Hypotheses expl'!W103)+SUMIF('Hypotheses expl'!X103,'Compte résultat prévi'!$H$5,'Hypotheses expl'!Y103)+SUMIF('Hypotheses expl'!Z103,'Compte résultat prévi'!$H$5,'Hypotheses expl'!AA103)+SUMIF('Hypotheses expl'!AB103,'Compte résultat prévi'!$H$5,'Hypotheses expl'!AC103)</f>
        <v>0</v>
      </c>
      <c r="I48" s="200">
        <f>+'Hypotheses expl (3,)'!O103</f>
        <v>0</v>
      </c>
      <c r="J48" s="201">
        <f>+SUMIF('Hypotheses expl (3,)'!R103,'Compte résultat prévi'!$J$5,'Hypotheses expl (3,)'!S103)+SUMIF('Hypotheses expl (3,)'!T103,'Compte résultat prévi'!$J$5,'Hypotheses expl (3,)'!U103)+SUMIF('Hypotheses expl (3,)'!V103,'Compte résultat prévi'!$J$5,'Hypotheses expl (3,)'!W103)+SUMIF('Hypotheses expl (3,)'!X103,'Compte résultat prévi'!$J$5,'Hypotheses expl (3,)'!Y103)+SUMIF('Hypotheses expl (3,)'!Z103,'Compte résultat prévi'!$J$5,'Hypotheses expl (3,)'!AA103)+SUMIF('Hypotheses expl (3,)'!AB103,'Compte résultat prévi'!$J$5,'Hypotheses expl (3,)'!AC103)</f>
        <v>0</v>
      </c>
      <c r="K48" s="201">
        <f>+SUMIF('Hypotheses expl (3,)'!R103,'Compte résultat prévi'!$K$5,'Hypotheses expl (3,)'!S103)+SUMIF('Hypotheses expl (3,)'!T103,'Compte résultat prévi'!$K$5,'Hypotheses expl (3,)'!U103)+SUMIF('Hypotheses expl (3,)'!V103,'Compte résultat prévi'!$K$5,'Hypotheses expl (3,)'!W103)+SUMIF('Hypotheses expl (3,)'!X103,'Compte résultat prévi'!$K$5,'Hypotheses expl (3,)'!Y103)+SUMIF('Hypotheses expl (3,)'!Z103,'Compte résultat prévi'!$K$5,'Hypotheses expl (3,)'!AA103)+SUMIF('Hypotheses expl (3,)'!AB103,'Compte résultat prévi'!$K$5,'Hypotheses expl (3,)'!AC103)</f>
        <v>0</v>
      </c>
      <c r="L48" s="201">
        <f>+SUMIF('Hypotheses expl (3,)'!R103,'Compte résultat prévi'!$L$5,'Hypotheses expl (3,)'!S103)+SUMIF('Hypotheses expl (3,)'!T103,'Compte résultat prévi'!$L$5,'Hypotheses expl (3,)'!U103)+SUMIF('Hypotheses expl (3,)'!V103,'Compte résultat prévi'!$L$5,'Hypotheses expl (3,)'!W103)+SUMIF('Hypotheses expl (3,)'!X103,'Compte résultat prévi'!$L$5,'Hypotheses expl (3,)'!Y103)+SUMIF('Hypotheses expl (3,)'!Z103,'Compte résultat prévi'!$L$5,'Hypotheses expl (3,)'!AA103)+SUMIF('Hypotheses expl (3,)'!AB103,'Compte résultat prévi'!$L$5,'Hypotheses expl (3,)'!AC103)</f>
        <v>0</v>
      </c>
      <c r="M48" s="201">
        <f>+SUMIF('Hypotheses expl (3,)'!R103,'Compte résultat prévi'!$M$5,'Hypotheses expl (3,)'!S103)+SUMIF('Hypotheses expl (3,)'!T103,'Compte résultat prévi'!$M$5,'Hypotheses expl (3,)'!U103)+SUMIF('Hypotheses expl (3,)'!V103,'Compte résultat prévi'!$M$5,'Hypotheses expl (3,)'!W103)+SUMIF('Hypotheses expl (3,)'!X103,'Compte résultat prévi'!$M$5,'Hypotheses expl (3,)'!Y103)+SUMIF('Hypotheses expl (3,)'!Z103,'Compte résultat prévi'!$M$5,'Hypotheses expl (3,)'!AA103)+SUMIF('Hypotheses expl (3,)'!AB103,'Compte résultat prévi'!$M$5,'Hypotheses expl (3,)'!AC103)</f>
        <v>0</v>
      </c>
      <c r="N48" s="202">
        <f>+SUMIF('Hypotheses expl (3,)'!R103,'Compte résultat prévi'!$N$5,'Hypotheses expl (3,)'!S103)+SUMIF('Hypotheses expl (3,)'!T103,'Compte résultat prévi'!$N$5,'Hypotheses expl (3,)'!U103)+SUMIF('Hypotheses expl (3,)'!V103,'Compte résultat prévi'!$N$5,'Hypotheses expl (3,)'!W103)+SUMIF('Hypotheses expl (3,)'!X103,'Compte résultat prévi'!$N$5,'Hypotheses expl (3,)'!Y103)+SUMIF('Hypotheses expl (3,)'!Z103,'Compte résultat prévi'!$N$5,'Hypotheses expl (3,)'!AA103)+SUMIF('Hypotheses expl (3,)'!AB103,'Compte résultat prévi'!$N$5,'Hypotheses expl (3,)'!AC103)</f>
        <v>0</v>
      </c>
      <c r="O48" s="200" t="e">
        <f>+'Hypotheses expl (2)'!#REF!</f>
        <v>#REF!</v>
      </c>
      <c r="P48" s="201" t="e">
        <f>+SUMIF('Hypotheses expl (2)'!#REF!,'Compte résultat prévi'!$P$5,'Hypotheses expl (2)'!#REF!)+SUMIF('Hypotheses expl (2)'!#REF!,'Compte résultat prévi'!$P$5,'Hypotheses expl (2)'!#REF!)+SUMIF('Hypotheses expl (2)'!#REF!,'Compte résultat prévi'!$P$5,'Hypotheses expl (2)'!#REF!)+SUMIF('Hypotheses expl (2)'!#REF!,'Compte résultat prévi'!$P$5,'Hypotheses expl (2)'!#REF!)+SUMIF('Hypotheses expl (2)'!#REF!,'Compte résultat prévi'!$P$5,'Hypotheses expl (2)'!#REF!)+SUMIF('Hypotheses expl (2)'!#REF!,'Compte résultat prévi'!$P$5,'Hypotheses expl (2)'!#REF!)</f>
        <v>#REF!</v>
      </c>
      <c r="Q48" s="201" t="e">
        <f>+SUMIF('Hypotheses expl (2)'!#REF!,'Compte résultat prévi'!$Q$5,'Hypotheses expl (2)'!#REF!)+SUMIF('Hypotheses expl (2)'!#REF!,'Compte résultat prévi'!$Q$5,'Hypotheses expl (2)'!#REF!)+SUMIF('Hypotheses expl (2)'!#REF!,'Compte résultat prévi'!$Q$5,'Hypotheses expl (2)'!#REF!)+SUMIF('Hypotheses expl (2)'!#REF!,'Compte résultat prévi'!$Q$5,'Hypotheses expl (2)'!#REF!)+SUMIF('Hypotheses expl (2)'!#REF!,'Compte résultat prévi'!$Q$5,'Hypotheses expl (2)'!#REF!)+SUMIF('Hypotheses expl (2)'!#REF!,'Compte résultat prévi'!$Q$5,'Hypotheses expl (2)'!#REF!)</f>
        <v>#REF!</v>
      </c>
      <c r="R48" s="201" t="e">
        <f>+SUMIF('Hypotheses expl (2)'!#REF!,'Compte résultat prévi'!$R$5,'Hypotheses expl (2)'!#REF!)+SUMIF('Hypotheses expl (2)'!#REF!,'Compte résultat prévi'!$R$5,'Hypotheses expl (2)'!#REF!)+SUMIF('Hypotheses expl (2)'!#REF!,'Compte résultat prévi'!$R$5,'Hypotheses expl (2)'!#REF!)+SUMIF('Hypotheses expl (2)'!#REF!,'Compte résultat prévi'!$R$5,'Hypotheses expl (2)'!#REF!)+SUMIF('Hypotheses expl (2)'!#REF!,'Compte résultat prévi'!$R$5,'Hypotheses expl (2)'!#REF!)+SUMIF('Hypotheses expl (2)'!#REF!,'Compte résultat prévi'!$R$5,'Hypotheses expl (2)'!#REF!)</f>
        <v>#REF!</v>
      </c>
      <c r="S48" s="201" t="e">
        <f>+SUMIF('Hypotheses expl (2)'!#REF!,'Compte résultat prévi'!$S$5,'Hypotheses expl (2)'!#REF!)+SUMIF('Hypotheses expl (2)'!#REF!,'Compte résultat prévi'!$S$5,'Hypotheses expl (2)'!#REF!)+SUMIF('Hypotheses expl (2)'!#REF!,'Compte résultat prévi'!$S$5,'Hypotheses expl (2)'!#REF!)+SUMIF('Hypotheses expl (2)'!#REF!,'Compte résultat prévi'!$S$5,'Hypotheses expl (2)'!#REF!)+SUMIF('Hypotheses expl (2)'!#REF!,'Compte résultat prévi'!$S$5,'Hypotheses expl (2)'!#REF!)+SUMIF('Hypotheses expl (2)'!#REF!,'Compte résultat prévi'!$S$5,'Hypotheses expl (2)'!#REF!)</f>
        <v>#REF!</v>
      </c>
      <c r="T48" s="202" t="e">
        <f>+SUMIF('Hypotheses expl (2)'!#REF!,'Compte résultat prévi'!$T$5,'Hypotheses expl (2)'!#REF!)+SUMIF('Hypotheses expl (2)'!#REF!,'Compte résultat prévi'!$T$5,'Hypotheses expl (2)'!#REF!)+SUMIF('Hypotheses expl (2)'!#REF!,'Compte résultat prévi'!$T$5,'Hypotheses expl (2)'!#REF!)+SUMIF('Hypotheses expl (2)'!#REF!,'Compte résultat prévi'!$T$5,'Hypotheses expl (2)'!#REF!)+SUMIF('Hypotheses expl (2)'!#REF!,'Compte résultat prévi'!$T$5,'Hypotheses expl (2)'!#REF!)+SUMIF('Hypotheses expl (2)'!#REF!,'Compte résultat prévi'!$T$5,'Hypotheses expl (2)'!#REF!)</f>
        <v>#REF!</v>
      </c>
      <c r="U48" s="203"/>
      <c r="V48" s="204"/>
    </row>
    <row r="49" outlineLevel="1">
      <c r="A49" s="198" t="str">
        <f>'Hypotheses expl'!B104</f>
        <v xml:space="preserve">Carre potager</v>
      </c>
      <c r="B49" s="234"/>
      <c r="C49" s="200">
        <f>+'Hypotheses expl'!O104</f>
        <v>1200</v>
      </c>
      <c r="D49" s="201">
        <f>+SUMIF('Hypotheses expl'!R104,'Compte résultat prévi'!$D$5,'Hypotheses expl'!S104)+SUMIF('Hypotheses expl'!T104,'Compte résultat prévi'!$D$5,'Hypotheses expl'!U104)+SUMIF('Hypotheses expl'!V104,'Compte résultat prévi'!$D$5,'Hypotheses expl'!W104)+SUMIF('Hypotheses expl'!X104,'Compte résultat prévi'!$D$5,'Hypotheses expl'!Y104)+SUMIF('Hypotheses expl'!Z104,'Compte résultat prévi'!$D$5,'Hypotheses expl'!AA104)+SUMIF('Hypotheses expl'!AB104,'Compte résultat prévi'!$D$5,'Hypotheses expl'!AC104)</f>
        <v>0</v>
      </c>
      <c r="E49" s="201">
        <f>+SUMIF('Hypotheses expl'!R104,'Compte résultat prévi'!$E$5,'Hypotheses expl'!S104)+SUMIF('Hypotheses expl'!T104,'Compte résultat prévi'!$E$5,'Hypotheses expl'!U104)+SUMIF('Hypotheses expl'!V104,'Compte résultat prévi'!$E$5,'Hypotheses expl'!W104)+SUMIF('Hypotheses expl'!X104,'Compte résultat prévi'!$E$5,'Hypotheses expl'!Y104)+SUMIF('Hypotheses expl'!Z104,'Compte résultat prévi'!$E$5,'Hypotheses expl'!AA104)+SUMIF('Hypotheses expl'!AB104,'Compte résultat prévi'!$E$5,'Hypotheses expl'!AC104)</f>
        <v>0</v>
      </c>
      <c r="F49" s="201">
        <f>+SUMIF('Hypotheses expl'!R104,'Compte résultat prévi'!$F$5,'Hypotheses expl'!S104)+SUMIF('Hypotheses expl'!T104,'Compte résultat prévi'!$F$5,'Hypotheses expl'!U104)+SUMIF('Hypotheses expl'!V104,'Compte résultat prévi'!$F$5,'Hypotheses expl'!W104)+SUMIF('Hypotheses expl'!X104,'Compte résultat prévi'!$F$5,'Hypotheses expl'!Y104)+SUMIF('Hypotheses expl'!Z104,'Compte résultat prévi'!$F$5,'Hypotheses expl'!AA104)+SUMIF('Hypotheses expl'!AB104,'Compte résultat prévi'!$F$5,'Hypotheses expl'!AC104)</f>
        <v>1200</v>
      </c>
      <c r="G49" s="201">
        <f>+SUMIF('Hypotheses expl'!R104,'Compte résultat prévi'!$G$5,'Hypotheses expl'!S104)+SUMIF('Hypotheses expl'!T104,'Compte résultat prévi'!$G$5,'Hypotheses expl'!U104)+SUMIF('Hypotheses expl'!V104,'Compte résultat prévi'!$G$5,'Hypotheses expl'!W104)+SUMIF('Hypotheses expl'!X104,'Compte résultat prévi'!$G$5,'Hypotheses expl'!Y104)+SUMIF('Hypotheses expl'!Z104,'Compte résultat prévi'!$G$5,'Hypotheses expl'!AA104)+SUMIF('Hypotheses expl'!AB104,'Compte résultat prévi'!$G$5,'Hypotheses expl'!AC104)</f>
        <v>0</v>
      </c>
      <c r="H49" s="202">
        <f>+SUMIF('Hypotheses expl'!R104,'Compte résultat prévi'!$H$5,'Hypotheses expl'!S104)+SUMIF('Hypotheses expl'!T104,'Compte résultat prévi'!$H$5,'Hypotheses expl'!U104)+SUMIF('Hypotheses expl'!V104,'Compte résultat prévi'!$H$5,'Hypotheses expl'!W104)+SUMIF('Hypotheses expl'!X104,'Compte résultat prévi'!$H$5,'Hypotheses expl'!Y104)+SUMIF('Hypotheses expl'!Z104,'Compte résultat prévi'!$H$5,'Hypotheses expl'!AA104)+SUMIF('Hypotheses expl'!AB104,'Compte résultat prévi'!$H$5,'Hypotheses expl'!AC104)</f>
        <v>0</v>
      </c>
      <c r="I49" s="200">
        <f>+'Hypotheses expl (3,)'!O104</f>
        <v>1200</v>
      </c>
      <c r="J49" s="201">
        <f>+SUMIF('Hypotheses expl (3,)'!R104,'Compte résultat prévi'!$J$5,'Hypotheses expl (3,)'!S104)+SUMIF('Hypotheses expl (3,)'!T104,'Compte résultat prévi'!$J$5,'Hypotheses expl (3,)'!U104)+SUMIF('Hypotheses expl (3,)'!V104,'Compte résultat prévi'!$J$5,'Hypotheses expl (3,)'!W104)+SUMIF('Hypotheses expl (3,)'!X104,'Compte résultat prévi'!$J$5,'Hypotheses expl (3,)'!Y104)+SUMIF('Hypotheses expl (3,)'!Z104,'Compte résultat prévi'!$J$5,'Hypotheses expl (3,)'!AA104)+SUMIF('Hypotheses expl (3,)'!AB104,'Compte résultat prévi'!$J$5,'Hypotheses expl (3,)'!AC104)</f>
        <v>0</v>
      </c>
      <c r="K49" s="201">
        <f>+SUMIF('Hypotheses expl (3,)'!R104,'Compte résultat prévi'!$K$5,'Hypotheses expl (3,)'!S104)+SUMIF('Hypotheses expl (3,)'!T104,'Compte résultat prévi'!$K$5,'Hypotheses expl (3,)'!U104)+SUMIF('Hypotheses expl (3,)'!V104,'Compte résultat prévi'!$K$5,'Hypotheses expl (3,)'!W104)+SUMIF('Hypotheses expl (3,)'!X104,'Compte résultat prévi'!$K$5,'Hypotheses expl (3,)'!Y104)+SUMIF('Hypotheses expl (3,)'!Z104,'Compte résultat prévi'!$K$5,'Hypotheses expl (3,)'!AA104)+SUMIF('Hypotheses expl (3,)'!AB104,'Compte résultat prévi'!$K$5,'Hypotheses expl (3,)'!AC104)</f>
        <v>0</v>
      </c>
      <c r="L49" s="201">
        <f>+SUMIF('Hypotheses expl (3,)'!R104,'Compte résultat prévi'!$L$5,'Hypotheses expl (3,)'!S104)+SUMIF('Hypotheses expl (3,)'!T104,'Compte résultat prévi'!$L$5,'Hypotheses expl (3,)'!U104)+SUMIF('Hypotheses expl (3,)'!V104,'Compte résultat prévi'!$L$5,'Hypotheses expl (3,)'!W104)+SUMIF('Hypotheses expl (3,)'!X104,'Compte résultat prévi'!$L$5,'Hypotheses expl (3,)'!Y104)+SUMIF('Hypotheses expl (3,)'!Z104,'Compte résultat prévi'!$L$5,'Hypotheses expl (3,)'!AA104)+SUMIF('Hypotheses expl (3,)'!AB104,'Compte résultat prévi'!$L$5,'Hypotheses expl (3,)'!AC104)</f>
        <v>1200</v>
      </c>
      <c r="M49" s="201">
        <f>+SUMIF('Hypotheses expl (3,)'!R104,'Compte résultat prévi'!$M$5,'Hypotheses expl (3,)'!S104)+SUMIF('Hypotheses expl (3,)'!T104,'Compte résultat prévi'!$M$5,'Hypotheses expl (3,)'!U104)+SUMIF('Hypotheses expl (3,)'!V104,'Compte résultat prévi'!$M$5,'Hypotheses expl (3,)'!W104)+SUMIF('Hypotheses expl (3,)'!X104,'Compte résultat prévi'!$M$5,'Hypotheses expl (3,)'!Y104)+SUMIF('Hypotheses expl (3,)'!Z104,'Compte résultat prévi'!$M$5,'Hypotheses expl (3,)'!AA104)+SUMIF('Hypotheses expl (3,)'!AB104,'Compte résultat prévi'!$M$5,'Hypotheses expl (3,)'!AC104)</f>
        <v>0</v>
      </c>
      <c r="N49" s="202">
        <f>+SUMIF('Hypotheses expl (3,)'!R104,'Compte résultat prévi'!$N$5,'Hypotheses expl (3,)'!S104)+SUMIF('Hypotheses expl (3,)'!T104,'Compte résultat prévi'!$N$5,'Hypotheses expl (3,)'!U104)+SUMIF('Hypotheses expl (3,)'!V104,'Compte résultat prévi'!$N$5,'Hypotheses expl (3,)'!W104)+SUMIF('Hypotheses expl (3,)'!X104,'Compte résultat prévi'!$N$5,'Hypotheses expl (3,)'!Y104)+SUMIF('Hypotheses expl (3,)'!Z104,'Compte résultat prévi'!$N$5,'Hypotheses expl (3,)'!AA104)+SUMIF('Hypotheses expl (3,)'!AB104,'Compte résultat prévi'!$N$5,'Hypotheses expl (3,)'!AC104)</f>
        <v>0</v>
      </c>
      <c r="O49" s="200">
        <f>+'Hypotheses expl (2)'!O103</f>
        <v>1200</v>
      </c>
      <c r="P49" s="201">
        <f>+SUMIF('Hypotheses expl (2)'!R103,'Compte résultat prévi'!$P$5,'Hypotheses expl (2)'!S103)+SUMIF('Hypotheses expl (2)'!T103,'Compte résultat prévi'!$P$5,'Hypotheses expl (2)'!U103)+SUMIF('Hypotheses expl (2)'!V103,'Compte résultat prévi'!$P$5,'Hypotheses expl (2)'!W103)+SUMIF('Hypotheses expl (2)'!X103,'Compte résultat prévi'!$P$5,'Hypotheses expl (2)'!Y103)+SUMIF('Hypotheses expl (2)'!Z103,'Compte résultat prévi'!$P$5,'Hypotheses expl (2)'!AA103)+SUMIF('Hypotheses expl (2)'!AB103,'Compte résultat prévi'!$P$5,'Hypotheses expl (2)'!AC103)</f>
        <v>0</v>
      </c>
      <c r="Q49" s="201">
        <f>+SUMIF('Hypotheses expl (2)'!R103,'Compte résultat prévi'!$Q$5,'Hypotheses expl (2)'!S103)+SUMIF('Hypotheses expl (2)'!T103,'Compte résultat prévi'!$Q$5,'Hypotheses expl (2)'!U103)+SUMIF('Hypotheses expl (2)'!V103,'Compte résultat prévi'!$Q$5,'Hypotheses expl (2)'!W103)+SUMIF('Hypotheses expl (2)'!X103,'Compte résultat prévi'!$Q$5,'Hypotheses expl (2)'!Y103)+SUMIF('Hypotheses expl (2)'!Z103,'Compte résultat prévi'!$Q$5,'Hypotheses expl (2)'!AA103)+SUMIF('Hypotheses expl (2)'!AB103,'Compte résultat prévi'!$Q$5,'Hypotheses expl (2)'!AC103)</f>
        <v>0</v>
      </c>
      <c r="R49" s="201">
        <f>+SUMIF('Hypotheses expl (2)'!R103,'Compte résultat prévi'!$R$5,'Hypotheses expl (2)'!S103)+SUMIF('Hypotheses expl (2)'!T103,'Compte résultat prévi'!$R$5,'Hypotheses expl (2)'!U103)+SUMIF('Hypotheses expl (2)'!V103,'Compte résultat prévi'!$R$5,'Hypotheses expl (2)'!W103)+SUMIF('Hypotheses expl (2)'!X103,'Compte résultat prévi'!$R$5,'Hypotheses expl (2)'!Y103)+SUMIF('Hypotheses expl (2)'!Z103,'Compte résultat prévi'!$R$5,'Hypotheses expl (2)'!AA103)+SUMIF('Hypotheses expl (2)'!AB103,'Compte résultat prévi'!$R$5,'Hypotheses expl (2)'!AC103)</f>
        <v>1200</v>
      </c>
      <c r="S49" s="201">
        <f>+SUMIF('Hypotheses expl (2)'!R103,'Compte résultat prévi'!$S$5,'Hypotheses expl (2)'!S103)+SUMIF('Hypotheses expl (2)'!T103,'Compte résultat prévi'!$S$5,'Hypotheses expl (2)'!U103)+SUMIF('Hypotheses expl (2)'!V103,'Compte résultat prévi'!$S$5,'Hypotheses expl (2)'!W103)+SUMIF('Hypotheses expl (2)'!X103,'Compte résultat prévi'!$S$5,'Hypotheses expl (2)'!Y103)+SUMIF('Hypotheses expl (2)'!Z103,'Compte résultat prévi'!$S$5,'Hypotheses expl (2)'!AA103)+SUMIF('Hypotheses expl (2)'!AB103,'Compte résultat prévi'!$S$5,'Hypotheses expl (2)'!AC103)</f>
        <v>0</v>
      </c>
      <c r="T49" s="202">
        <f>+SUMIF('Hypotheses expl (2)'!R103,'Compte résultat prévi'!$T$5,'Hypotheses expl (2)'!S103)+SUMIF('Hypotheses expl (2)'!T103,'Compte résultat prévi'!$T$5,'Hypotheses expl (2)'!U103)+SUMIF('Hypotheses expl (2)'!V103,'Compte résultat prévi'!$T$5,'Hypotheses expl (2)'!W103)+SUMIF('Hypotheses expl (2)'!X103,'Compte résultat prévi'!$T$5,'Hypotheses expl (2)'!Y103)+SUMIF('Hypotheses expl (2)'!Z103,'Compte résultat prévi'!$T$5,'Hypotheses expl (2)'!AA103)+SUMIF('Hypotheses expl (2)'!AB103,'Compte résultat prévi'!$T$5,'Hypotheses expl (2)'!AC103)</f>
        <v>0</v>
      </c>
      <c r="U49" s="203"/>
      <c r="V49" s="204"/>
    </row>
    <row r="50" outlineLevel="1">
      <c r="A50" s="198" t="str">
        <f>'Hypotheses expl'!B105</f>
        <v>Carburant</v>
      </c>
      <c r="B50" s="234"/>
      <c r="C50" s="200">
        <f>+'Hypotheses expl'!O105</f>
        <v>1500</v>
      </c>
      <c r="D50" s="201">
        <f>+SUMIF('Hypotheses expl'!R105,'Compte résultat prévi'!$D$5,'Hypotheses expl'!S105)+SUMIF('Hypotheses expl'!T105,'Compte résultat prévi'!$D$5,'Hypotheses expl'!U105)+SUMIF('Hypotheses expl'!V105,'Compte résultat prévi'!$D$5,'Hypotheses expl'!W105)+SUMIF('Hypotheses expl'!X105,'Compte résultat prévi'!$D$5,'Hypotheses expl'!Y105)+SUMIF('Hypotheses expl'!Z105,'Compte résultat prévi'!$D$5,'Hypotheses expl'!AA105)+SUMIF('Hypotheses expl'!AB105,'Compte résultat prévi'!$D$5,'Hypotheses expl'!AC105)</f>
        <v>525</v>
      </c>
      <c r="E50" s="201">
        <f>+SUMIF('Hypotheses expl'!R105,'Compte résultat prévi'!$E$5,'Hypotheses expl'!S105)+SUMIF('Hypotheses expl'!T105,'Compte résultat prévi'!$E$5,'Hypotheses expl'!U105)+SUMIF('Hypotheses expl'!V105,'Compte résultat prévi'!$E$5,'Hypotheses expl'!W105)+SUMIF('Hypotheses expl'!X105,'Compte résultat prévi'!$E$5,'Hypotheses expl'!Y105)+SUMIF('Hypotheses expl'!Z105,'Compte résultat prévi'!$E$5,'Hypotheses expl'!AA105)+SUMIF('Hypotheses expl'!AB105,'Compte résultat prévi'!$E$5,'Hypotheses expl'!AC105)</f>
        <v>525</v>
      </c>
      <c r="F50" s="201">
        <f>+SUMIF('Hypotheses expl'!R105,'Compte résultat prévi'!$F$5,'Hypotheses expl'!S105)+SUMIF('Hypotheses expl'!T105,'Compte résultat prévi'!$F$5,'Hypotheses expl'!U105)+SUMIF('Hypotheses expl'!V105,'Compte résultat prévi'!$F$5,'Hypotheses expl'!W105)+SUMIF('Hypotheses expl'!X105,'Compte résultat prévi'!$F$5,'Hypotheses expl'!Y105)+SUMIF('Hypotheses expl'!Z105,'Compte résultat prévi'!$F$5,'Hypotheses expl'!AA105)+SUMIF('Hypotheses expl'!AB105,'Compte résultat prévi'!$F$5,'Hypotheses expl'!AC105)</f>
        <v>300</v>
      </c>
      <c r="G50" s="201">
        <f>+SUMIF('Hypotheses expl'!R105,'Compte résultat prévi'!$G$5,'Hypotheses expl'!S105)+SUMIF('Hypotheses expl'!T105,'Compte résultat prévi'!$G$5,'Hypotheses expl'!U105)+SUMIF('Hypotheses expl'!V105,'Compte résultat prévi'!$G$5,'Hypotheses expl'!W105)+SUMIF('Hypotheses expl'!X105,'Compte résultat prévi'!$G$5,'Hypotheses expl'!Y105)+SUMIF('Hypotheses expl'!Z105,'Compte résultat prévi'!$G$5,'Hypotheses expl'!AA105)+SUMIF('Hypotheses expl'!AB105,'Compte résultat prévi'!$G$5,'Hypotheses expl'!AC105)</f>
        <v>150</v>
      </c>
      <c r="H50" s="202">
        <f>+SUMIF('Hypotheses expl'!R105,'Compte résultat prévi'!$H$5,'Hypotheses expl'!S105)+SUMIF('Hypotheses expl'!T105,'Compte résultat prévi'!$H$5,'Hypotheses expl'!U105)+SUMIF('Hypotheses expl'!V105,'Compte résultat prévi'!$H$5,'Hypotheses expl'!W105)+SUMIF('Hypotheses expl'!X105,'Compte résultat prévi'!$H$5,'Hypotheses expl'!Y105)+SUMIF('Hypotheses expl'!Z105,'Compte résultat prévi'!$H$5,'Hypotheses expl'!AA105)+SUMIF('Hypotheses expl'!AB105,'Compte résultat prévi'!$H$5,'Hypotheses expl'!AC105)</f>
        <v>0</v>
      </c>
      <c r="I50" s="200">
        <f>+'Hypotheses expl (3,)'!O105</f>
        <v>1500</v>
      </c>
      <c r="J50" s="201">
        <f>+SUMIF('Hypotheses expl (3,)'!R105,'Compte résultat prévi'!$J$5,'Hypotheses expl (3,)'!S105)+SUMIF('Hypotheses expl (3,)'!T105,'Compte résultat prévi'!$J$5,'Hypotheses expl (3,)'!U105)+SUMIF('Hypotheses expl (3,)'!V105,'Compte résultat prévi'!$J$5,'Hypotheses expl (3,)'!W105)+SUMIF('Hypotheses expl (3,)'!X105,'Compte résultat prévi'!$J$5,'Hypotheses expl (3,)'!Y105)+SUMIF('Hypotheses expl (3,)'!Z105,'Compte résultat prévi'!$J$5,'Hypotheses expl (3,)'!AA105)+SUMIF('Hypotheses expl (3,)'!AB105,'Compte résultat prévi'!$J$5,'Hypotheses expl (3,)'!AC105)</f>
        <v>525</v>
      </c>
      <c r="K50" s="201">
        <f>+SUMIF('Hypotheses expl (3,)'!R105,'Compte résultat prévi'!$K$5,'Hypotheses expl (3,)'!S105)+SUMIF('Hypotheses expl (3,)'!T105,'Compte résultat prévi'!$K$5,'Hypotheses expl (3,)'!U105)+SUMIF('Hypotheses expl (3,)'!V105,'Compte résultat prévi'!$K$5,'Hypotheses expl (3,)'!W105)+SUMIF('Hypotheses expl (3,)'!X105,'Compte résultat prévi'!$K$5,'Hypotheses expl (3,)'!Y105)+SUMIF('Hypotheses expl (3,)'!Z105,'Compte résultat prévi'!$K$5,'Hypotheses expl (3,)'!AA105)+SUMIF('Hypotheses expl (3,)'!AB105,'Compte résultat prévi'!$K$5,'Hypotheses expl (3,)'!AC105)</f>
        <v>525</v>
      </c>
      <c r="L50" s="201">
        <f>+SUMIF('Hypotheses expl (3,)'!R105,'Compte résultat prévi'!$L$5,'Hypotheses expl (3,)'!S105)+SUMIF('Hypotheses expl (3,)'!T105,'Compte résultat prévi'!$L$5,'Hypotheses expl (3,)'!U105)+SUMIF('Hypotheses expl (3,)'!V105,'Compte résultat prévi'!$L$5,'Hypotheses expl (3,)'!W105)+SUMIF('Hypotheses expl (3,)'!X105,'Compte résultat prévi'!$L$5,'Hypotheses expl (3,)'!Y105)+SUMIF('Hypotheses expl (3,)'!Z105,'Compte résultat prévi'!$L$5,'Hypotheses expl (3,)'!AA105)+SUMIF('Hypotheses expl (3,)'!AB105,'Compte résultat prévi'!$L$5,'Hypotheses expl (3,)'!AC105)</f>
        <v>300</v>
      </c>
      <c r="M50" s="201">
        <f>+SUMIF('Hypotheses expl (3,)'!R105,'Compte résultat prévi'!$M$5,'Hypotheses expl (3,)'!S105)+SUMIF('Hypotheses expl (3,)'!T105,'Compte résultat prévi'!$M$5,'Hypotheses expl (3,)'!U105)+SUMIF('Hypotheses expl (3,)'!V105,'Compte résultat prévi'!$M$5,'Hypotheses expl (3,)'!W105)+SUMIF('Hypotheses expl (3,)'!X105,'Compte résultat prévi'!$M$5,'Hypotheses expl (3,)'!Y105)+SUMIF('Hypotheses expl (3,)'!Z105,'Compte résultat prévi'!$M$5,'Hypotheses expl (3,)'!AA105)+SUMIF('Hypotheses expl (3,)'!AB105,'Compte résultat prévi'!$M$5,'Hypotheses expl (3,)'!AC105)</f>
        <v>150</v>
      </c>
      <c r="N50" s="202">
        <f>+SUMIF('Hypotheses expl (3,)'!R105,'Compte résultat prévi'!$N$5,'Hypotheses expl (3,)'!S105)+SUMIF('Hypotheses expl (3,)'!T105,'Compte résultat prévi'!$N$5,'Hypotheses expl (3,)'!U105)+SUMIF('Hypotheses expl (3,)'!V105,'Compte résultat prévi'!$N$5,'Hypotheses expl (3,)'!W105)+SUMIF('Hypotheses expl (3,)'!X105,'Compte résultat prévi'!$N$5,'Hypotheses expl (3,)'!Y105)+SUMIF('Hypotheses expl (3,)'!Z105,'Compte résultat prévi'!$N$5,'Hypotheses expl (3,)'!AA105)+SUMIF('Hypotheses expl (3,)'!AB105,'Compte résultat prévi'!$N$5,'Hypotheses expl (3,)'!AC105)</f>
        <v>0</v>
      </c>
      <c r="O50" s="200">
        <f>+'Hypotheses expl (2)'!O104</f>
        <v>1500</v>
      </c>
      <c r="P50" s="201">
        <f>+SUMIF('Hypotheses expl (2)'!R104,'Compte résultat prévi'!$P$5,'Hypotheses expl (2)'!S104)+SUMIF('Hypotheses expl (2)'!T104,'Compte résultat prévi'!$P$5,'Hypotheses expl (2)'!U104)+SUMIF('Hypotheses expl (2)'!V104,'Compte résultat prévi'!$P$5,'Hypotheses expl (2)'!W104)+SUMIF('Hypotheses expl (2)'!X104,'Compte résultat prévi'!$P$5,'Hypotheses expl (2)'!Y104)+SUMIF('Hypotheses expl (2)'!Z104,'Compte résultat prévi'!$P$5,'Hypotheses expl (2)'!AA104)+SUMIF('Hypotheses expl (2)'!AB104,'Compte résultat prévi'!$P$5,'Hypotheses expl (2)'!AC104)</f>
        <v>525</v>
      </c>
      <c r="Q50" s="201">
        <f>+SUMIF('Hypotheses expl (2)'!R104,'Compte résultat prévi'!$Q$5,'Hypotheses expl (2)'!S104)+SUMIF('Hypotheses expl (2)'!T104,'Compte résultat prévi'!$Q$5,'Hypotheses expl (2)'!U104)+SUMIF('Hypotheses expl (2)'!V104,'Compte résultat prévi'!$Q$5,'Hypotheses expl (2)'!W104)+SUMIF('Hypotheses expl (2)'!X104,'Compte résultat prévi'!$Q$5,'Hypotheses expl (2)'!Y104)+SUMIF('Hypotheses expl (2)'!Z104,'Compte résultat prévi'!$Q$5,'Hypotheses expl (2)'!AA104)+SUMIF('Hypotheses expl (2)'!AB104,'Compte résultat prévi'!$Q$5,'Hypotheses expl (2)'!AC104)</f>
        <v>525</v>
      </c>
      <c r="R50" s="201">
        <f>+SUMIF('Hypotheses expl (2)'!R104,'Compte résultat prévi'!$R$5,'Hypotheses expl (2)'!S104)+SUMIF('Hypotheses expl (2)'!T104,'Compte résultat prévi'!$R$5,'Hypotheses expl (2)'!U104)+SUMIF('Hypotheses expl (2)'!V104,'Compte résultat prévi'!$R$5,'Hypotheses expl (2)'!W104)+SUMIF('Hypotheses expl (2)'!X104,'Compte résultat prévi'!$R$5,'Hypotheses expl (2)'!Y104)+SUMIF('Hypotheses expl (2)'!Z104,'Compte résultat prévi'!$R$5,'Hypotheses expl (2)'!AA104)+SUMIF('Hypotheses expl (2)'!AB104,'Compte résultat prévi'!$R$5,'Hypotheses expl (2)'!AC104)</f>
        <v>300</v>
      </c>
      <c r="S50" s="201">
        <f>+SUMIF('Hypotheses expl (2)'!R104,'Compte résultat prévi'!$S$5,'Hypotheses expl (2)'!S104)+SUMIF('Hypotheses expl (2)'!T104,'Compte résultat prévi'!$S$5,'Hypotheses expl (2)'!U104)+SUMIF('Hypotheses expl (2)'!V104,'Compte résultat prévi'!$S$5,'Hypotheses expl (2)'!W104)+SUMIF('Hypotheses expl (2)'!X104,'Compte résultat prévi'!$S$5,'Hypotheses expl (2)'!Y104)+SUMIF('Hypotheses expl (2)'!Z104,'Compte résultat prévi'!$S$5,'Hypotheses expl (2)'!AA104)+SUMIF('Hypotheses expl (2)'!AB104,'Compte résultat prévi'!$S$5,'Hypotheses expl (2)'!AC104)</f>
        <v>150</v>
      </c>
      <c r="T50" s="202">
        <f>+SUMIF('Hypotheses expl (2)'!R104,'Compte résultat prévi'!$T$5,'Hypotheses expl (2)'!S104)+SUMIF('Hypotheses expl (2)'!T104,'Compte résultat prévi'!$T$5,'Hypotheses expl (2)'!U104)+SUMIF('Hypotheses expl (2)'!V104,'Compte résultat prévi'!$T$5,'Hypotheses expl (2)'!W104)+SUMIF('Hypotheses expl (2)'!X104,'Compte résultat prévi'!$T$5,'Hypotheses expl (2)'!Y104)+SUMIF('Hypotheses expl (2)'!Z104,'Compte résultat prévi'!$T$5,'Hypotheses expl (2)'!AA104)+SUMIF('Hypotheses expl (2)'!AB104,'Compte résultat prévi'!$T$5,'Hypotheses expl (2)'!AC104)</f>
        <v>0</v>
      </c>
      <c r="U50" s="203"/>
      <c r="V50" s="204"/>
    </row>
    <row r="51" outlineLevel="1">
      <c r="A51" s="198" t="str">
        <f>'Hypotheses expl'!B106</f>
        <v xml:space="preserve">Produits d'entretien</v>
      </c>
      <c r="B51" s="234"/>
      <c r="C51" s="200">
        <f>+'Hypotheses expl'!O106</f>
        <v>2500</v>
      </c>
      <c r="D51" s="201">
        <f>+SUMIF('Hypotheses expl'!R106,'Compte résultat prévi'!$D$5,'Hypotheses expl'!S106)+SUMIF('Hypotheses expl'!T106,'Compte résultat prévi'!$D$5,'Hypotheses expl'!U106)+SUMIF('Hypotheses expl'!V106,'Compte résultat prévi'!$D$5,'Hypotheses expl'!W106)+SUMIF('Hypotheses expl'!X106,'Compte résultat prévi'!$D$5,'Hypotheses expl'!Y106)+SUMIF('Hypotheses expl'!Z106,'Compte résultat prévi'!$D$5,'Hypotheses expl'!AA106)+SUMIF('Hypotheses expl'!AB106,'Compte résultat prévi'!$D$5,'Hypotheses expl'!AC106)</f>
        <v>1000</v>
      </c>
      <c r="E51" s="201">
        <f>+SUMIF('Hypotheses expl'!R106,'Compte résultat prévi'!$E$5,'Hypotheses expl'!S106)+SUMIF('Hypotheses expl'!T106,'Compte résultat prévi'!$E$5,'Hypotheses expl'!U106)+SUMIF('Hypotheses expl'!V106,'Compte résultat prévi'!$E$5,'Hypotheses expl'!W106)+SUMIF('Hypotheses expl'!X106,'Compte résultat prévi'!$E$5,'Hypotheses expl'!Y106)+SUMIF('Hypotheses expl'!Z106,'Compte résultat prévi'!$E$5,'Hypotheses expl'!AA106)+SUMIF('Hypotheses expl'!AB106,'Compte résultat prévi'!$E$5,'Hypotheses expl'!AC106)</f>
        <v>1000</v>
      </c>
      <c r="F51" s="201">
        <f>+SUMIF('Hypotheses expl'!R106,'Compte résultat prévi'!$F$5,'Hypotheses expl'!S106)+SUMIF('Hypotheses expl'!T106,'Compte résultat prévi'!$F$5,'Hypotheses expl'!U106)+SUMIF('Hypotheses expl'!V106,'Compte résultat prévi'!$F$5,'Hypotheses expl'!W106)+SUMIF('Hypotheses expl'!X106,'Compte résultat prévi'!$F$5,'Hypotheses expl'!Y106)+SUMIF('Hypotheses expl'!Z106,'Compte résultat prévi'!$F$5,'Hypotheses expl'!AA106)+SUMIF('Hypotheses expl'!AB106,'Compte résultat prévi'!$F$5,'Hypotheses expl'!AC106)</f>
        <v>250</v>
      </c>
      <c r="G51" s="201">
        <f>+SUMIF('Hypotheses expl'!R106,'Compte résultat prévi'!$G$5,'Hypotheses expl'!S106)+SUMIF('Hypotheses expl'!T106,'Compte résultat prévi'!$G$5,'Hypotheses expl'!U106)+SUMIF('Hypotheses expl'!V106,'Compte résultat prévi'!$G$5,'Hypotheses expl'!W106)+SUMIF('Hypotheses expl'!X106,'Compte résultat prévi'!$G$5,'Hypotheses expl'!Y106)+SUMIF('Hypotheses expl'!Z106,'Compte résultat prévi'!$G$5,'Hypotheses expl'!AA106)+SUMIF('Hypotheses expl'!AB106,'Compte résultat prévi'!$G$5,'Hypotheses expl'!AC106)</f>
        <v>250</v>
      </c>
      <c r="H51" s="202">
        <f>+SUMIF('Hypotheses expl'!R106,'Compte résultat prévi'!$H$5,'Hypotheses expl'!S106)+SUMIF('Hypotheses expl'!T106,'Compte résultat prévi'!$H$5,'Hypotheses expl'!U106)+SUMIF('Hypotheses expl'!V106,'Compte résultat prévi'!$H$5,'Hypotheses expl'!W106)+SUMIF('Hypotheses expl'!X106,'Compte résultat prévi'!$H$5,'Hypotheses expl'!Y106)+SUMIF('Hypotheses expl'!Z106,'Compte résultat prévi'!$H$5,'Hypotheses expl'!AA106)+SUMIF('Hypotheses expl'!AB106,'Compte résultat prévi'!$H$5,'Hypotheses expl'!AC106)</f>
        <v>0</v>
      </c>
      <c r="I51" s="200">
        <f>+'Hypotheses expl (3,)'!O106</f>
        <v>2500</v>
      </c>
      <c r="J51" s="201">
        <f>+SUMIF('Hypotheses expl (3,)'!R106,'Compte résultat prévi'!$J$5,'Hypotheses expl (3,)'!S106)+SUMIF('Hypotheses expl (3,)'!T106,'Compte résultat prévi'!$J$5,'Hypotheses expl (3,)'!U106)+SUMIF('Hypotheses expl (3,)'!V106,'Compte résultat prévi'!$J$5,'Hypotheses expl (3,)'!W106)+SUMIF('Hypotheses expl (3,)'!X106,'Compte résultat prévi'!$J$5,'Hypotheses expl (3,)'!Y106)+SUMIF('Hypotheses expl (3,)'!Z106,'Compte résultat prévi'!$J$5,'Hypotheses expl (3,)'!AA106)+SUMIF('Hypotheses expl (3,)'!AB106,'Compte résultat prévi'!$J$5,'Hypotheses expl (3,)'!AC106)</f>
        <v>1000</v>
      </c>
      <c r="K51" s="201">
        <f>+SUMIF('Hypotheses expl (3,)'!R106,'Compte résultat prévi'!$K$5,'Hypotheses expl (3,)'!S106)+SUMIF('Hypotheses expl (3,)'!T106,'Compte résultat prévi'!$K$5,'Hypotheses expl (3,)'!U106)+SUMIF('Hypotheses expl (3,)'!V106,'Compte résultat prévi'!$K$5,'Hypotheses expl (3,)'!W106)+SUMIF('Hypotheses expl (3,)'!X106,'Compte résultat prévi'!$K$5,'Hypotheses expl (3,)'!Y106)+SUMIF('Hypotheses expl (3,)'!Z106,'Compte résultat prévi'!$K$5,'Hypotheses expl (3,)'!AA106)+SUMIF('Hypotheses expl (3,)'!AB106,'Compte résultat prévi'!$K$5,'Hypotheses expl (3,)'!AC106)</f>
        <v>1000</v>
      </c>
      <c r="L51" s="201">
        <f>+SUMIF('Hypotheses expl (3,)'!R106,'Compte résultat prévi'!$L$5,'Hypotheses expl (3,)'!S106)+SUMIF('Hypotheses expl (3,)'!T106,'Compte résultat prévi'!$L$5,'Hypotheses expl (3,)'!U106)+SUMIF('Hypotheses expl (3,)'!V106,'Compte résultat prévi'!$L$5,'Hypotheses expl (3,)'!W106)+SUMIF('Hypotheses expl (3,)'!X106,'Compte résultat prévi'!$L$5,'Hypotheses expl (3,)'!Y106)+SUMIF('Hypotheses expl (3,)'!Z106,'Compte résultat prévi'!$L$5,'Hypotheses expl (3,)'!AA106)+SUMIF('Hypotheses expl (3,)'!AB106,'Compte résultat prévi'!$L$5,'Hypotheses expl (3,)'!AC106)</f>
        <v>250</v>
      </c>
      <c r="M51" s="201">
        <f>+SUMIF('Hypotheses expl (3,)'!R106,'Compte résultat prévi'!$M$5,'Hypotheses expl (3,)'!S106)+SUMIF('Hypotheses expl (3,)'!T106,'Compte résultat prévi'!$M$5,'Hypotheses expl (3,)'!U106)+SUMIF('Hypotheses expl (3,)'!V106,'Compte résultat prévi'!$M$5,'Hypotheses expl (3,)'!W106)+SUMIF('Hypotheses expl (3,)'!X106,'Compte résultat prévi'!$M$5,'Hypotheses expl (3,)'!Y106)+SUMIF('Hypotheses expl (3,)'!Z106,'Compte résultat prévi'!$M$5,'Hypotheses expl (3,)'!AA106)+SUMIF('Hypotheses expl (3,)'!AB106,'Compte résultat prévi'!$M$5,'Hypotheses expl (3,)'!AC106)</f>
        <v>250</v>
      </c>
      <c r="N51" s="202">
        <f>+SUMIF('Hypotheses expl (3,)'!R106,'Compte résultat prévi'!$N$5,'Hypotheses expl (3,)'!S106)+SUMIF('Hypotheses expl (3,)'!T106,'Compte résultat prévi'!$N$5,'Hypotheses expl (3,)'!U106)+SUMIF('Hypotheses expl (3,)'!V106,'Compte résultat prévi'!$N$5,'Hypotheses expl (3,)'!W106)+SUMIF('Hypotheses expl (3,)'!X106,'Compte résultat prévi'!$N$5,'Hypotheses expl (3,)'!Y106)+SUMIF('Hypotheses expl (3,)'!Z106,'Compte résultat prévi'!$N$5,'Hypotheses expl (3,)'!AA106)+SUMIF('Hypotheses expl (3,)'!AB106,'Compte résultat prévi'!$N$5,'Hypotheses expl (3,)'!AC106)</f>
        <v>0</v>
      </c>
      <c r="O51" s="200">
        <f>+'Hypotheses expl (2)'!O105</f>
        <v>2500</v>
      </c>
      <c r="P51" s="201">
        <f>+SUMIF('Hypotheses expl (2)'!R105,'Compte résultat prévi'!$P$5,'Hypotheses expl (2)'!S105)+SUMIF('Hypotheses expl (2)'!T105,'Compte résultat prévi'!$P$5,'Hypotheses expl (2)'!U105)+SUMIF('Hypotheses expl (2)'!V105,'Compte résultat prévi'!$P$5,'Hypotheses expl (2)'!W105)+SUMIF('Hypotheses expl (2)'!X105,'Compte résultat prévi'!$P$5,'Hypotheses expl (2)'!Y105)+SUMIF('Hypotheses expl (2)'!Z105,'Compte résultat prévi'!$P$5,'Hypotheses expl (2)'!AA105)+SUMIF('Hypotheses expl (2)'!AB105,'Compte résultat prévi'!$P$5,'Hypotheses expl (2)'!AC105)</f>
        <v>1000</v>
      </c>
      <c r="Q51" s="201">
        <f>+SUMIF('Hypotheses expl (2)'!R105,'Compte résultat prévi'!$Q$5,'Hypotheses expl (2)'!S105)+SUMIF('Hypotheses expl (2)'!T105,'Compte résultat prévi'!$Q$5,'Hypotheses expl (2)'!U105)+SUMIF('Hypotheses expl (2)'!V105,'Compte résultat prévi'!$Q$5,'Hypotheses expl (2)'!W105)+SUMIF('Hypotheses expl (2)'!X105,'Compte résultat prévi'!$Q$5,'Hypotheses expl (2)'!Y105)+SUMIF('Hypotheses expl (2)'!Z105,'Compte résultat prévi'!$Q$5,'Hypotheses expl (2)'!AA105)+SUMIF('Hypotheses expl (2)'!AB105,'Compte résultat prévi'!$Q$5,'Hypotheses expl (2)'!AC105)</f>
        <v>1000</v>
      </c>
      <c r="R51" s="201">
        <f>+SUMIF('Hypotheses expl (2)'!R105,'Compte résultat prévi'!$R$5,'Hypotheses expl (2)'!S105)+SUMIF('Hypotheses expl (2)'!T105,'Compte résultat prévi'!$R$5,'Hypotheses expl (2)'!U105)+SUMIF('Hypotheses expl (2)'!V105,'Compte résultat prévi'!$R$5,'Hypotheses expl (2)'!W105)+SUMIF('Hypotheses expl (2)'!X105,'Compte résultat prévi'!$R$5,'Hypotheses expl (2)'!Y105)+SUMIF('Hypotheses expl (2)'!Z105,'Compte résultat prévi'!$R$5,'Hypotheses expl (2)'!AA105)+SUMIF('Hypotheses expl (2)'!AB105,'Compte résultat prévi'!$R$5,'Hypotheses expl (2)'!AC105)</f>
        <v>250</v>
      </c>
      <c r="S51" s="201">
        <f>+SUMIF('Hypotheses expl (2)'!R105,'Compte résultat prévi'!$S$5,'Hypotheses expl (2)'!S105)+SUMIF('Hypotheses expl (2)'!T105,'Compte résultat prévi'!$S$5,'Hypotheses expl (2)'!U105)+SUMIF('Hypotheses expl (2)'!V105,'Compte résultat prévi'!$S$5,'Hypotheses expl (2)'!W105)+SUMIF('Hypotheses expl (2)'!X105,'Compte résultat prévi'!$S$5,'Hypotheses expl (2)'!Y105)+SUMIF('Hypotheses expl (2)'!Z105,'Compte résultat prévi'!$S$5,'Hypotheses expl (2)'!AA105)+SUMIF('Hypotheses expl (2)'!AB105,'Compte résultat prévi'!$S$5,'Hypotheses expl (2)'!AC105)</f>
        <v>250</v>
      </c>
      <c r="T51" s="202">
        <f>+SUMIF('Hypotheses expl (2)'!R105,'Compte résultat prévi'!$T$5,'Hypotheses expl (2)'!S105)+SUMIF('Hypotheses expl (2)'!T105,'Compte résultat prévi'!$T$5,'Hypotheses expl (2)'!U105)+SUMIF('Hypotheses expl (2)'!V105,'Compte résultat prévi'!$T$5,'Hypotheses expl (2)'!W105)+SUMIF('Hypotheses expl (2)'!X105,'Compte résultat prévi'!$T$5,'Hypotheses expl (2)'!Y105)+SUMIF('Hypotheses expl (2)'!Z105,'Compte résultat prévi'!$T$5,'Hypotheses expl (2)'!AA105)+SUMIF('Hypotheses expl (2)'!AB105,'Compte résultat prévi'!$T$5,'Hypotheses expl (2)'!AC105)</f>
        <v>0</v>
      </c>
      <c r="U51" s="203"/>
      <c r="V51" s="204"/>
    </row>
    <row r="52" outlineLevel="1">
      <c r="A52" s="198" t="str">
        <f>'Hypotheses expl'!B107</f>
        <v xml:space="preserve">Petites fournitures</v>
      </c>
      <c r="B52" s="234"/>
      <c r="C52" s="200">
        <f>+'Hypotheses expl'!O107</f>
        <v>20000</v>
      </c>
      <c r="D52" s="201">
        <f>+SUMIF('Hypotheses expl'!R107,'Compte résultat prévi'!$D$5,'Hypotheses expl'!S107)+SUMIF('Hypotheses expl'!T107,'Compte résultat prévi'!$D$5,'Hypotheses expl'!U107)+SUMIF('Hypotheses expl'!V107,'Compte résultat prévi'!$D$5,'Hypotheses expl'!W107)+SUMIF('Hypotheses expl'!X107,'Compte résultat prévi'!$D$5,'Hypotheses expl'!Y107)+SUMIF('Hypotheses expl'!Z107,'Compte résultat prévi'!$D$5,'Hypotheses expl'!AA107)+SUMIF('Hypotheses expl'!AB107,'Compte résultat prévi'!$D$5,'Hypotheses expl'!AC107)</f>
        <v>8000</v>
      </c>
      <c r="E52" s="201">
        <f>+SUMIF('Hypotheses expl'!R107,'Compte résultat prévi'!$E$5,'Hypotheses expl'!S107)+SUMIF('Hypotheses expl'!T107,'Compte résultat prévi'!$E$5,'Hypotheses expl'!U107)+SUMIF('Hypotheses expl'!V107,'Compte résultat prévi'!$E$5,'Hypotheses expl'!W107)+SUMIF('Hypotheses expl'!X107,'Compte résultat prévi'!$E$5,'Hypotheses expl'!Y107)+SUMIF('Hypotheses expl'!Z107,'Compte résultat prévi'!$E$5,'Hypotheses expl'!AA107)+SUMIF('Hypotheses expl'!AB107,'Compte résultat prévi'!$E$5,'Hypotheses expl'!AC107)</f>
        <v>8000</v>
      </c>
      <c r="F52" s="201">
        <f>+SUMIF('Hypotheses expl'!R107,'Compte résultat prévi'!$F$5,'Hypotheses expl'!S107)+SUMIF('Hypotheses expl'!T107,'Compte résultat prévi'!$F$5,'Hypotheses expl'!U107)+SUMIF('Hypotheses expl'!V107,'Compte résultat prévi'!$F$5,'Hypotheses expl'!W107)+SUMIF('Hypotheses expl'!X107,'Compte résultat prévi'!$F$5,'Hypotheses expl'!Y107)+SUMIF('Hypotheses expl'!Z107,'Compte résultat prévi'!$F$5,'Hypotheses expl'!AA107)+SUMIF('Hypotheses expl'!AB107,'Compte résultat prévi'!$F$5,'Hypotheses expl'!AC107)</f>
        <v>2000</v>
      </c>
      <c r="G52" s="201">
        <f>+SUMIF('Hypotheses expl'!R107,'Compte résultat prévi'!$G$5,'Hypotheses expl'!S107)+SUMIF('Hypotheses expl'!T107,'Compte résultat prévi'!$G$5,'Hypotheses expl'!U107)+SUMIF('Hypotheses expl'!V107,'Compte résultat prévi'!$G$5,'Hypotheses expl'!W107)+SUMIF('Hypotheses expl'!X107,'Compte résultat prévi'!$G$5,'Hypotheses expl'!Y107)+SUMIF('Hypotheses expl'!Z107,'Compte résultat prévi'!$G$5,'Hypotheses expl'!AA107)+SUMIF('Hypotheses expl'!AB107,'Compte résultat prévi'!$G$5,'Hypotheses expl'!AC107)</f>
        <v>2000</v>
      </c>
      <c r="H52" s="202">
        <f>+SUMIF('Hypotheses expl'!R107,'Compte résultat prévi'!$H$5,'Hypotheses expl'!S107)+SUMIF('Hypotheses expl'!T107,'Compte résultat prévi'!$H$5,'Hypotheses expl'!U107)+SUMIF('Hypotheses expl'!V107,'Compte résultat prévi'!$H$5,'Hypotheses expl'!W107)+SUMIF('Hypotheses expl'!X107,'Compte résultat prévi'!$H$5,'Hypotheses expl'!Y107)+SUMIF('Hypotheses expl'!Z107,'Compte résultat prévi'!$H$5,'Hypotheses expl'!AA107)+SUMIF('Hypotheses expl'!AB107,'Compte résultat prévi'!$H$5,'Hypotheses expl'!AC107)</f>
        <v>0</v>
      </c>
      <c r="I52" s="200">
        <f>+'Hypotheses expl (3,)'!O107</f>
        <v>20000</v>
      </c>
      <c r="J52" s="201">
        <f>+SUMIF('Hypotheses expl (3,)'!R107,'Compte résultat prévi'!$J$5,'Hypotheses expl (3,)'!S107)+SUMIF('Hypotheses expl (3,)'!T107,'Compte résultat prévi'!$J$5,'Hypotheses expl (3,)'!U107)+SUMIF('Hypotheses expl (3,)'!V107,'Compte résultat prévi'!$J$5,'Hypotheses expl (3,)'!W107)+SUMIF('Hypotheses expl (3,)'!X107,'Compte résultat prévi'!$J$5,'Hypotheses expl (3,)'!Y107)+SUMIF('Hypotheses expl (3,)'!Z107,'Compte résultat prévi'!$J$5,'Hypotheses expl (3,)'!AA107)+SUMIF('Hypotheses expl (3,)'!AB107,'Compte résultat prévi'!$J$5,'Hypotheses expl (3,)'!AC107)</f>
        <v>8000</v>
      </c>
      <c r="K52" s="201">
        <f>+SUMIF('Hypotheses expl (3,)'!R107,'Compte résultat prévi'!$K$5,'Hypotheses expl (3,)'!S107)+SUMIF('Hypotheses expl (3,)'!T107,'Compte résultat prévi'!$K$5,'Hypotheses expl (3,)'!U107)+SUMIF('Hypotheses expl (3,)'!V107,'Compte résultat prévi'!$K$5,'Hypotheses expl (3,)'!W107)+SUMIF('Hypotheses expl (3,)'!X107,'Compte résultat prévi'!$K$5,'Hypotheses expl (3,)'!Y107)+SUMIF('Hypotheses expl (3,)'!Z107,'Compte résultat prévi'!$K$5,'Hypotheses expl (3,)'!AA107)+SUMIF('Hypotheses expl (3,)'!AB107,'Compte résultat prévi'!$K$5,'Hypotheses expl (3,)'!AC107)</f>
        <v>8000</v>
      </c>
      <c r="L52" s="201">
        <f>+SUMIF('Hypotheses expl (3,)'!R107,'Compte résultat prévi'!$L$5,'Hypotheses expl (3,)'!S107)+SUMIF('Hypotheses expl (3,)'!T107,'Compte résultat prévi'!$L$5,'Hypotheses expl (3,)'!U107)+SUMIF('Hypotheses expl (3,)'!V107,'Compte résultat prévi'!$L$5,'Hypotheses expl (3,)'!W107)+SUMIF('Hypotheses expl (3,)'!X107,'Compte résultat prévi'!$L$5,'Hypotheses expl (3,)'!Y107)+SUMIF('Hypotheses expl (3,)'!Z107,'Compte résultat prévi'!$L$5,'Hypotheses expl (3,)'!AA107)+SUMIF('Hypotheses expl (3,)'!AB107,'Compte résultat prévi'!$L$5,'Hypotheses expl (3,)'!AC107)</f>
        <v>2000</v>
      </c>
      <c r="M52" s="201">
        <f>+SUMIF('Hypotheses expl (3,)'!R107,'Compte résultat prévi'!$M$5,'Hypotheses expl (3,)'!S107)+SUMIF('Hypotheses expl (3,)'!T107,'Compte résultat prévi'!$M$5,'Hypotheses expl (3,)'!U107)+SUMIF('Hypotheses expl (3,)'!V107,'Compte résultat prévi'!$M$5,'Hypotheses expl (3,)'!W107)+SUMIF('Hypotheses expl (3,)'!X107,'Compte résultat prévi'!$M$5,'Hypotheses expl (3,)'!Y107)+SUMIF('Hypotheses expl (3,)'!Z107,'Compte résultat prévi'!$M$5,'Hypotheses expl (3,)'!AA107)+SUMIF('Hypotheses expl (3,)'!AB107,'Compte résultat prévi'!$M$5,'Hypotheses expl (3,)'!AC107)</f>
        <v>2000</v>
      </c>
      <c r="N52" s="202">
        <f>+SUMIF('Hypotheses expl (3,)'!R107,'Compte résultat prévi'!$N$5,'Hypotheses expl (3,)'!S107)+SUMIF('Hypotheses expl (3,)'!T107,'Compte résultat prévi'!$N$5,'Hypotheses expl (3,)'!U107)+SUMIF('Hypotheses expl (3,)'!V107,'Compte résultat prévi'!$N$5,'Hypotheses expl (3,)'!W107)+SUMIF('Hypotheses expl (3,)'!X107,'Compte résultat prévi'!$N$5,'Hypotheses expl (3,)'!Y107)+SUMIF('Hypotheses expl (3,)'!Z107,'Compte résultat prévi'!$N$5,'Hypotheses expl (3,)'!AA107)+SUMIF('Hypotheses expl (3,)'!AB107,'Compte résultat prévi'!$N$5,'Hypotheses expl (3,)'!AC107)</f>
        <v>0</v>
      </c>
      <c r="O52" s="200">
        <f>+'Hypotheses expl (2)'!O106</f>
        <v>20000</v>
      </c>
      <c r="P52" s="201">
        <f>+SUMIF('Hypotheses expl (2)'!R106,'Compte résultat prévi'!$P$5,'Hypotheses expl (2)'!S106)+SUMIF('Hypotheses expl (2)'!T106,'Compte résultat prévi'!$P$5,'Hypotheses expl (2)'!U106)+SUMIF('Hypotheses expl (2)'!V106,'Compte résultat prévi'!$P$5,'Hypotheses expl (2)'!W106)+SUMIF('Hypotheses expl (2)'!X106,'Compte résultat prévi'!$P$5,'Hypotheses expl (2)'!Y106)+SUMIF('Hypotheses expl (2)'!Z106,'Compte résultat prévi'!$P$5,'Hypotheses expl (2)'!AA106)+SUMIF('Hypotheses expl (2)'!AB106,'Compte résultat prévi'!$P$5,'Hypotheses expl (2)'!AC106)</f>
        <v>8000</v>
      </c>
      <c r="Q52" s="201">
        <f>+SUMIF('Hypotheses expl (2)'!R106,'Compte résultat prévi'!$Q$5,'Hypotheses expl (2)'!S106)+SUMIF('Hypotheses expl (2)'!T106,'Compte résultat prévi'!$Q$5,'Hypotheses expl (2)'!U106)+SUMIF('Hypotheses expl (2)'!V106,'Compte résultat prévi'!$Q$5,'Hypotheses expl (2)'!W106)+SUMIF('Hypotheses expl (2)'!X106,'Compte résultat prévi'!$Q$5,'Hypotheses expl (2)'!Y106)+SUMIF('Hypotheses expl (2)'!Z106,'Compte résultat prévi'!$Q$5,'Hypotheses expl (2)'!AA106)+SUMIF('Hypotheses expl (2)'!AB106,'Compte résultat prévi'!$Q$5,'Hypotheses expl (2)'!AC106)</f>
        <v>8000</v>
      </c>
      <c r="R52" s="201">
        <f>+SUMIF('Hypotheses expl (2)'!R106,'Compte résultat prévi'!$R$5,'Hypotheses expl (2)'!S106)+SUMIF('Hypotheses expl (2)'!T106,'Compte résultat prévi'!$R$5,'Hypotheses expl (2)'!U106)+SUMIF('Hypotheses expl (2)'!V106,'Compte résultat prévi'!$R$5,'Hypotheses expl (2)'!W106)+SUMIF('Hypotheses expl (2)'!X106,'Compte résultat prévi'!$R$5,'Hypotheses expl (2)'!Y106)+SUMIF('Hypotheses expl (2)'!Z106,'Compte résultat prévi'!$R$5,'Hypotheses expl (2)'!AA106)+SUMIF('Hypotheses expl (2)'!AB106,'Compte résultat prévi'!$R$5,'Hypotheses expl (2)'!AC106)</f>
        <v>2000</v>
      </c>
      <c r="S52" s="201">
        <f>+SUMIF('Hypotheses expl (2)'!R106,'Compte résultat prévi'!$S$5,'Hypotheses expl (2)'!S106)+SUMIF('Hypotheses expl (2)'!T106,'Compte résultat prévi'!$S$5,'Hypotheses expl (2)'!U106)+SUMIF('Hypotheses expl (2)'!V106,'Compte résultat prévi'!$S$5,'Hypotheses expl (2)'!W106)+SUMIF('Hypotheses expl (2)'!X106,'Compte résultat prévi'!$S$5,'Hypotheses expl (2)'!Y106)+SUMIF('Hypotheses expl (2)'!Z106,'Compte résultat prévi'!$S$5,'Hypotheses expl (2)'!AA106)+SUMIF('Hypotheses expl (2)'!AB106,'Compte résultat prévi'!$S$5,'Hypotheses expl (2)'!AC106)</f>
        <v>2000</v>
      </c>
      <c r="T52" s="202">
        <f>+SUMIF('Hypotheses expl (2)'!R106,'Compte résultat prévi'!$T$5,'Hypotheses expl (2)'!S106)+SUMIF('Hypotheses expl (2)'!T106,'Compte résultat prévi'!$T$5,'Hypotheses expl (2)'!U106)+SUMIF('Hypotheses expl (2)'!V106,'Compte résultat prévi'!$T$5,'Hypotheses expl (2)'!W106)+SUMIF('Hypotheses expl (2)'!X106,'Compte résultat prévi'!$T$5,'Hypotheses expl (2)'!Y106)+SUMIF('Hypotheses expl (2)'!Z106,'Compte résultat prévi'!$T$5,'Hypotheses expl (2)'!AA106)+SUMIF('Hypotheses expl (2)'!AB106,'Compte résultat prévi'!$T$5,'Hypotheses expl (2)'!AC106)</f>
        <v>0</v>
      </c>
      <c r="U52" s="203"/>
      <c r="V52" s="204"/>
    </row>
    <row r="53" outlineLevel="1">
      <c r="A53" s="198" t="str">
        <f>'Hypotheses expl'!B108</f>
        <v xml:space="preserve">Photocopies et frais éducatifs</v>
      </c>
      <c r="B53" s="234"/>
      <c r="C53" s="200">
        <f>+'Hypotheses expl'!O108</f>
        <v>9000</v>
      </c>
      <c r="D53" s="201">
        <f>+SUMIF('Hypotheses expl'!R108,'Compte résultat prévi'!$D$5,'Hypotheses expl'!S108)+SUMIF('Hypotheses expl'!T108,'Compte résultat prévi'!$D$5,'Hypotheses expl'!U108)+SUMIF('Hypotheses expl'!V108,'Compte résultat prévi'!$D$5,'Hypotheses expl'!W108)+SUMIF('Hypotheses expl'!X108,'Compte résultat prévi'!$D$5,'Hypotheses expl'!Y108)+SUMIF('Hypotheses expl'!Z108,'Compte résultat prévi'!$D$5,'Hypotheses expl'!AA108)+SUMIF('Hypotheses expl'!AB108,'Compte résultat prévi'!$D$5,'Hypotheses expl'!AC108)</f>
        <v>3600</v>
      </c>
      <c r="E53" s="201">
        <f>+SUMIF('Hypotheses expl'!R108,'Compte résultat prévi'!$E$5,'Hypotheses expl'!S108)+SUMIF('Hypotheses expl'!T108,'Compte résultat prévi'!$E$5,'Hypotheses expl'!U108)+SUMIF('Hypotheses expl'!V108,'Compte résultat prévi'!$E$5,'Hypotheses expl'!W108)+SUMIF('Hypotheses expl'!X108,'Compte résultat prévi'!$E$5,'Hypotheses expl'!Y108)+SUMIF('Hypotheses expl'!Z108,'Compte résultat prévi'!$E$5,'Hypotheses expl'!AA108)+SUMIF('Hypotheses expl'!AB108,'Compte résultat prévi'!$E$5,'Hypotheses expl'!AC108)</f>
        <v>3600</v>
      </c>
      <c r="F53" s="201">
        <f>+SUMIF('Hypotheses expl'!R108,'Compte résultat prévi'!$F$5,'Hypotheses expl'!S108)+SUMIF('Hypotheses expl'!T108,'Compte résultat prévi'!$F$5,'Hypotheses expl'!U108)+SUMIF('Hypotheses expl'!V108,'Compte résultat prévi'!$F$5,'Hypotheses expl'!W108)+SUMIF('Hypotheses expl'!X108,'Compte résultat prévi'!$F$5,'Hypotheses expl'!Y108)+SUMIF('Hypotheses expl'!Z108,'Compte résultat prévi'!$F$5,'Hypotheses expl'!AA108)+SUMIF('Hypotheses expl'!AB108,'Compte résultat prévi'!$F$5,'Hypotheses expl'!AC108)</f>
        <v>900</v>
      </c>
      <c r="G53" s="201">
        <f>+SUMIF('Hypotheses expl'!R108,'Compte résultat prévi'!$G$5,'Hypotheses expl'!S108)+SUMIF('Hypotheses expl'!T108,'Compte résultat prévi'!$G$5,'Hypotheses expl'!U108)+SUMIF('Hypotheses expl'!V108,'Compte résultat prévi'!$G$5,'Hypotheses expl'!W108)+SUMIF('Hypotheses expl'!X108,'Compte résultat prévi'!$G$5,'Hypotheses expl'!Y108)+SUMIF('Hypotheses expl'!Z108,'Compte résultat prévi'!$G$5,'Hypotheses expl'!AA108)+SUMIF('Hypotheses expl'!AB108,'Compte résultat prévi'!$G$5,'Hypotheses expl'!AC108)</f>
        <v>900</v>
      </c>
      <c r="H53" s="202">
        <f>+SUMIF('Hypotheses expl'!R108,'Compte résultat prévi'!$H$5,'Hypotheses expl'!S108)+SUMIF('Hypotheses expl'!T108,'Compte résultat prévi'!$H$5,'Hypotheses expl'!U108)+SUMIF('Hypotheses expl'!V108,'Compte résultat prévi'!$H$5,'Hypotheses expl'!W108)+SUMIF('Hypotheses expl'!X108,'Compte résultat prévi'!$H$5,'Hypotheses expl'!Y108)+SUMIF('Hypotheses expl'!Z108,'Compte résultat prévi'!$H$5,'Hypotheses expl'!AA108)+SUMIF('Hypotheses expl'!AB108,'Compte résultat prévi'!$H$5,'Hypotheses expl'!AC108)</f>
        <v>0</v>
      </c>
      <c r="I53" s="200">
        <f>+'Hypotheses expl (3,)'!O108</f>
        <v>9000</v>
      </c>
      <c r="J53" s="201">
        <f>+SUMIF('Hypotheses expl (3,)'!R108,'Compte résultat prévi'!$J$5,'Hypotheses expl (3,)'!S108)+SUMIF('Hypotheses expl (3,)'!T108,'Compte résultat prévi'!$J$5,'Hypotheses expl (3,)'!U108)+SUMIF('Hypotheses expl (3,)'!V108,'Compte résultat prévi'!$J$5,'Hypotheses expl (3,)'!W108)+SUMIF('Hypotheses expl (3,)'!X108,'Compte résultat prévi'!$J$5,'Hypotheses expl (3,)'!Y108)+SUMIF('Hypotheses expl (3,)'!Z108,'Compte résultat prévi'!$J$5,'Hypotheses expl (3,)'!AA108)+SUMIF('Hypotheses expl (3,)'!AB108,'Compte résultat prévi'!$J$5,'Hypotheses expl (3,)'!AC108)</f>
        <v>3600</v>
      </c>
      <c r="K53" s="201">
        <f>+SUMIF('Hypotheses expl (3,)'!R108,'Compte résultat prévi'!$K$5,'Hypotheses expl (3,)'!S108)+SUMIF('Hypotheses expl (3,)'!T108,'Compte résultat prévi'!$K$5,'Hypotheses expl (3,)'!U108)+SUMIF('Hypotheses expl (3,)'!V108,'Compte résultat prévi'!$K$5,'Hypotheses expl (3,)'!W108)+SUMIF('Hypotheses expl (3,)'!X108,'Compte résultat prévi'!$K$5,'Hypotheses expl (3,)'!Y108)+SUMIF('Hypotheses expl (3,)'!Z108,'Compte résultat prévi'!$K$5,'Hypotheses expl (3,)'!AA108)+SUMIF('Hypotheses expl (3,)'!AB108,'Compte résultat prévi'!$K$5,'Hypotheses expl (3,)'!AC108)</f>
        <v>3600</v>
      </c>
      <c r="L53" s="201">
        <f>+SUMIF('Hypotheses expl (3,)'!R108,'Compte résultat prévi'!$L$5,'Hypotheses expl (3,)'!S108)+SUMIF('Hypotheses expl (3,)'!T108,'Compte résultat prévi'!$L$5,'Hypotheses expl (3,)'!U108)+SUMIF('Hypotheses expl (3,)'!V108,'Compte résultat prévi'!$L$5,'Hypotheses expl (3,)'!W108)+SUMIF('Hypotheses expl (3,)'!X108,'Compte résultat prévi'!$L$5,'Hypotheses expl (3,)'!Y108)+SUMIF('Hypotheses expl (3,)'!Z108,'Compte résultat prévi'!$L$5,'Hypotheses expl (3,)'!AA108)+SUMIF('Hypotheses expl (3,)'!AB108,'Compte résultat prévi'!$L$5,'Hypotheses expl (3,)'!AC108)</f>
        <v>900</v>
      </c>
      <c r="M53" s="201">
        <f>+SUMIF('Hypotheses expl (3,)'!R108,'Compte résultat prévi'!$M$5,'Hypotheses expl (3,)'!S108)+SUMIF('Hypotheses expl (3,)'!T108,'Compte résultat prévi'!$M$5,'Hypotheses expl (3,)'!U108)+SUMIF('Hypotheses expl (3,)'!V108,'Compte résultat prévi'!$M$5,'Hypotheses expl (3,)'!W108)+SUMIF('Hypotheses expl (3,)'!X108,'Compte résultat prévi'!$M$5,'Hypotheses expl (3,)'!Y108)+SUMIF('Hypotheses expl (3,)'!Z108,'Compte résultat prévi'!$M$5,'Hypotheses expl (3,)'!AA108)+SUMIF('Hypotheses expl (3,)'!AB108,'Compte résultat prévi'!$M$5,'Hypotheses expl (3,)'!AC108)</f>
        <v>900</v>
      </c>
      <c r="N53" s="202">
        <f>+SUMIF('Hypotheses expl (3,)'!R108,'Compte résultat prévi'!$N$5,'Hypotheses expl (3,)'!S108)+SUMIF('Hypotheses expl (3,)'!T108,'Compte résultat prévi'!$N$5,'Hypotheses expl (3,)'!U108)+SUMIF('Hypotheses expl (3,)'!V108,'Compte résultat prévi'!$N$5,'Hypotheses expl (3,)'!W108)+SUMIF('Hypotheses expl (3,)'!X108,'Compte résultat prévi'!$N$5,'Hypotheses expl (3,)'!Y108)+SUMIF('Hypotheses expl (3,)'!Z108,'Compte résultat prévi'!$N$5,'Hypotheses expl (3,)'!AA108)+SUMIF('Hypotheses expl (3,)'!AB108,'Compte résultat prévi'!$N$5,'Hypotheses expl (3,)'!AC108)</f>
        <v>0</v>
      </c>
      <c r="O53" s="200">
        <f>+'Hypotheses expl (2)'!O107</f>
        <v>9000</v>
      </c>
      <c r="P53" s="201">
        <f>+SUMIF('Hypotheses expl (2)'!R107,'Compte résultat prévi'!$P$5,'Hypotheses expl (2)'!S107)+SUMIF('Hypotheses expl (2)'!T107,'Compte résultat prévi'!$P$5,'Hypotheses expl (2)'!U107)+SUMIF('Hypotheses expl (2)'!V107,'Compte résultat prévi'!$P$5,'Hypotheses expl (2)'!W107)+SUMIF('Hypotheses expl (2)'!X107,'Compte résultat prévi'!$P$5,'Hypotheses expl (2)'!Y107)+SUMIF('Hypotheses expl (2)'!Z107,'Compte résultat prévi'!$P$5,'Hypotheses expl (2)'!AA107)+SUMIF('Hypotheses expl (2)'!AB107,'Compte résultat prévi'!$P$5,'Hypotheses expl (2)'!AC107)</f>
        <v>3600</v>
      </c>
      <c r="Q53" s="201">
        <f>+SUMIF('Hypotheses expl (2)'!R107,'Compte résultat prévi'!$Q$5,'Hypotheses expl (2)'!S107)+SUMIF('Hypotheses expl (2)'!T107,'Compte résultat prévi'!$Q$5,'Hypotheses expl (2)'!U107)+SUMIF('Hypotheses expl (2)'!V107,'Compte résultat prévi'!$Q$5,'Hypotheses expl (2)'!W107)+SUMIF('Hypotheses expl (2)'!X107,'Compte résultat prévi'!$Q$5,'Hypotheses expl (2)'!Y107)+SUMIF('Hypotheses expl (2)'!Z107,'Compte résultat prévi'!$Q$5,'Hypotheses expl (2)'!AA107)+SUMIF('Hypotheses expl (2)'!AB107,'Compte résultat prévi'!$Q$5,'Hypotheses expl (2)'!AC107)</f>
        <v>3600</v>
      </c>
      <c r="R53" s="201">
        <f>+SUMIF('Hypotheses expl (2)'!R107,'Compte résultat prévi'!$R$5,'Hypotheses expl (2)'!S107)+SUMIF('Hypotheses expl (2)'!T107,'Compte résultat prévi'!$R$5,'Hypotheses expl (2)'!U107)+SUMIF('Hypotheses expl (2)'!V107,'Compte résultat prévi'!$R$5,'Hypotheses expl (2)'!W107)+SUMIF('Hypotheses expl (2)'!X107,'Compte résultat prévi'!$R$5,'Hypotheses expl (2)'!Y107)+SUMIF('Hypotheses expl (2)'!Z107,'Compte résultat prévi'!$R$5,'Hypotheses expl (2)'!AA107)+SUMIF('Hypotheses expl (2)'!AB107,'Compte résultat prévi'!$R$5,'Hypotheses expl (2)'!AC107)</f>
        <v>900</v>
      </c>
      <c r="S53" s="201">
        <f>+SUMIF('Hypotheses expl (2)'!R107,'Compte résultat prévi'!$S$5,'Hypotheses expl (2)'!S107)+SUMIF('Hypotheses expl (2)'!T107,'Compte résultat prévi'!$S$5,'Hypotheses expl (2)'!U107)+SUMIF('Hypotheses expl (2)'!V107,'Compte résultat prévi'!$S$5,'Hypotheses expl (2)'!W107)+SUMIF('Hypotheses expl (2)'!X107,'Compte résultat prévi'!$S$5,'Hypotheses expl (2)'!Y107)+SUMIF('Hypotheses expl (2)'!Z107,'Compte résultat prévi'!$S$5,'Hypotheses expl (2)'!AA107)+SUMIF('Hypotheses expl (2)'!AB107,'Compte résultat prévi'!$S$5,'Hypotheses expl (2)'!AC107)</f>
        <v>900</v>
      </c>
      <c r="T53" s="202">
        <f>+SUMIF('Hypotheses expl (2)'!R107,'Compte résultat prévi'!$T$5,'Hypotheses expl (2)'!S107)+SUMIF('Hypotheses expl (2)'!T107,'Compte résultat prévi'!$T$5,'Hypotheses expl (2)'!U107)+SUMIF('Hypotheses expl (2)'!V107,'Compte résultat prévi'!$T$5,'Hypotheses expl (2)'!W107)+SUMIF('Hypotheses expl (2)'!X107,'Compte résultat prévi'!$T$5,'Hypotheses expl (2)'!Y107)+SUMIF('Hypotheses expl (2)'!Z107,'Compte résultat prévi'!$T$5,'Hypotheses expl (2)'!AA107)+SUMIF('Hypotheses expl (2)'!AB107,'Compte résultat prévi'!$T$5,'Hypotheses expl (2)'!AC107)</f>
        <v>0</v>
      </c>
      <c r="U53" s="203"/>
      <c r="V53" s="204"/>
    </row>
    <row r="54" outlineLevel="1">
      <c r="A54" s="198" t="str">
        <f>'Hypotheses expl'!B109</f>
        <v xml:space="preserve">Sous-traitance générale</v>
      </c>
      <c r="B54" s="234">
        <v>4</v>
      </c>
      <c r="C54" s="200">
        <f>+'Hypotheses expl'!O109</f>
        <v>4000</v>
      </c>
      <c r="D54" s="201">
        <f>+SUMIF('Hypotheses expl'!R109,'Compte résultat prévi'!$D$5,'Hypotheses expl'!S109)+SUMIF('Hypotheses expl'!T109,'Compte résultat prévi'!$D$5,'Hypotheses expl'!U109)+SUMIF('Hypotheses expl'!V109,'Compte résultat prévi'!$D$5,'Hypotheses expl'!W109)+SUMIF('Hypotheses expl'!X109,'Compte résultat prévi'!$D$5,'Hypotheses expl'!Y109)+SUMIF('Hypotheses expl'!Z109,'Compte résultat prévi'!$D$5,'Hypotheses expl'!AA109)+SUMIF('Hypotheses expl'!AB109,'Compte résultat prévi'!$D$5,'Hypotheses expl'!AC109)</f>
        <v>0</v>
      </c>
      <c r="E54" s="201">
        <f>+SUMIF('Hypotheses expl'!R109,'Compte résultat prévi'!$E$5,'Hypotheses expl'!S109)+SUMIF('Hypotheses expl'!T109,'Compte résultat prévi'!$E$5,'Hypotheses expl'!U109)+SUMIF('Hypotheses expl'!V109,'Compte résultat prévi'!$E$5,'Hypotheses expl'!W109)+SUMIF('Hypotheses expl'!X109,'Compte résultat prévi'!$E$5,'Hypotheses expl'!Y109)+SUMIF('Hypotheses expl'!Z109,'Compte résultat prévi'!$E$5,'Hypotheses expl'!AA109)+SUMIF('Hypotheses expl'!AB109,'Compte résultat prévi'!$E$5,'Hypotheses expl'!AC109)</f>
        <v>0</v>
      </c>
      <c r="F54" s="201">
        <f>+SUMIF('Hypotheses expl'!R109,'Compte résultat prévi'!$F$5,'Hypotheses expl'!S109)+SUMIF('Hypotheses expl'!T109,'Compte résultat prévi'!$F$5,'Hypotheses expl'!U109)+SUMIF('Hypotheses expl'!V109,'Compte résultat prévi'!$F$5,'Hypotheses expl'!W109)+SUMIF('Hypotheses expl'!X109,'Compte résultat prévi'!$F$5,'Hypotheses expl'!Y109)+SUMIF('Hypotheses expl'!Z109,'Compte résultat prévi'!$F$5,'Hypotheses expl'!AA109)+SUMIF('Hypotheses expl'!AB109,'Compte résultat prévi'!$F$5,'Hypotheses expl'!AC109)</f>
        <v>0</v>
      </c>
      <c r="G54" s="201">
        <f>+SUMIF('Hypotheses expl'!R109,'Compte résultat prévi'!$G$5,'Hypotheses expl'!S109)+SUMIF('Hypotheses expl'!T109,'Compte résultat prévi'!$G$5,'Hypotheses expl'!U109)+SUMIF('Hypotheses expl'!V109,'Compte résultat prévi'!$G$5,'Hypotheses expl'!W109)+SUMIF('Hypotheses expl'!X109,'Compte résultat prévi'!$G$5,'Hypotheses expl'!Y109)+SUMIF('Hypotheses expl'!Z109,'Compte résultat prévi'!$G$5,'Hypotheses expl'!AA109)+SUMIF('Hypotheses expl'!AB109,'Compte résultat prévi'!$G$5,'Hypotheses expl'!AC109)</f>
        <v>0</v>
      </c>
      <c r="H54" s="202">
        <f>+SUMIF('Hypotheses expl'!R109,'Compte résultat prévi'!$H$5,'Hypotheses expl'!S109)+SUMIF('Hypotheses expl'!T109,'Compte résultat prévi'!$H$5,'Hypotheses expl'!U109)+SUMIF('Hypotheses expl'!V109,'Compte résultat prévi'!$H$5,'Hypotheses expl'!W109)+SUMIF('Hypotheses expl'!X109,'Compte résultat prévi'!$H$5,'Hypotheses expl'!Y109)+SUMIF('Hypotheses expl'!Z109,'Compte résultat prévi'!$H$5,'Hypotheses expl'!AA109)+SUMIF('Hypotheses expl'!AB109,'Compte résultat prévi'!$H$5,'Hypotheses expl'!AC109)</f>
        <v>4000</v>
      </c>
      <c r="I54" s="200">
        <f>+'Hypotheses expl (3,)'!O109</f>
        <v>4000</v>
      </c>
      <c r="J54" s="201">
        <f>+SUMIF('Hypotheses expl (3,)'!R109,'Compte résultat prévi'!$J$5,'Hypotheses expl (3,)'!S109)+SUMIF('Hypotheses expl (3,)'!T109,'Compte résultat prévi'!$J$5,'Hypotheses expl (3,)'!U109)+SUMIF('Hypotheses expl (3,)'!V109,'Compte résultat prévi'!$J$5,'Hypotheses expl (3,)'!W109)+SUMIF('Hypotheses expl (3,)'!X109,'Compte résultat prévi'!$J$5,'Hypotheses expl (3,)'!Y109)+SUMIF('Hypotheses expl (3,)'!Z109,'Compte résultat prévi'!$J$5,'Hypotheses expl (3,)'!AA109)+SUMIF('Hypotheses expl (3,)'!AB109,'Compte résultat prévi'!$J$5,'Hypotheses expl (3,)'!AC109)</f>
        <v>0</v>
      </c>
      <c r="K54" s="201">
        <f>+SUMIF('Hypotheses expl (3,)'!R109,'Compte résultat prévi'!$K$5,'Hypotheses expl (3,)'!S109)+SUMIF('Hypotheses expl (3,)'!T109,'Compte résultat prévi'!$K$5,'Hypotheses expl (3,)'!U109)+SUMIF('Hypotheses expl (3,)'!V109,'Compte résultat prévi'!$K$5,'Hypotheses expl (3,)'!W109)+SUMIF('Hypotheses expl (3,)'!X109,'Compte résultat prévi'!$K$5,'Hypotheses expl (3,)'!Y109)+SUMIF('Hypotheses expl (3,)'!Z109,'Compte résultat prévi'!$K$5,'Hypotheses expl (3,)'!AA109)+SUMIF('Hypotheses expl (3,)'!AB109,'Compte résultat prévi'!$K$5,'Hypotheses expl (3,)'!AC109)</f>
        <v>0</v>
      </c>
      <c r="L54" s="201">
        <f>+SUMIF('Hypotheses expl (3,)'!R109,'Compte résultat prévi'!$L$5,'Hypotheses expl (3,)'!S109)+SUMIF('Hypotheses expl (3,)'!T109,'Compte résultat prévi'!$L$5,'Hypotheses expl (3,)'!U109)+SUMIF('Hypotheses expl (3,)'!V109,'Compte résultat prévi'!$L$5,'Hypotheses expl (3,)'!W109)+SUMIF('Hypotheses expl (3,)'!X109,'Compte résultat prévi'!$L$5,'Hypotheses expl (3,)'!Y109)+SUMIF('Hypotheses expl (3,)'!Z109,'Compte résultat prévi'!$L$5,'Hypotheses expl (3,)'!AA109)+SUMIF('Hypotheses expl (3,)'!AB109,'Compte résultat prévi'!$L$5,'Hypotheses expl (3,)'!AC109)</f>
        <v>0</v>
      </c>
      <c r="M54" s="201">
        <f>+SUMIF('Hypotheses expl (3,)'!R109,'Compte résultat prévi'!$M$5,'Hypotheses expl (3,)'!S109)+SUMIF('Hypotheses expl (3,)'!T109,'Compte résultat prévi'!$M$5,'Hypotheses expl (3,)'!U109)+SUMIF('Hypotheses expl (3,)'!V109,'Compte résultat prévi'!$M$5,'Hypotheses expl (3,)'!W109)+SUMIF('Hypotheses expl (3,)'!X109,'Compte résultat prévi'!$M$5,'Hypotheses expl (3,)'!Y109)+SUMIF('Hypotheses expl (3,)'!Z109,'Compte résultat prévi'!$M$5,'Hypotheses expl (3,)'!AA109)+SUMIF('Hypotheses expl (3,)'!AB109,'Compte résultat prévi'!$M$5,'Hypotheses expl (3,)'!AC109)</f>
        <v>0</v>
      </c>
      <c r="N54" s="202">
        <f>+SUMIF('Hypotheses expl (3,)'!R109,'Compte résultat prévi'!$N$5,'Hypotheses expl (3,)'!S109)+SUMIF('Hypotheses expl (3,)'!T109,'Compte résultat prévi'!$N$5,'Hypotheses expl (3,)'!U109)+SUMIF('Hypotheses expl (3,)'!V109,'Compte résultat prévi'!$N$5,'Hypotheses expl (3,)'!W109)+SUMIF('Hypotheses expl (3,)'!X109,'Compte résultat prévi'!$N$5,'Hypotheses expl (3,)'!Y109)+SUMIF('Hypotheses expl (3,)'!Z109,'Compte résultat prévi'!$N$5,'Hypotheses expl (3,)'!AA109)+SUMIF('Hypotheses expl (3,)'!AB109,'Compte résultat prévi'!$N$5,'Hypotheses expl (3,)'!AC109)</f>
        <v>4000</v>
      </c>
      <c r="O54" s="200">
        <f>+'Hypotheses expl (2)'!O108</f>
        <v>4000</v>
      </c>
      <c r="P54" s="201">
        <f>+SUMIF('Hypotheses expl (2)'!R108,'Compte résultat prévi'!$P$5,'Hypotheses expl (2)'!S108)+SUMIF('Hypotheses expl (2)'!T108,'Compte résultat prévi'!$P$5,'Hypotheses expl (2)'!U108)+SUMIF('Hypotheses expl (2)'!V108,'Compte résultat prévi'!$P$5,'Hypotheses expl (2)'!W108)+SUMIF('Hypotheses expl (2)'!X108,'Compte résultat prévi'!$P$5,'Hypotheses expl (2)'!Y108)+SUMIF('Hypotheses expl (2)'!Z108,'Compte résultat prévi'!$P$5,'Hypotheses expl (2)'!AA108)+SUMIF('Hypotheses expl (2)'!AB108,'Compte résultat prévi'!$P$5,'Hypotheses expl (2)'!AC108)</f>
        <v>0</v>
      </c>
      <c r="Q54" s="201">
        <f>+SUMIF('Hypotheses expl (2)'!R108,'Compte résultat prévi'!$Q$5,'Hypotheses expl (2)'!S108)+SUMIF('Hypotheses expl (2)'!T108,'Compte résultat prévi'!$Q$5,'Hypotheses expl (2)'!U108)+SUMIF('Hypotheses expl (2)'!V108,'Compte résultat prévi'!$Q$5,'Hypotheses expl (2)'!W108)+SUMIF('Hypotheses expl (2)'!X108,'Compte résultat prévi'!$Q$5,'Hypotheses expl (2)'!Y108)+SUMIF('Hypotheses expl (2)'!Z108,'Compte résultat prévi'!$Q$5,'Hypotheses expl (2)'!AA108)+SUMIF('Hypotheses expl (2)'!AB108,'Compte résultat prévi'!$Q$5,'Hypotheses expl (2)'!AC108)</f>
        <v>0</v>
      </c>
      <c r="R54" s="201">
        <f>+SUMIF('Hypotheses expl (2)'!R108,'Compte résultat prévi'!$R$5,'Hypotheses expl (2)'!S108)+SUMIF('Hypotheses expl (2)'!T108,'Compte résultat prévi'!$R$5,'Hypotheses expl (2)'!U108)+SUMIF('Hypotheses expl (2)'!V108,'Compte résultat prévi'!$R$5,'Hypotheses expl (2)'!W108)+SUMIF('Hypotheses expl (2)'!X108,'Compte résultat prévi'!$R$5,'Hypotheses expl (2)'!Y108)+SUMIF('Hypotheses expl (2)'!Z108,'Compte résultat prévi'!$R$5,'Hypotheses expl (2)'!AA108)+SUMIF('Hypotheses expl (2)'!AB108,'Compte résultat prévi'!$R$5,'Hypotheses expl (2)'!AC108)</f>
        <v>0</v>
      </c>
      <c r="S54" s="201">
        <f>+SUMIF('Hypotheses expl (2)'!R108,'Compte résultat prévi'!$S$5,'Hypotheses expl (2)'!S108)+SUMIF('Hypotheses expl (2)'!T108,'Compte résultat prévi'!$S$5,'Hypotheses expl (2)'!U108)+SUMIF('Hypotheses expl (2)'!V108,'Compte résultat prévi'!$S$5,'Hypotheses expl (2)'!W108)+SUMIF('Hypotheses expl (2)'!X108,'Compte résultat prévi'!$S$5,'Hypotheses expl (2)'!Y108)+SUMIF('Hypotheses expl (2)'!Z108,'Compte résultat prévi'!$S$5,'Hypotheses expl (2)'!AA108)+SUMIF('Hypotheses expl (2)'!AB108,'Compte résultat prévi'!$S$5,'Hypotheses expl (2)'!AC108)</f>
        <v>0</v>
      </c>
      <c r="T54" s="202">
        <f>+SUMIF('Hypotheses expl (2)'!R108,'Compte résultat prévi'!$T$5,'Hypotheses expl (2)'!S108)+SUMIF('Hypotheses expl (2)'!T108,'Compte résultat prévi'!$T$5,'Hypotheses expl (2)'!U108)+SUMIF('Hypotheses expl (2)'!V108,'Compte résultat prévi'!$T$5,'Hypotheses expl (2)'!W108)+SUMIF('Hypotheses expl (2)'!X108,'Compte résultat prévi'!$T$5,'Hypotheses expl (2)'!Y108)+SUMIF('Hypotheses expl (2)'!Z108,'Compte résultat prévi'!$T$5,'Hypotheses expl (2)'!AA108)+SUMIF('Hypotheses expl (2)'!AB108,'Compte résultat prévi'!$T$5,'Hypotheses expl (2)'!AC108)</f>
        <v>4000</v>
      </c>
      <c r="U54" s="203"/>
      <c r="V54" s="204"/>
    </row>
    <row r="55" outlineLevel="1">
      <c r="A55" s="198" t="str">
        <f>'Hypotheses expl'!B110</f>
        <v xml:space="preserve">Stages techniques</v>
      </c>
      <c r="B55" s="234"/>
      <c r="C55" s="200">
        <f>+'Hypotheses expl'!O110</f>
        <v>0</v>
      </c>
      <c r="D55" s="201">
        <f>+SUMIF('Hypotheses expl'!R110,'Compte résultat prévi'!$D$5,'Hypotheses expl'!S110)+SUMIF('Hypotheses expl'!T110,'Compte résultat prévi'!$D$5,'Hypotheses expl'!U110)+SUMIF('Hypotheses expl'!V110,'Compte résultat prévi'!$D$5,'Hypotheses expl'!W110)+SUMIF('Hypotheses expl'!X110,'Compte résultat prévi'!$D$5,'Hypotheses expl'!Y110)+SUMIF('Hypotheses expl'!Z110,'Compte résultat prévi'!$D$5,'Hypotheses expl'!AA110)+SUMIF('Hypotheses expl'!AB110,'Compte résultat prévi'!$D$5,'Hypotheses expl'!AC110)</f>
        <v>0</v>
      </c>
      <c r="E55" s="201">
        <f>+SUMIF('Hypotheses expl'!R110,'Compte résultat prévi'!$E$5,'Hypotheses expl'!S110)+SUMIF('Hypotheses expl'!T110,'Compte résultat prévi'!$E$5,'Hypotheses expl'!U110)+SUMIF('Hypotheses expl'!V110,'Compte résultat prévi'!$E$5,'Hypotheses expl'!W110)+SUMIF('Hypotheses expl'!X110,'Compte résultat prévi'!$E$5,'Hypotheses expl'!Y110)+SUMIF('Hypotheses expl'!Z110,'Compte résultat prévi'!$E$5,'Hypotheses expl'!AA110)+SUMIF('Hypotheses expl'!AB110,'Compte résultat prévi'!$E$5,'Hypotheses expl'!AC110)</f>
        <v>0</v>
      </c>
      <c r="F55" s="201">
        <f>+SUMIF('Hypotheses expl'!R110,'Compte résultat prévi'!$F$5,'Hypotheses expl'!S110)+SUMIF('Hypotheses expl'!T110,'Compte résultat prévi'!$F$5,'Hypotheses expl'!U110)+SUMIF('Hypotheses expl'!V110,'Compte résultat prévi'!$F$5,'Hypotheses expl'!W110)+SUMIF('Hypotheses expl'!X110,'Compte résultat prévi'!$F$5,'Hypotheses expl'!Y110)+SUMIF('Hypotheses expl'!Z110,'Compte résultat prévi'!$F$5,'Hypotheses expl'!AA110)+SUMIF('Hypotheses expl'!AB110,'Compte résultat prévi'!$F$5,'Hypotheses expl'!AC110)</f>
        <v>0</v>
      </c>
      <c r="G55" s="201">
        <f>+SUMIF('Hypotheses expl'!R110,'Compte résultat prévi'!$G$5,'Hypotheses expl'!S110)+SUMIF('Hypotheses expl'!T110,'Compte résultat prévi'!$G$5,'Hypotheses expl'!U110)+SUMIF('Hypotheses expl'!V110,'Compte résultat prévi'!$G$5,'Hypotheses expl'!W110)+SUMIF('Hypotheses expl'!X110,'Compte résultat prévi'!$G$5,'Hypotheses expl'!Y110)+SUMIF('Hypotheses expl'!Z110,'Compte résultat prévi'!$G$5,'Hypotheses expl'!AA110)+SUMIF('Hypotheses expl'!AB110,'Compte résultat prévi'!$G$5,'Hypotheses expl'!AC110)</f>
        <v>0</v>
      </c>
      <c r="H55" s="202">
        <f>+SUMIF('Hypotheses expl'!R110,'Compte résultat prévi'!$H$5,'Hypotheses expl'!S110)+SUMIF('Hypotheses expl'!T110,'Compte résultat prévi'!$H$5,'Hypotheses expl'!U110)+SUMIF('Hypotheses expl'!V110,'Compte résultat prévi'!$H$5,'Hypotheses expl'!W110)+SUMIF('Hypotheses expl'!X110,'Compte résultat prévi'!$H$5,'Hypotheses expl'!Y110)+SUMIF('Hypotheses expl'!Z110,'Compte résultat prévi'!$H$5,'Hypotheses expl'!AA110)+SUMIF('Hypotheses expl'!AB110,'Compte résultat prévi'!$H$5,'Hypotheses expl'!AC110)</f>
        <v>0</v>
      </c>
      <c r="I55" s="200">
        <f>+'Hypotheses expl (3,)'!O110</f>
        <v>0</v>
      </c>
      <c r="J55" s="201">
        <f>+SUMIF('Hypotheses expl (3,)'!R110,'Compte résultat prévi'!$J$5,'Hypotheses expl (3,)'!S110)+SUMIF('Hypotheses expl (3,)'!T110,'Compte résultat prévi'!$J$5,'Hypotheses expl (3,)'!U110)+SUMIF('Hypotheses expl (3,)'!V110,'Compte résultat prévi'!$J$5,'Hypotheses expl (3,)'!W110)+SUMIF('Hypotheses expl (3,)'!X110,'Compte résultat prévi'!$J$5,'Hypotheses expl (3,)'!Y110)+SUMIF('Hypotheses expl (3,)'!Z110,'Compte résultat prévi'!$J$5,'Hypotheses expl (3,)'!AA110)+SUMIF('Hypotheses expl (3,)'!AB110,'Compte résultat prévi'!$J$5,'Hypotheses expl (3,)'!AC110)</f>
        <v>0</v>
      </c>
      <c r="K55" s="201">
        <f>+SUMIF('Hypotheses expl (3,)'!R110,'Compte résultat prévi'!$K$5,'Hypotheses expl (3,)'!S110)+SUMIF('Hypotheses expl (3,)'!T110,'Compte résultat prévi'!$K$5,'Hypotheses expl (3,)'!U110)+SUMIF('Hypotheses expl (3,)'!V110,'Compte résultat prévi'!$K$5,'Hypotheses expl (3,)'!W110)+SUMIF('Hypotheses expl (3,)'!X110,'Compte résultat prévi'!$K$5,'Hypotheses expl (3,)'!Y110)+SUMIF('Hypotheses expl (3,)'!Z110,'Compte résultat prévi'!$K$5,'Hypotheses expl (3,)'!AA110)+SUMIF('Hypotheses expl (3,)'!AB110,'Compte résultat prévi'!$K$5,'Hypotheses expl (3,)'!AC110)</f>
        <v>0</v>
      </c>
      <c r="L55" s="201">
        <f>+SUMIF('Hypotheses expl (3,)'!R110,'Compte résultat prévi'!$L$5,'Hypotheses expl (3,)'!S110)+SUMIF('Hypotheses expl (3,)'!T110,'Compte résultat prévi'!$L$5,'Hypotheses expl (3,)'!U110)+SUMIF('Hypotheses expl (3,)'!V110,'Compte résultat prévi'!$L$5,'Hypotheses expl (3,)'!W110)+SUMIF('Hypotheses expl (3,)'!X110,'Compte résultat prévi'!$L$5,'Hypotheses expl (3,)'!Y110)+SUMIF('Hypotheses expl (3,)'!Z110,'Compte résultat prévi'!$L$5,'Hypotheses expl (3,)'!AA110)+SUMIF('Hypotheses expl (3,)'!AB110,'Compte résultat prévi'!$L$5,'Hypotheses expl (3,)'!AC110)</f>
        <v>0</v>
      </c>
      <c r="M55" s="201">
        <f>+SUMIF('Hypotheses expl (3,)'!R110,'Compte résultat prévi'!$M$5,'Hypotheses expl (3,)'!S110)+SUMIF('Hypotheses expl (3,)'!T110,'Compte résultat prévi'!$M$5,'Hypotheses expl (3,)'!U110)+SUMIF('Hypotheses expl (3,)'!V110,'Compte résultat prévi'!$M$5,'Hypotheses expl (3,)'!W110)+SUMIF('Hypotheses expl (3,)'!X110,'Compte résultat prévi'!$M$5,'Hypotheses expl (3,)'!Y110)+SUMIF('Hypotheses expl (3,)'!Z110,'Compte résultat prévi'!$M$5,'Hypotheses expl (3,)'!AA110)+SUMIF('Hypotheses expl (3,)'!AB110,'Compte résultat prévi'!$M$5,'Hypotheses expl (3,)'!AC110)</f>
        <v>0</v>
      </c>
      <c r="N55" s="202">
        <f>+SUMIF('Hypotheses expl (3,)'!R110,'Compte résultat prévi'!$N$5,'Hypotheses expl (3,)'!S110)+SUMIF('Hypotheses expl (3,)'!T110,'Compte résultat prévi'!$N$5,'Hypotheses expl (3,)'!U110)+SUMIF('Hypotheses expl (3,)'!V110,'Compte résultat prévi'!$N$5,'Hypotheses expl (3,)'!W110)+SUMIF('Hypotheses expl (3,)'!X110,'Compte résultat prévi'!$N$5,'Hypotheses expl (3,)'!Y110)+SUMIF('Hypotheses expl (3,)'!Z110,'Compte résultat prévi'!$N$5,'Hypotheses expl (3,)'!AA110)+SUMIF('Hypotheses expl (3,)'!AB110,'Compte résultat prévi'!$N$5,'Hypotheses expl (3,)'!AC110)</f>
        <v>0</v>
      </c>
      <c r="O55" s="200">
        <f>+'Hypotheses expl (2)'!O109</f>
        <v>0</v>
      </c>
      <c r="P55" s="201">
        <f>+SUMIF('Hypotheses expl (2)'!R109,'Compte résultat prévi'!$P$5,'Hypotheses expl (2)'!S109)+SUMIF('Hypotheses expl (2)'!T109,'Compte résultat prévi'!$P$5,'Hypotheses expl (2)'!U109)+SUMIF('Hypotheses expl (2)'!V109,'Compte résultat prévi'!$P$5,'Hypotheses expl (2)'!W109)+SUMIF('Hypotheses expl (2)'!X109,'Compte résultat prévi'!$P$5,'Hypotheses expl (2)'!Y109)+SUMIF('Hypotheses expl (2)'!Z109,'Compte résultat prévi'!$P$5,'Hypotheses expl (2)'!AA109)+SUMIF('Hypotheses expl (2)'!AB109,'Compte résultat prévi'!$P$5,'Hypotheses expl (2)'!AC109)</f>
        <v>0</v>
      </c>
      <c r="Q55" s="201">
        <f>+SUMIF('Hypotheses expl (2)'!R109,'Compte résultat prévi'!$Q$5,'Hypotheses expl (2)'!S109)+SUMIF('Hypotheses expl (2)'!T109,'Compte résultat prévi'!$Q$5,'Hypotheses expl (2)'!U109)+SUMIF('Hypotheses expl (2)'!V109,'Compte résultat prévi'!$Q$5,'Hypotheses expl (2)'!W109)+SUMIF('Hypotheses expl (2)'!X109,'Compte résultat prévi'!$Q$5,'Hypotheses expl (2)'!Y109)+SUMIF('Hypotheses expl (2)'!Z109,'Compte résultat prévi'!$Q$5,'Hypotheses expl (2)'!AA109)+SUMIF('Hypotheses expl (2)'!AB109,'Compte résultat prévi'!$Q$5,'Hypotheses expl (2)'!AC109)</f>
        <v>0</v>
      </c>
      <c r="R55" s="201">
        <f>+SUMIF('Hypotheses expl (2)'!R109,'Compte résultat prévi'!$R$5,'Hypotheses expl (2)'!S109)+SUMIF('Hypotheses expl (2)'!T109,'Compte résultat prévi'!$R$5,'Hypotheses expl (2)'!U109)+SUMIF('Hypotheses expl (2)'!V109,'Compte résultat prévi'!$R$5,'Hypotheses expl (2)'!W109)+SUMIF('Hypotheses expl (2)'!X109,'Compte résultat prévi'!$R$5,'Hypotheses expl (2)'!Y109)+SUMIF('Hypotheses expl (2)'!Z109,'Compte résultat prévi'!$R$5,'Hypotheses expl (2)'!AA109)+SUMIF('Hypotheses expl (2)'!AB109,'Compte résultat prévi'!$R$5,'Hypotheses expl (2)'!AC109)</f>
        <v>0</v>
      </c>
      <c r="S55" s="201">
        <f>+SUMIF('Hypotheses expl (2)'!R109,'Compte résultat prévi'!$S$5,'Hypotheses expl (2)'!S109)+SUMIF('Hypotheses expl (2)'!T109,'Compte résultat prévi'!$S$5,'Hypotheses expl (2)'!U109)+SUMIF('Hypotheses expl (2)'!V109,'Compte résultat prévi'!$S$5,'Hypotheses expl (2)'!W109)+SUMIF('Hypotheses expl (2)'!X109,'Compte résultat prévi'!$S$5,'Hypotheses expl (2)'!Y109)+SUMIF('Hypotheses expl (2)'!Z109,'Compte résultat prévi'!$S$5,'Hypotheses expl (2)'!AA109)+SUMIF('Hypotheses expl (2)'!AB109,'Compte résultat prévi'!$S$5,'Hypotheses expl (2)'!AC109)</f>
        <v>0</v>
      </c>
      <c r="T55" s="202">
        <f>+SUMIF('Hypotheses expl (2)'!R109,'Compte résultat prévi'!$T$5,'Hypotheses expl (2)'!S109)+SUMIF('Hypotheses expl (2)'!T109,'Compte résultat prévi'!$T$5,'Hypotheses expl (2)'!U109)+SUMIF('Hypotheses expl (2)'!V109,'Compte résultat prévi'!$T$5,'Hypotheses expl (2)'!W109)+SUMIF('Hypotheses expl (2)'!X109,'Compte résultat prévi'!$T$5,'Hypotheses expl (2)'!Y109)+SUMIF('Hypotheses expl (2)'!Z109,'Compte résultat prévi'!$T$5,'Hypotheses expl (2)'!AA109)+SUMIF('Hypotheses expl (2)'!AB109,'Compte résultat prévi'!$T$5,'Hypotheses expl (2)'!AC109)</f>
        <v>0</v>
      </c>
      <c r="U55" s="203"/>
      <c r="V55" s="204"/>
    </row>
    <row r="56" outlineLevel="1">
      <c r="A56" s="198" t="str">
        <f>'Hypotheses expl'!B111</f>
        <v xml:space="preserve">Prestataires formation</v>
      </c>
      <c r="B56" s="234"/>
      <c r="C56" s="200">
        <f>+'Hypotheses expl'!O111</f>
        <v>73943.100000000006</v>
      </c>
      <c r="D56" s="201">
        <f>+SUMIF('Hypotheses expl'!R111,'Compte résultat prévi'!$D$5,'Hypotheses expl'!S111)+SUMIF('Hypotheses expl'!T111,'Compte résultat prévi'!$D$5,'Hypotheses expl'!U111)+SUMIF('Hypotheses expl'!V111,'Compte résultat prévi'!$D$5,'Hypotheses expl'!W111)+SUMIF('Hypotheses expl'!X111,'Compte résultat prévi'!$D$5,'Hypotheses expl'!Y111)+SUMIF('Hypotheses expl'!Z111,'Compte résultat prévi'!$D$5,'Hypotheses expl'!AA111)+SUMIF('Hypotheses expl'!AB111,'Compte résultat prévi'!$D$5,'Hypotheses expl'!AC111)</f>
        <v>38443.054477611942</v>
      </c>
      <c r="E56" s="201">
        <f>+SUMIF('Hypotheses expl'!R111,'Compte résultat prévi'!$E$5,'Hypotheses expl'!S111)+SUMIF('Hypotheses expl'!T111,'Compte résultat prévi'!$E$5,'Hypotheses expl'!U111)+SUMIF('Hypotheses expl'!V111,'Compte résultat prévi'!$E$5,'Hypotheses expl'!W111)+SUMIF('Hypotheses expl'!X111,'Compte résultat prévi'!$E$5,'Hypotheses expl'!Y111)+SUMIF('Hypotheses expl'!Z111,'Compte résultat prévi'!$E$5,'Hypotheses expl'!AA111)+SUMIF('Hypotheses expl'!AB111,'Compte résultat prévi'!$E$5,'Hypotheses expl'!AC111)</f>
        <v>15818.673134328361</v>
      </c>
      <c r="F56" s="201">
        <f>+SUMIF('Hypotheses expl'!R111,'Compte résultat prévi'!$F$5,'Hypotheses expl'!S111)+SUMIF('Hypotheses expl'!T111,'Compte résultat prévi'!$F$5,'Hypotheses expl'!U111)+SUMIF('Hypotheses expl'!V111,'Compte résultat prévi'!$F$5,'Hypotheses expl'!W111)+SUMIF('Hypotheses expl'!X111,'Compte résultat prévi'!$F$5,'Hypotheses expl'!Y111)+SUMIF('Hypotheses expl'!Z111,'Compte résultat prévi'!$F$5,'Hypotheses expl'!AA111)+SUMIF('Hypotheses expl'!AB111,'Compte résultat prévi'!$F$5,'Hypotheses expl'!AC111)</f>
        <v>10484.469402985074</v>
      </c>
      <c r="G56" s="201">
        <f>+SUMIF('Hypotheses expl'!R111,'Compte résultat prévi'!$G$5,'Hypotheses expl'!S111)+SUMIF('Hypotheses expl'!T111,'Compte résultat prévi'!$G$5,'Hypotheses expl'!U111)+SUMIF('Hypotheses expl'!V111,'Compte résultat prévi'!$G$5,'Hypotheses expl'!W111)+SUMIF('Hypotheses expl'!X111,'Compte résultat prévi'!$G$5,'Hypotheses expl'!Y111)+SUMIF('Hypotheses expl'!Z111,'Compte résultat prévi'!$G$5,'Hypotheses expl'!AA111)+SUMIF('Hypotheses expl'!AB111,'Compte résultat prévi'!$G$5,'Hypotheses expl'!AC111)</f>
        <v>9196.9029850746283</v>
      </c>
      <c r="H56" s="202">
        <f>+SUMIF('Hypotheses expl'!R111,'Compte résultat prévi'!$H$5,'Hypotheses expl'!S111)+SUMIF('Hypotheses expl'!T111,'Compte résultat prévi'!$H$5,'Hypotheses expl'!U111)+SUMIF('Hypotheses expl'!V111,'Compte résultat prévi'!$H$5,'Hypotheses expl'!W111)+SUMIF('Hypotheses expl'!X111,'Compte résultat prévi'!$H$5,'Hypotheses expl'!Y111)+SUMIF('Hypotheses expl'!Z111,'Compte résultat prévi'!$H$5,'Hypotheses expl'!AA111)+SUMIF('Hypotheses expl'!AB111,'Compte résultat prévi'!$H$5,'Hypotheses expl'!AC111)</f>
        <v>0</v>
      </c>
      <c r="I56" s="200">
        <f>+'Hypotheses expl (3,)'!O111</f>
        <v>73943.100000000006</v>
      </c>
      <c r="J56" s="201">
        <f>+SUMIF('Hypotheses expl (3,)'!R111,'Compte résultat prévi'!$J$5,'Hypotheses expl (3,)'!S111)+SUMIF('Hypotheses expl (3,)'!T111,'Compte résultat prévi'!$J$5,'Hypotheses expl (3,)'!U111)+SUMIF('Hypotheses expl (3,)'!V111,'Compte résultat prévi'!$J$5,'Hypotheses expl (3,)'!W111)+SUMIF('Hypotheses expl (3,)'!X111,'Compte résultat prévi'!$J$5,'Hypotheses expl (3,)'!Y111)+SUMIF('Hypotheses expl (3,)'!Z111,'Compte résultat prévi'!$J$5,'Hypotheses expl (3,)'!AA111)+SUMIF('Hypotheses expl (3,)'!AB111,'Compte résultat prévi'!$J$5,'Hypotheses expl (3,)'!AC111)</f>
        <v>38443.054477611942</v>
      </c>
      <c r="K56" s="201">
        <f>+SUMIF('Hypotheses expl (3,)'!R111,'Compte résultat prévi'!$K$5,'Hypotheses expl (3,)'!S111)+SUMIF('Hypotheses expl (3,)'!T111,'Compte résultat prévi'!$K$5,'Hypotheses expl (3,)'!U111)+SUMIF('Hypotheses expl (3,)'!V111,'Compte résultat prévi'!$K$5,'Hypotheses expl (3,)'!W111)+SUMIF('Hypotheses expl (3,)'!X111,'Compte résultat prévi'!$K$5,'Hypotheses expl (3,)'!Y111)+SUMIF('Hypotheses expl (3,)'!Z111,'Compte résultat prévi'!$K$5,'Hypotheses expl (3,)'!AA111)+SUMIF('Hypotheses expl (3,)'!AB111,'Compte résultat prévi'!$K$5,'Hypotheses expl (3,)'!AC111)</f>
        <v>15818.673134328361</v>
      </c>
      <c r="L56" s="201">
        <f>+SUMIF('Hypotheses expl (3,)'!R111,'Compte résultat prévi'!$L$5,'Hypotheses expl (3,)'!S111)+SUMIF('Hypotheses expl (3,)'!T111,'Compte résultat prévi'!$L$5,'Hypotheses expl (3,)'!U111)+SUMIF('Hypotheses expl (3,)'!V111,'Compte résultat prévi'!$L$5,'Hypotheses expl (3,)'!W111)+SUMIF('Hypotheses expl (3,)'!X111,'Compte résultat prévi'!$L$5,'Hypotheses expl (3,)'!Y111)+SUMIF('Hypotheses expl (3,)'!Z111,'Compte résultat prévi'!$L$5,'Hypotheses expl (3,)'!AA111)+SUMIF('Hypotheses expl (3,)'!AB111,'Compte résultat prévi'!$L$5,'Hypotheses expl (3,)'!AC111)</f>
        <v>10484.469402985074</v>
      </c>
      <c r="M56" s="201">
        <f>+SUMIF('Hypotheses expl (3,)'!R111,'Compte résultat prévi'!$M$5,'Hypotheses expl (3,)'!S111)+SUMIF('Hypotheses expl (3,)'!T111,'Compte résultat prévi'!$M$5,'Hypotheses expl (3,)'!U111)+SUMIF('Hypotheses expl (3,)'!V111,'Compte résultat prévi'!$M$5,'Hypotheses expl (3,)'!W111)+SUMIF('Hypotheses expl (3,)'!X111,'Compte résultat prévi'!$M$5,'Hypotheses expl (3,)'!Y111)+SUMIF('Hypotheses expl (3,)'!Z111,'Compte résultat prévi'!$M$5,'Hypotheses expl (3,)'!AA111)+SUMIF('Hypotheses expl (3,)'!AB111,'Compte résultat prévi'!$M$5,'Hypotheses expl (3,)'!AC111)</f>
        <v>9196.9029850746283</v>
      </c>
      <c r="N56" s="202">
        <f>+SUMIF('Hypotheses expl (3,)'!R111,'Compte résultat prévi'!$N$5,'Hypotheses expl (3,)'!S111)+SUMIF('Hypotheses expl (3,)'!T111,'Compte résultat prévi'!$N$5,'Hypotheses expl (3,)'!U111)+SUMIF('Hypotheses expl (3,)'!V111,'Compte résultat prévi'!$N$5,'Hypotheses expl (3,)'!W111)+SUMIF('Hypotheses expl (3,)'!X111,'Compte résultat prévi'!$N$5,'Hypotheses expl (3,)'!Y111)+SUMIF('Hypotheses expl (3,)'!Z111,'Compte résultat prévi'!$N$5,'Hypotheses expl (3,)'!AA111)+SUMIF('Hypotheses expl (3,)'!AB111,'Compte résultat prévi'!$N$5,'Hypotheses expl (3,)'!AC111)</f>
        <v>0</v>
      </c>
      <c r="O56" s="200">
        <f>+'Hypotheses expl (2)'!O110</f>
        <v>73943.100000000006</v>
      </c>
      <c r="P56" s="201">
        <f>+SUMIF('Hypotheses expl (2)'!R110,'Compte résultat prévi'!$P$5,'Hypotheses expl (2)'!S110)+SUMIF('Hypotheses expl (2)'!T110,'Compte résultat prévi'!$P$5,'Hypotheses expl (2)'!U110)+SUMIF('Hypotheses expl (2)'!V110,'Compte résultat prévi'!$P$5,'Hypotheses expl (2)'!W110)+SUMIF('Hypotheses expl (2)'!X110,'Compte résultat prévi'!$P$5,'Hypotheses expl (2)'!Y110)+SUMIF('Hypotheses expl (2)'!Z110,'Compte résultat prévi'!$P$5,'Hypotheses expl (2)'!AA110)+SUMIF('Hypotheses expl (2)'!AB110,'Compte résultat prévi'!$P$5,'Hypotheses expl (2)'!AC110)</f>
        <v>38443.054477611942</v>
      </c>
      <c r="Q56" s="201">
        <f>+SUMIF('Hypotheses expl (2)'!R110,'Compte résultat prévi'!$Q$5,'Hypotheses expl (2)'!S110)+SUMIF('Hypotheses expl (2)'!T110,'Compte résultat prévi'!$Q$5,'Hypotheses expl (2)'!U110)+SUMIF('Hypotheses expl (2)'!V110,'Compte résultat prévi'!$Q$5,'Hypotheses expl (2)'!W110)+SUMIF('Hypotheses expl (2)'!X110,'Compte résultat prévi'!$Q$5,'Hypotheses expl (2)'!Y110)+SUMIF('Hypotheses expl (2)'!Z110,'Compte résultat prévi'!$Q$5,'Hypotheses expl (2)'!AA110)+SUMIF('Hypotheses expl (2)'!AB110,'Compte résultat prévi'!$Q$5,'Hypotheses expl (2)'!AC110)</f>
        <v>15818.673134328361</v>
      </c>
      <c r="R56" s="201">
        <f>+SUMIF('Hypotheses expl (2)'!R110,'Compte résultat prévi'!$R$5,'Hypotheses expl (2)'!S110)+SUMIF('Hypotheses expl (2)'!T110,'Compte résultat prévi'!$R$5,'Hypotheses expl (2)'!U110)+SUMIF('Hypotheses expl (2)'!V110,'Compte résultat prévi'!$R$5,'Hypotheses expl (2)'!W110)+SUMIF('Hypotheses expl (2)'!X110,'Compte résultat prévi'!$R$5,'Hypotheses expl (2)'!Y110)+SUMIF('Hypotheses expl (2)'!Z110,'Compte résultat prévi'!$R$5,'Hypotheses expl (2)'!AA110)+SUMIF('Hypotheses expl (2)'!AB110,'Compte résultat prévi'!$R$5,'Hypotheses expl (2)'!AC110)</f>
        <v>10484.469402985074</v>
      </c>
      <c r="S56" s="201">
        <f>+SUMIF('Hypotheses expl (2)'!R110,'Compte résultat prévi'!$S$5,'Hypotheses expl (2)'!S110)+SUMIF('Hypotheses expl (2)'!T110,'Compte résultat prévi'!$S$5,'Hypotheses expl (2)'!U110)+SUMIF('Hypotheses expl (2)'!V110,'Compte résultat prévi'!$S$5,'Hypotheses expl (2)'!W110)+SUMIF('Hypotheses expl (2)'!X110,'Compte résultat prévi'!$S$5,'Hypotheses expl (2)'!Y110)+SUMIF('Hypotheses expl (2)'!Z110,'Compte résultat prévi'!$S$5,'Hypotheses expl (2)'!AA110)+SUMIF('Hypotheses expl (2)'!AB110,'Compte résultat prévi'!$S$5,'Hypotheses expl (2)'!AC110)</f>
        <v>9196.9029850746283</v>
      </c>
      <c r="T56" s="202">
        <f>+SUMIF('Hypotheses expl (2)'!R110,'Compte résultat prévi'!$T$5,'Hypotheses expl (2)'!S110)+SUMIF('Hypotheses expl (2)'!T110,'Compte résultat prévi'!$T$5,'Hypotheses expl (2)'!U110)+SUMIF('Hypotheses expl (2)'!V110,'Compte résultat prévi'!$T$5,'Hypotheses expl (2)'!W110)+SUMIF('Hypotheses expl (2)'!X110,'Compte résultat prévi'!$T$5,'Hypotheses expl (2)'!Y110)+SUMIF('Hypotheses expl (2)'!Z110,'Compte résultat prévi'!$T$5,'Hypotheses expl (2)'!AA110)+SUMIF('Hypotheses expl (2)'!AB110,'Compte résultat prévi'!$T$5,'Hypotheses expl (2)'!AC110)</f>
        <v>0</v>
      </c>
      <c r="U56" s="203"/>
      <c r="V56" s="204"/>
    </row>
    <row r="57" outlineLevel="1">
      <c r="A57" s="198" t="str">
        <f>'Hypotheses expl'!B112</f>
        <v xml:space="preserve">Location immobilière</v>
      </c>
      <c r="B57" s="234">
        <v>4</v>
      </c>
      <c r="C57" s="200">
        <f>+'Hypotheses expl'!O112</f>
        <v>236440</v>
      </c>
      <c r="D57" s="201">
        <f>+SUMIF('Hypotheses expl'!R112,'Compte résultat prévi'!$D$5,'Hypotheses expl'!S112)+SUMIF('Hypotheses expl'!T112,'Compte résultat prévi'!$D$5,'Hypotheses expl'!U112)+SUMIF('Hypotheses expl'!V112,'Compte résultat prévi'!$D$5,'Hypotheses expl'!W112)+SUMIF('Hypotheses expl'!X112,'Compte résultat prévi'!$D$5,'Hypotheses expl'!Y112)+SUMIF('Hypotheses expl'!Z112,'Compte résultat prévi'!$D$5,'Hypotheses expl'!AA112)+SUMIF('Hypotheses expl'!AB112,'Compte résultat prévi'!$D$5,'Hypotheses expl'!AC112)</f>
        <v>0</v>
      </c>
      <c r="E57" s="201">
        <f>+SUMIF('Hypotheses expl'!R112,'Compte résultat prévi'!$E$5,'Hypotheses expl'!S112)+SUMIF('Hypotheses expl'!T112,'Compte résultat prévi'!$E$5,'Hypotheses expl'!U112)+SUMIF('Hypotheses expl'!V112,'Compte résultat prévi'!$E$5,'Hypotheses expl'!W112)+SUMIF('Hypotheses expl'!X112,'Compte résultat prévi'!$E$5,'Hypotheses expl'!Y112)+SUMIF('Hypotheses expl'!Z112,'Compte résultat prévi'!$E$5,'Hypotheses expl'!AA112)+SUMIF('Hypotheses expl'!AB112,'Compte résultat prévi'!$E$5,'Hypotheses expl'!AC112)</f>
        <v>0</v>
      </c>
      <c r="F57" s="201">
        <f>+SUMIF('Hypotheses expl'!R112,'Compte résultat prévi'!$F$5,'Hypotheses expl'!S112)+SUMIF('Hypotheses expl'!T112,'Compte résultat prévi'!$F$5,'Hypotheses expl'!U112)+SUMIF('Hypotheses expl'!V112,'Compte résultat prévi'!$F$5,'Hypotheses expl'!W112)+SUMIF('Hypotheses expl'!X112,'Compte résultat prévi'!$F$5,'Hypotheses expl'!Y112)+SUMIF('Hypotheses expl'!Z112,'Compte résultat prévi'!$F$5,'Hypotheses expl'!AA112)+SUMIF('Hypotheses expl'!AB112,'Compte résultat prévi'!$F$5,'Hypotheses expl'!AC112)</f>
        <v>16080</v>
      </c>
      <c r="G57" s="201">
        <f>+SUMIF('Hypotheses expl'!R112,'Compte résultat prévi'!$G$5,'Hypotheses expl'!S112)+SUMIF('Hypotheses expl'!T112,'Compte résultat prévi'!$G$5,'Hypotheses expl'!U112)+SUMIF('Hypotheses expl'!V112,'Compte résultat prévi'!$G$5,'Hypotheses expl'!W112)+SUMIF('Hypotheses expl'!X112,'Compte résultat prévi'!$G$5,'Hypotheses expl'!Y112)+SUMIF('Hypotheses expl'!Z112,'Compte résultat prévi'!$G$5,'Hypotheses expl'!AA112)+SUMIF('Hypotheses expl'!AB112,'Compte résultat prévi'!$G$5,'Hypotheses expl'!AC112)</f>
        <v>0</v>
      </c>
      <c r="H57" s="202">
        <f>+SUMIF('Hypotheses expl'!R112,'Compte résultat prévi'!$H$5,'Hypotheses expl'!S112)+SUMIF('Hypotheses expl'!T112,'Compte résultat prévi'!$H$5,'Hypotheses expl'!U112)+SUMIF('Hypotheses expl'!V112,'Compte résultat prévi'!$H$5,'Hypotheses expl'!W112)+SUMIF('Hypotheses expl'!X112,'Compte résultat prévi'!$H$5,'Hypotheses expl'!Y112)+SUMIF('Hypotheses expl'!Z112,'Compte résultat prévi'!$H$5,'Hypotheses expl'!AA112)+SUMIF('Hypotheses expl'!AB112,'Compte résultat prévi'!$H$5,'Hypotheses expl'!AC112)</f>
        <v>220360</v>
      </c>
      <c r="I57" s="200">
        <f>+'Hypotheses expl (3,)'!O112</f>
        <v>236440</v>
      </c>
      <c r="J57" s="201">
        <f>+SUMIF('Hypotheses expl (3,)'!R112,'Compte résultat prévi'!$J$5,'Hypotheses expl (3,)'!S112)+SUMIF('Hypotheses expl (3,)'!T112,'Compte résultat prévi'!$J$5,'Hypotheses expl (3,)'!U112)+SUMIF('Hypotheses expl (3,)'!V112,'Compte résultat prévi'!$J$5,'Hypotheses expl (3,)'!W112)+SUMIF('Hypotheses expl (3,)'!X112,'Compte résultat prévi'!$J$5,'Hypotheses expl (3,)'!Y112)+SUMIF('Hypotheses expl (3,)'!Z112,'Compte résultat prévi'!$J$5,'Hypotheses expl (3,)'!AA112)+SUMIF('Hypotheses expl (3,)'!AB112,'Compte résultat prévi'!$J$5,'Hypotheses expl (3,)'!AC112)</f>
        <v>0</v>
      </c>
      <c r="K57" s="201">
        <f>+SUMIF('Hypotheses expl (3,)'!R112,'Compte résultat prévi'!$K$5,'Hypotheses expl (3,)'!S112)+SUMIF('Hypotheses expl (3,)'!T112,'Compte résultat prévi'!$K$5,'Hypotheses expl (3,)'!U112)+SUMIF('Hypotheses expl (3,)'!V112,'Compte résultat prévi'!$K$5,'Hypotheses expl (3,)'!W112)+SUMIF('Hypotheses expl (3,)'!X112,'Compte résultat prévi'!$K$5,'Hypotheses expl (3,)'!Y112)+SUMIF('Hypotheses expl (3,)'!Z112,'Compte résultat prévi'!$K$5,'Hypotheses expl (3,)'!AA112)+SUMIF('Hypotheses expl (3,)'!AB112,'Compte résultat prévi'!$K$5,'Hypotheses expl (3,)'!AC112)</f>
        <v>0</v>
      </c>
      <c r="L57" s="201">
        <f>+SUMIF('Hypotheses expl (3,)'!R112,'Compte résultat prévi'!$L$5,'Hypotheses expl (3,)'!S112)+SUMIF('Hypotheses expl (3,)'!T112,'Compte résultat prévi'!$L$5,'Hypotheses expl (3,)'!U112)+SUMIF('Hypotheses expl (3,)'!V112,'Compte résultat prévi'!$L$5,'Hypotheses expl (3,)'!W112)+SUMIF('Hypotheses expl (3,)'!X112,'Compte résultat prévi'!$L$5,'Hypotheses expl (3,)'!Y112)+SUMIF('Hypotheses expl (3,)'!Z112,'Compte résultat prévi'!$L$5,'Hypotheses expl (3,)'!AA112)+SUMIF('Hypotheses expl (3,)'!AB112,'Compte résultat prévi'!$L$5,'Hypotheses expl (3,)'!AC112)</f>
        <v>16080</v>
      </c>
      <c r="M57" s="201">
        <f>+SUMIF('Hypotheses expl (3,)'!R112,'Compte résultat prévi'!$M$5,'Hypotheses expl (3,)'!S112)+SUMIF('Hypotheses expl (3,)'!T112,'Compte résultat prévi'!$M$5,'Hypotheses expl (3,)'!U112)+SUMIF('Hypotheses expl (3,)'!V112,'Compte résultat prévi'!$M$5,'Hypotheses expl (3,)'!W112)+SUMIF('Hypotheses expl (3,)'!X112,'Compte résultat prévi'!$M$5,'Hypotheses expl (3,)'!Y112)+SUMIF('Hypotheses expl (3,)'!Z112,'Compte résultat prévi'!$M$5,'Hypotheses expl (3,)'!AA112)+SUMIF('Hypotheses expl (3,)'!AB112,'Compte résultat prévi'!$M$5,'Hypotheses expl (3,)'!AC112)</f>
        <v>0</v>
      </c>
      <c r="N57" s="202">
        <f>+SUMIF('Hypotheses expl (3,)'!R112,'Compte résultat prévi'!$N$5,'Hypotheses expl (3,)'!S112)+SUMIF('Hypotheses expl (3,)'!T112,'Compte résultat prévi'!$N$5,'Hypotheses expl (3,)'!U112)+SUMIF('Hypotheses expl (3,)'!V112,'Compte résultat prévi'!$N$5,'Hypotheses expl (3,)'!W112)+SUMIF('Hypotheses expl (3,)'!X112,'Compte résultat prévi'!$N$5,'Hypotheses expl (3,)'!Y112)+SUMIF('Hypotheses expl (3,)'!Z112,'Compte résultat prévi'!$N$5,'Hypotheses expl (3,)'!AA112)+SUMIF('Hypotheses expl (3,)'!AB112,'Compte résultat prévi'!$N$5,'Hypotheses expl (3,)'!AC112)</f>
        <v>220360</v>
      </c>
      <c r="O57" s="200">
        <f>+'Hypotheses expl (2)'!O111</f>
        <v>236440</v>
      </c>
      <c r="P57" s="201">
        <f>+SUMIF('Hypotheses expl (2)'!R111,'Compte résultat prévi'!$P$5,'Hypotheses expl (2)'!S111)+SUMIF('Hypotheses expl (2)'!T111,'Compte résultat prévi'!$P$5,'Hypotheses expl (2)'!U111)+SUMIF('Hypotheses expl (2)'!V111,'Compte résultat prévi'!$P$5,'Hypotheses expl (2)'!W111)+SUMIF('Hypotheses expl (2)'!X111,'Compte résultat prévi'!$P$5,'Hypotheses expl (2)'!Y111)+SUMIF('Hypotheses expl (2)'!Z111,'Compte résultat prévi'!$P$5,'Hypotheses expl (2)'!AA111)+SUMIF('Hypotheses expl (2)'!AB111,'Compte résultat prévi'!$P$5,'Hypotheses expl (2)'!AC111)</f>
        <v>0</v>
      </c>
      <c r="Q57" s="201">
        <f>+SUMIF('Hypotheses expl (2)'!R111,'Compte résultat prévi'!$Q$5,'Hypotheses expl (2)'!S111)+SUMIF('Hypotheses expl (2)'!T111,'Compte résultat prévi'!$Q$5,'Hypotheses expl (2)'!U111)+SUMIF('Hypotheses expl (2)'!V111,'Compte résultat prévi'!$Q$5,'Hypotheses expl (2)'!W111)+SUMIF('Hypotheses expl (2)'!X111,'Compte résultat prévi'!$Q$5,'Hypotheses expl (2)'!Y111)+SUMIF('Hypotheses expl (2)'!Z111,'Compte résultat prévi'!$Q$5,'Hypotheses expl (2)'!AA111)+SUMIF('Hypotheses expl (2)'!AB111,'Compte résultat prévi'!$Q$5,'Hypotheses expl (2)'!AC111)</f>
        <v>0</v>
      </c>
      <c r="R57" s="201">
        <f>+SUMIF('Hypotheses expl (2)'!R111,'Compte résultat prévi'!$R$5,'Hypotheses expl (2)'!S111)+SUMIF('Hypotheses expl (2)'!T111,'Compte résultat prévi'!$R$5,'Hypotheses expl (2)'!U111)+SUMIF('Hypotheses expl (2)'!V111,'Compte résultat prévi'!$R$5,'Hypotheses expl (2)'!W111)+SUMIF('Hypotheses expl (2)'!X111,'Compte résultat prévi'!$R$5,'Hypotheses expl (2)'!Y111)+SUMIF('Hypotheses expl (2)'!Z111,'Compte résultat prévi'!$R$5,'Hypotheses expl (2)'!AA111)+SUMIF('Hypotheses expl (2)'!AB111,'Compte résultat prévi'!$R$5,'Hypotheses expl (2)'!AC111)</f>
        <v>16080</v>
      </c>
      <c r="S57" s="201">
        <f>+SUMIF('Hypotheses expl (2)'!R111,'Compte résultat prévi'!$S$5,'Hypotheses expl (2)'!S111)+SUMIF('Hypotheses expl (2)'!T111,'Compte résultat prévi'!$S$5,'Hypotheses expl (2)'!U111)+SUMIF('Hypotheses expl (2)'!V111,'Compte résultat prévi'!$S$5,'Hypotheses expl (2)'!W111)+SUMIF('Hypotheses expl (2)'!X111,'Compte résultat prévi'!$S$5,'Hypotheses expl (2)'!Y111)+SUMIF('Hypotheses expl (2)'!Z111,'Compte résultat prévi'!$S$5,'Hypotheses expl (2)'!AA111)+SUMIF('Hypotheses expl (2)'!AB111,'Compte résultat prévi'!$S$5,'Hypotheses expl (2)'!AC111)</f>
        <v>0</v>
      </c>
      <c r="T57" s="202">
        <f>+SUMIF('Hypotheses expl (2)'!R111,'Compte résultat prévi'!$T$5,'Hypotheses expl (2)'!S111)+SUMIF('Hypotheses expl (2)'!T111,'Compte résultat prévi'!$T$5,'Hypotheses expl (2)'!U111)+SUMIF('Hypotheses expl (2)'!V111,'Compte résultat prévi'!$T$5,'Hypotheses expl (2)'!W111)+SUMIF('Hypotheses expl (2)'!X111,'Compte résultat prévi'!$T$5,'Hypotheses expl (2)'!Y111)+SUMIF('Hypotheses expl (2)'!Z111,'Compte résultat prévi'!$T$5,'Hypotheses expl (2)'!AA111)+SUMIF('Hypotheses expl (2)'!AB111,'Compte résultat prévi'!$T$5,'Hypotheses expl (2)'!AC111)</f>
        <v>220360</v>
      </c>
      <c r="U57" s="203"/>
      <c r="V57" s="204"/>
    </row>
    <row r="58" outlineLevel="1">
      <c r="A58" s="198" t="str">
        <f>'Hypotheses expl'!B113</f>
        <v xml:space="preserve">Location mobilière</v>
      </c>
      <c r="B58" s="234">
        <v>4</v>
      </c>
      <c r="C58" s="200">
        <f>+'Hypotheses expl'!O113</f>
        <v>21433.999999999996</v>
      </c>
      <c r="D58" s="201">
        <f>+SUMIF('Hypotheses expl'!R113,'Compte résultat prévi'!$D$5,'Hypotheses expl'!S113)+SUMIF('Hypotheses expl'!T113,'Compte résultat prévi'!$D$5,'Hypotheses expl'!U113)+SUMIF('Hypotheses expl'!V113,'Compte résultat prévi'!$D$5,'Hypotheses expl'!W113)+SUMIF('Hypotheses expl'!X113,'Compte résultat prévi'!$D$5,'Hypotheses expl'!Y113)+SUMIF('Hypotheses expl'!Z113,'Compte résultat prévi'!$D$5,'Hypotheses expl'!AA113)+SUMIF('Hypotheses expl'!AB113,'Compte résultat prévi'!$D$5,'Hypotheses expl'!AC113)</f>
        <v>0</v>
      </c>
      <c r="E58" s="201">
        <f>+SUMIF('Hypotheses expl'!R113,'Compte résultat prévi'!$E$5,'Hypotheses expl'!S113)+SUMIF('Hypotheses expl'!T113,'Compte résultat prévi'!$E$5,'Hypotheses expl'!U113)+SUMIF('Hypotheses expl'!V113,'Compte résultat prévi'!$E$5,'Hypotheses expl'!W113)+SUMIF('Hypotheses expl'!X113,'Compte résultat prévi'!$E$5,'Hypotheses expl'!Y113)+SUMIF('Hypotheses expl'!Z113,'Compte résultat prévi'!$E$5,'Hypotheses expl'!AA113)+SUMIF('Hypotheses expl'!AB113,'Compte résultat prévi'!$E$5,'Hypotheses expl'!AC113)</f>
        <v>0</v>
      </c>
      <c r="F58" s="201">
        <f>+SUMIF('Hypotheses expl'!R113,'Compte résultat prévi'!$F$5,'Hypotheses expl'!S113)+SUMIF('Hypotheses expl'!T113,'Compte résultat prévi'!$F$5,'Hypotheses expl'!U113)+SUMIF('Hypotheses expl'!V113,'Compte résultat prévi'!$F$5,'Hypotheses expl'!W113)+SUMIF('Hypotheses expl'!X113,'Compte résultat prévi'!$F$5,'Hypotheses expl'!Y113)+SUMIF('Hypotheses expl'!Z113,'Compte résultat prévi'!$F$5,'Hypotheses expl'!AA113)+SUMIF('Hypotheses expl'!AB113,'Compte résultat prévi'!$F$5,'Hypotheses expl'!AC113)</f>
        <v>0</v>
      </c>
      <c r="G58" s="201">
        <f>+SUMIF('Hypotheses expl'!R113,'Compte résultat prévi'!$G$5,'Hypotheses expl'!S113)+SUMIF('Hypotheses expl'!T113,'Compte résultat prévi'!$G$5,'Hypotheses expl'!U113)+SUMIF('Hypotheses expl'!V113,'Compte résultat prévi'!$G$5,'Hypotheses expl'!W113)+SUMIF('Hypotheses expl'!X113,'Compte résultat prévi'!$G$5,'Hypotheses expl'!Y113)+SUMIF('Hypotheses expl'!Z113,'Compte résultat prévi'!$G$5,'Hypotheses expl'!AA113)+SUMIF('Hypotheses expl'!AB113,'Compte résultat prévi'!$G$5,'Hypotheses expl'!AC113)</f>
        <v>0</v>
      </c>
      <c r="H58" s="202">
        <f>+SUMIF('Hypotheses expl'!R113,'Compte résultat prévi'!$H$5,'Hypotheses expl'!S113)+SUMIF('Hypotheses expl'!T113,'Compte résultat prévi'!$H$5,'Hypotheses expl'!U113)+SUMIF('Hypotheses expl'!V113,'Compte résultat prévi'!$H$5,'Hypotheses expl'!W113)+SUMIF('Hypotheses expl'!X113,'Compte résultat prévi'!$H$5,'Hypotheses expl'!Y113)+SUMIF('Hypotheses expl'!Z113,'Compte résultat prévi'!$H$5,'Hypotheses expl'!AA113)+SUMIF('Hypotheses expl'!AB113,'Compte résultat prévi'!$H$5,'Hypotheses expl'!AC113)</f>
        <v>21433.999999999996</v>
      </c>
      <c r="I58" s="200">
        <f>+'Hypotheses expl (3,)'!O113</f>
        <v>21433.999999999996</v>
      </c>
      <c r="J58" s="201">
        <f>+SUMIF('Hypotheses expl (3,)'!R113,'Compte résultat prévi'!$J$5,'Hypotheses expl (3,)'!S113)+SUMIF('Hypotheses expl (3,)'!T113,'Compte résultat prévi'!$J$5,'Hypotheses expl (3,)'!U113)+SUMIF('Hypotheses expl (3,)'!V113,'Compte résultat prévi'!$J$5,'Hypotheses expl (3,)'!W113)+SUMIF('Hypotheses expl (3,)'!X113,'Compte résultat prévi'!$J$5,'Hypotheses expl (3,)'!Y113)+SUMIF('Hypotheses expl (3,)'!Z113,'Compte résultat prévi'!$J$5,'Hypotheses expl (3,)'!AA113)+SUMIF('Hypotheses expl (3,)'!AB113,'Compte résultat prévi'!$J$5,'Hypotheses expl (3,)'!AC113)</f>
        <v>0</v>
      </c>
      <c r="K58" s="201">
        <f>+SUMIF('Hypotheses expl (3,)'!R113,'Compte résultat prévi'!$K$5,'Hypotheses expl (3,)'!S113)+SUMIF('Hypotheses expl (3,)'!T113,'Compte résultat prévi'!$K$5,'Hypotheses expl (3,)'!U113)+SUMIF('Hypotheses expl (3,)'!V113,'Compte résultat prévi'!$K$5,'Hypotheses expl (3,)'!W113)+SUMIF('Hypotheses expl (3,)'!X113,'Compte résultat prévi'!$K$5,'Hypotheses expl (3,)'!Y113)+SUMIF('Hypotheses expl (3,)'!Z113,'Compte résultat prévi'!$K$5,'Hypotheses expl (3,)'!AA113)+SUMIF('Hypotheses expl (3,)'!AB113,'Compte résultat prévi'!$K$5,'Hypotheses expl (3,)'!AC113)</f>
        <v>0</v>
      </c>
      <c r="L58" s="201">
        <f>+SUMIF('Hypotheses expl (3,)'!R113,'Compte résultat prévi'!$L$5,'Hypotheses expl (3,)'!S113)+SUMIF('Hypotheses expl (3,)'!T113,'Compte résultat prévi'!$L$5,'Hypotheses expl (3,)'!U113)+SUMIF('Hypotheses expl (3,)'!V113,'Compte résultat prévi'!$L$5,'Hypotheses expl (3,)'!W113)+SUMIF('Hypotheses expl (3,)'!X113,'Compte résultat prévi'!$L$5,'Hypotheses expl (3,)'!Y113)+SUMIF('Hypotheses expl (3,)'!Z113,'Compte résultat prévi'!$L$5,'Hypotheses expl (3,)'!AA113)+SUMIF('Hypotheses expl (3,)'!AB113,'Compte résultat prévi'!$L$5,'Hypotheses expl (3,)'!AC113)</f>
        <v>0</v>
      </c>
      <c r="M58" s="201">
        <f>+SUMIF('Hypotheses expl (3,)'!R113,'Compte résultat prévi'!$M$5,'Hypotheses expl (3,)'!S113)+SUMIF('Hypotheses expl (3,)'!T113,'Compte résultat prévi'!$M$5,'Hypotheses expl (3,)'!U113)+SUMIF('Hypotheses expl (3,)'!V113,'Compte résultat prévi'!$M$5,'Hypotheses expl (3,)'!W113)+SUMIF('Hypotheses expl (3,)'!X113,'Compte résultat prévi'!$M$5,'Hypotheses expl (3,)'!Y113)+SUMIF('Hypotheses expl (3,)'!Z113,'Compte résultat prévi'!$M$5,'Hypotheses expl (3,)'!AA113)+SUMIF('Hypotheses expl (3,)'!AB113,'Compte résultat prévi'!$M$5,'Hypotheses expl (3,)'!AC113)</f>
        <v>0</v>
      </c>
      <c r="N58" s="202">
        <f>+SUMIF('Hypotheses expl (3,)'!R113,'Compte résultat prévi'!$N$5,'Hypotheses expl (3,)'!S113)+SUMIF('Hypotheses expl (3,)'!T113,'Compte résultat prévi'!$N$5,'Hypotheses expl (3,)'!U113)+SUMIF('Hypotheses expl (3,)'!V113,'Compte résultat prévi'!$N$5,'Hypotheses expl (3,)'!W113)+SUMIF('Hypotheses expl (3,)'!X113,'Compte résultat prévi'!$N$5,'Hypotheses expl (3,)'!Y113)+SUMIF('Hypotheses expl (3,)'!Z113,'Compte résultat prévi'!$N$5,'Hypotheses expl (3,)'!AA113)+SUMIF('Hypotheses expl (3,)'!AB113,'Compte résultat prévi'!$N$5,'Hypotheses expl (3,)'!AC113)</f>
        <v>21433.999999999996</v>
      </c>
      <c r="O58" s="200">
        <f>+'Hypotheses expl (2)'!O112</f>
        <v>21433.999999999996</v>
      </c>
      <c r="P58" s="201">
        <f>+SUMIF('Hypotheses expl (2)'!R112,'Compte résultat prévi'!$P$5,'Hypotheses expl (2)'!S112)+SUMIF('Hypotheses expl (2)'!T112,'Compte résultat prévi'!$P$5,'Hypotheses expl (2)'!U112)+SUMIF('Hypotheses expl (2)'!V112,'Compte résultat prévi'!$P$5,'Hypotheses expl (2)'!W112)+SUMIF('Hypotheses expl (2)'!X112,'Compte résultat prévi'!$P$5,'Hypotheses expl (2)'!Y112)+SUMIF('Hypotheses expl (2)'!Z112,'Compte résultat prévi'!$P$5,'Hypotheses expl (2)'!AA112)+SUMIF('Hypotheses expl (2)'!AB112,'Compte résultat prévi'!$P$5,'Hypotheses expl (2)'!AC112)</f>
        <v>0</v>
      </c>
      <c r="Q58" s="201">
        <f>+SUMIF('Hypotheses expl (2)'!R112,'Compte résultat prévi'!$Q$5,'Hypotheses expl (2)'!S112)+SUMIF('Hypotheses expl (2)'!T112,'Compte résultat prévi'!$Q$5,'Hypotheses expl (2)'!U112)+SUMIF('Hypotheses expl (2)'!V112,'Compte résultat prévi'!$Q$5,'Hypotheses expl (2)'!W112)+SUMIF('Hypotheses expl (2)'!X112,'Compte résultat prévi'!$Q$5,'Hypotheses expl (2)'!Y112)+SUMIF('Hypotheses expl (2)'!Z112,'Compte résultat prévi'!$Q$5,'Hypotheses expl (2)'!AA112)+SUMIF('Hypotheses expl (2)'!AB112,'Compte résultat prévi'!$Q$5,'Hypotheses expl (2)'!AC112)</f>
        <v>0</v>
      </c>
      <c r="R58" s="201">
        <f>+SUMIF('Hypotheses expl (2)'!R112,'Compte résultat prévi'!$R$5,'Hypotheses expl (2)'!S112)+SUMIF('Hypotheses expl (2)'!T112,'Compte résultat prévi'!$R$5,'Hypotheses expl (2)'!U112)+SUMIF('Hypotheses expl (2)'!V112,'Compte résultat prévi'!$R$5,'Hypotheses expl (2)'!W112)+SUMIF('Hypotheses expl (2)'!X112,'Compte résultat prévi'!$R$5,'Hypotheses expl (2)'!Y112)+SUMIF('Hypotheses expl (2)'!Z112,'Compte résultat prévi'!$R$5,'Hypotheses expl (2)'!AA112)+SUMIF('Hypotheses expl (2)'!AB112,'Compte résultat prévi'!$R$5,'Hypotheses expl (2)'!AC112)</f>
        <v>0</v>
      </c>
      <c r="S58" s="201">
        <f>+SUMIF('Hypotheses expl (2)'!R112,'Compte résultat prévi'!$S$5,'Hypotheses expl (2)'!S112)+SUMIF('Hypotheses expl (2)'!T112,'Compte résultat prévi'!$S$5,'Hypotheses expl (2)'!U112)+SUMIF('Hypotheses expl (2)'!V112,'Compte résultat prévi'!$S$5,'Hypotheses expl (2)'!W112)+SUMIF('Hypotheses expl (2)'!X112,'Compte résultat prévi'!$S$5,'Hypotheses expl (2)'!Y112)+SUMIF('Hypotheses expl (2)'!Z112,'Compte résultat prévi'!$S$5,'Hypotheses expl (2)'!AA112)+SUMIF('Hypotheses expl (2)'!AB112,'Compte résultat prévi'!$S$5,'Hypotheses expl (2)'!AC112)</f>
        <v>0</v>
      </c>
      <c r="T58" s="202">
        <f>+SUMIF('Hypotheses expl (2)'!R112,'Compte résultat prévi'!$T$5,'Hypotheses expl (2)'!S112)+SUMIF('Hypotheses expl (2)'!T112,'Compte résultat prévi'!$T$5,'Hypotheses expl (2)'!U112)+SUMIF('Hypotheses expl (2)'!V112,'Compte résultat prévi'!$T$5,'Hypotheses expl (2)'!W112)+SUMIF('Hypotheses expl (2)'!X112,'Compte résultat prévi'!$T$5,'Hypotheses expl (2)'!Y112)+SUMIF('Hypotheses expl (2)'!Z112,'Compte résultat prévi'!$T$5,'Hypotheses expl (2)'!AA112)+SUMIF('Hypotheses expl (2)'!AB112,'Compte résultat prévi'!$T$5,'Hypotheses expl (2)'!AC112)</f>
        <v>21433.999999999996</v>
      </c>
      <c r="U58" s="203"/>
      <c r="V58" s="204"/>
    </row>
    <row r="59" outlineLevel="1">
      <c r="A59" s="198" t="str">
        <f>'Hypotheses expl'!B114</f>
        <v xml:space="preserve">Entretien sur locaux</v>
      </c>
      <c r="B59" s="234">
        <v>4</v>
      </c>
      <c r="C59" s="200">
        <f>+'Hypotheses expl'!O114</f>
        <v>11000</v>
      </c>
      <c r="D59" s="201">
        <f>+SUMIF('Hypotheses expl'!R114,'Compte résultat prévi'!$D$5,'Hypotheses expl'!S114)+SUMIF('Hypotheses expl'!T114,'Compte résultat prévi'!$D$5,'Hypotheses expl'!U114)+SUMIF('Hypotheses expl'!V114,'Compte résultat prévi'!$D$5,'Hypotheses expl'!W114)+SUMIF('Hypotheses expl'!X114,'Compte résultat prévi'!$D$5,'Hypotheses expl'!Y114)+SUMIF('Hypotheses expl'!Z114,'Compte résultat prévi'!$D$5,'Hypotheses expl'!AA114)+SUMIF('Hypotheses expl'!AB114,'Compte résultat prévi'!$D$5,'Hypotheses expl'!AC114)</f>
        <v>0</v>
      </c>
      <c r="E59" s="201">
        <f>+SUMIF('Hypotheses expl'!R114,'Compte résultat prévi'!$E$5,'Hypotheses expl'!S114)+SUMIF('Hypotheses expl'!T114,'Compte résultat prévi'!$E$5,'Hypotheses expl'!U114)+SUMIF('Hypotheses expl'!V114,'Compte résultat prévi'!$E$5,'Hypotheses expl'!W114)+SUMIF('Hypotheses expl'!X114,'Compte résultat prévi'!$E$5,'Hypotheses expl'!Y114)+SUMIF('Hypotheses expl'!Z114,'Compte résultat prévi'!$E$5,'Hypotheses expl'!AA114)+SUMIF('Hypotheses expl'!AB114,'Compte résultat prévi'!$E$5,'Hypotheses expl'!AC114)</f>
        <v>0</v>
      </c>
      <c r="F59" s="201">
        <f>+SUMIF('Hypotheses expl'!R114,'Compte résultat prévi'!$F$5,'Hypotheses expl'!S114)+SUMIF('Hypotheses expl'!T114,'Compte résultat prévi'!$F$5,'Hypotheses expl'!U114)+SUMIF('Hypotheses expl'!V114,'Compte résultat prévi'!$F$5,'Hypotheses expl'!W114)+SUMIF('Hypotheses expl'!X114,'Compte résultat prévi'!$F$5,'Hypotheses expl'!Y114)+SUMIF('Hypotheses expl'!Z114,'Compte résultat prévi'!$F$5,'Hypotheses expl'!AA114)+SUMIF('Hypotheses expl'!AB114,'Compte résultat prévi'!$F$5,'Hypotheses expl'!AC114)</f>
        <v>0</v>
      </c>
      <c r="G59" s="201">
        <f>+SUMIF('Hypotheses expl'!R114,'Compte résultat prévi'!$G$5,'Hypotheses expl'!S114)+SUMIF('Hypotheses expl'!T114,'Compte résultat prévi'!$G$5,'Hypotheses expl'!U114)+SUMIF('Hypotheses expl'!V114,'Compte résultat prévi'!$G$5,'Hypotheses expl'!W114)+SUMIF('Hypotheses expl'!X114,'Compte résultat prévi'!$G$5,'Hypotheses expl'!Y114)+SUMIF('Hypotheses expl'!Z114,'Compte résultat prévi'!$G$5,'Hypotheses expl'!AA114)+SUMIF('Hypotheses expl'!AB114,'Compte résultat prévi'!$G$5,'Hypotheses expl'!AC114)</f>
        <v>0</v>
      </c>
      <c r="H59" s="202">
        <f>+SUMIF('Hypotheses expl'!R114,'Compte résultat prévi'!$H$5,'Hypotheses expl'!S114)+SUMIF('Hypotheses expl'!T114,'Compte résultat prévi'!$H$5,'Hypotheses expl'!U114)+SUMIF('Hypotheses expl'!V114,'Compte résultat prévi'!$H$5,'Hypotheses expl'!W114)+SUMIF('Hypotheses expl'!X114,'Compte résultat prévi'!$H$5,'Hypotheses expl'!Y114)+SUMIF('Hypotheses expl'!Z114,'Compte résultat prévi'!$H$5,'Hypotheses expl'!AA114)+SUMIF('Hypotheses expl'!AB114,'Compte résultat prévi'!$H$5,'Hypotheses expl'!AC114)</f>
        <v>11000</v>
      </c>
      <c r="I59" s="200">
        <v>16000</v>
      </c>
      <c r="J59" s="201">
        <f>+SUMIF('Hypotheses expl (3,)'!R114,'Compte résultat prévi'!$J$5,'Hypotheses expl (3,)'!S114)+SUMIF('Hypotheses expl (3,)'!T114,'Compte résultat prévi'!$J$5,'Hypotheses expl (3,)'!U114)+SUMIF('Hypotheses expl (3,)'!V114,'Compte résultat prévi'!$J$5,'Hypotheses expl (3,)'!W114)+SUMIF('Hypotheses expl (3,)'!X114,'Compte résultat prévi'!$J$5,'Hypotheses expl (3,)'!Y114)+SUMIF('Hypotheses expl (3,)'!Z114,'Compte résultat prévi'!$J$5,'Hypotheses expl (3,)'!AA114)+SUMIF('Hypotheses expl (3,)'!AB114,'Compte résultat prévi'!$J$5,'Hypotheses expl (3,)'!AC114)</f>
        <v>0</v>
      </c>
      <c r="K59" s="201">
        <f>+SUMIF('Hypotheses expl (3,)'!R114,'Compte résultat prévi'!$K$5,'Hypotheses expl (3,)'!S114)+SUMIF('Hypotheses expl (3,)'!T114,'Compte résultat prévi'!$K$5,'Hypotheses expl (3,)'!U114)+SUMIF('Hypotheses expl (3,)'!V114,'Compte résultat prévi'!$K$5,'Hypotheses expl (3,)'!W114)+SUMIF('Hypotheses expl (3,)'!X114,'Compte résultat prévi'!$K$5,'Hypotheses expl (3,)'!Y114)+SUMIF('Hypotheses expl (3,)'!Z114,'Compte résultat prévi'!$K$5,'Hypotheses expl (3,)'!AA114)+SUMIF('Hypotheses expl (3,)'!AB114,'Compte résultat prévi'!$K$5,'Hypotheses expl (3,)'!AC114)</f>
        <v>0</v>
      </c>
      <c r="L59" s="201">
        <f>+SUMIF('Hypotheses expl (3,)'!R114,'Compte résultat prévi'!$L$5,'Hypotheses expl (3,)'!S114)+SUMIF('Hypotheses expl (3,)'!T114,'Compte résultat prévi'!$L$5,'Hypotheses expl (3,)'!U114)+SUMIF('Hypotheses expl (3,)'!V114,'Compte résultat prévi'!$L$5,'Hypotheses expl (3,)'!W114)+SUMIF('Hypotheses expl (3,)'!X114,'Compte résultat prévi'!$L$5,'Hypotheses expl (3,)'!Y114)+SUMIF('Hypotheses expl (3,)'!Z114,'Compte résultat prévi'!$L$5,'Hypotheses expl (3,)'!AA114)+SUMIF('Hypotheses expl (3,)'!AB114,'Compte résultat prévi'!$L$5,'Hypotheses expl (3,)'!AC114)</f>
        <v>0</v>
      </c>
      <c r="M59" s="201">
        <f>+SUMIF('Hypotheses expl (3,)'!R114,'Compte résultat prévi'!$M$5,'Hypotheses expl (3,)'!S114)+SUMIF('Hypotheses expl (3,)'!T114,'Compte résultat prévi'!$M$5,'Hypotheses expl (3,)'!U114)+SUMIF('Hypotheses expl (3,)'!V114,'Compte résultat prévi'!$M$5,'Hypotheses expl (3,)'!W114)+SUMIF('Hypotheses expl (3,)'!X114,'Compte résultat prévi'!$M$5,'Hypotheses expl (3,)'!Y114)+SUMIF('Hypotheses expl (3,)'!Z114,'Compte résultat prévi'!$M$5,'Hypotheses expl (3,)'!AA114)+SUMIF('Hypotheses expl (3,)'!AB114,'Compte résultat prévi'!$M$5,'Hypotheses expl (3,)'!AC114)</f>
        <v>0</v>
      </c>
      <c r="N59" s="202">
        <v>16000</v>
      </c>
      <c r="O59" s="200">
        <v>16000</v>
      </c>
      <c r="P59" s="201">
        <f>+SUMIF('Hypotheses expl (2)'!R113,'Compte résultat prévi'!$P$5,'Hypotheses expl (2)'!S113)+SUMIF('Hypotheses expl (2)'!T113,'Compte résultat prévi'!$P$5,'Hypotheses expl (2)'!U113)+SUMIF('Hypotheses expl (2)'!V113,'Compte résultat prévi'!$P$5,'Hypotheses expl (2)'!W113)+SUMIF('Hypotheses expl (2)'!X113,'Compte résultat prévi'!$P$5,'Hypotheses expl (2)'!Y113)+SUMIF('Hypotheses expl (2)'!Z113,'Compte résultat prévi'!$P$5,'Hypotheses expl (2)'!AA113)+SUMIF('Hypotheses expl (2)'!AB113,'Compte résultat prévi'!$P$5,'Hypotheses expl (2)'!AC113)</f>
        <v>0</v>
      </c>
      <c r="Q59" s="201">
        <f>+SUMIF('Hypotheses expl (2)'!R113,'Compte résultat prévi'!$Q$5,'Hypotheses expl (2)'!S113)+SUMIF('Hypotheses expl (2)'!T113,'Compte résultat prévi'!$Q$5,'Hypotheses expl (2)'!U113)+SUMIF('Hypotheses expl (2)'!V113,'Compte résultat prévi'!$Q$5,'Hypotheses expl (2)'!W113)+SUMIF('Hypotheses expl (2)'!X113,'Compte résultat prévi'!$Q$5,'Hypotheses expl (2)'!Y113)+SUMIF('Hypotheses expl (2)'!Z113,'Compte résultat prévi'!$Q$5,'Hypotheses expl (2)'!AA113)+SUMIF('Hypotheses expl (2)'!AB113,'Compte résultat prévi'!$Q$5,'Hypotheses expl (2)'!AC113)</f>
        <v>0</v>
      </c>
      <c r="R59" s="201">
        <f>+SUMIF('Hypotheses expl (2)'!R113,'Compte résultat prévi'!$R$5,'Hypotheses expl (2)'!S113)+SUMIF('Hypotheses expl (2)'!T113,'Compte résultat prévi'!$R$5,'Hypotheses expl (2)'!U113)+SUMIF('Hypotheses expl (2)'!V113,'Compte résultat prévi'!$R$5,'Hypotheses expl (2)'!W113)+SUMIF('Hypotheses expl (2)'!X113,'Compte résultat prévi'!$R$5,'Hypotheses expl (2)'!Y113)+SUMIF('Hypotheses expl (2)'!Z113,'Compte résultat prévi'!$R$5,'Hypotheses expl (2)'!AA113)+SUMIF('Hypotheses expl (2)'!AB113,'Compte résultat prévi'!$R$5,'Hypotheses expl (2)'!AC113)</f>
        <v>0</v>
      </c>
      <c r="S59" s="201">
        <f>+SUMIF('Hypotheses expl (2)'!R113,'Compte résultat prévi'!$S$5,'Hypotheses expl (2)'!S113)+SUMIF('Hypotheses expl (2)'!T113,'Compte résultat prévi'!$S$5,'Hypotheses expl (2)'!U113)+SUMIF('Hypotheses expl (2)'!V113,'Compte résultat prévi'!$S$5,'Hypotheses expl (2)'!W113)+SUMIF('Hypotheses expl (2)'!X113,'Compte résultat prévi'!$S$5,'Hypotheses expl (2)'!Y113)+SUMIF('Hypotheses expl (2)'!Z113,'Compte résultat prévi'!$S$5,'Hypotheses expl (2)'!AA113)+SUMIF('Hypotheses expl (2)'!AB113,'Compte résultat prévi'!$S$5,'Hypotheses expl (2)'!AC113)</f>
        <v>0</v>
      </c>
      <c r="T59" s="202">
        <v>16000</v>
      </c>
      <c r="U59" s="203"/>
      <c r="V59" s="204"/>
    </row>
    <row r="60" outlineLevel="1">
      <c r="A60" s="198" t="str">
        <f>'Hypotheses expl'!B115</f>
        <v xml:space="preserve">Maintenance  générale</v>
      </c>
      <c r="B60" s="234">
        <v>4</v>
      </c>
      <c r="C60" s="200">
        <f>+'Hypotheses expl'!O115</f>
        <v>10092</v>
      </c>
      <c r="D60" s="201">
        <f>+SUMIF('Hypotheses expl'!R115,'Compte résultat prévi'!$D$5,'Hypotheses expl'!S115)+SUMIF('Hypotheses expl'!T115,'Compte résultat prévi'!$D$5,'Hypotheses expl'!U115)+SUMIF('Hypotheses expl'!V115,'Compte résultat prévi'!$D$5,'Hypotheses expl'!W115)+SUMIF('Hypotheses expl'!X115,'Compte résultat prévi'!$D$5,'Hypotheses expl'!Y115)+SUMIF('Hypotheses expl'!Z115,'Compte résultat prévi'!$D$5,'Hypotheses expl'!AA115)+SUMIF('Hypotheses expl'!AB115,'Compte résultat prévi'!$D$5,'Hypotheses expl'!AC115)</f>
        <v>0</v>
      </c>
      <c r="E60" s="201">
        <f>+SUMIF('Hypotheses expl'!R115,'Compte résultat prévi'!$E$5,'Hypotheses expl'!S115)+SUMIF('Hypotheses expl'!T115,'Compte résultat prévi'!$E$5,'Hypotheses expl'!U115)+SUMIF('Hypotheses expl'!V115,'Compte résultat prévi'!$E$5,'Hypotheses expl'!W115)+SUMIF('Hypotheses expl'!X115,'Compte résultat prévi'!$E$5,'Hypotheses expl'!Y115)+SUMIF('Hypotheses expl'!Z115,'Compte résultat prévi'!$E$5,'Hypotheses expl'!AA115)+SUMIF('Hypotheses expl'!AB115,'Compte résultat prévi'!$E$5,'Hypotheses expl'!AC115)</f>
        <v>0</v>
      </c>
      <c r="F60" s="201">
        <f>+SUMIF('Hypotheses expl'!R115,'Compte résultat prévi'!$F$5,'Hypotheses expl'!S115)+SUMIF('Hypotheses expl'!T115,'Compte résultat prévi'!$F$5,'Hypotheses expl'!U115)+SUMIF('Hypotheses expl'!V115,'Compte résultat prévi'!$F$5,'Hypotheses expl'!W115)+SUMIF('Hypotheses expl'!X115,'Compte résultat prévi'!$F$5,'Hypotheses expl'!Y115)+SUMIF('Hypotheses expl'!Z115,'Compte résultat prévi'!$F$5,'Hypotheses expl'!AA115)+SUMIF('Hypotheses expl'!AB115,'Compte résultat prévi'!$F$5,'Hypotheses expl'!AC115)</f>
        <v>0</v>
      </c>
      <c r="G60" s="201">
        <f>+SUMIF('Hypotheses expl'!R115,'Compte résultat prévi'!$G$5,'Hypotheses expl'!S115)+SUMIF('Hypotheses expl'!T115,'Compte résultat prévi'!$G$5,'Hypotheses expl'!U115)+SUMIF('Hypotheses expl'!V115,'Compte résultat prévi'!$G$5,'Hypotheses expl'!W115)+SUMIF('Hypotheses expl'!X115,'Compte résultat prévi'!$G$5,'Hypotheses expl'!Y115)+SUMIF('Hypotheses expl'!Z115,'Compte résultat prévi'!$G$5,'Hypotheses expl'!AA115)+SUMIF('Hypotheses expl'!AB115,'Compte résultat prévi'!$G$5,'Hypotheses expl'!AC115)</f>
        <v>0</v>
      </c>
      <c r="H60" s="202">
        <f>+SUMIF('Hypotheses expl'!R115,'Compte résultat prévi'!$H$5,'Hypotheses expl'!S115)+SUMIF('Hypotheses expl'!T115,'Compte résultat prévi'!$H$5,'Hypotheses expl'!U115)+SUMIF('Hypotheses expl'!V115,'Compte résultat prévi'!$H$5,'Hypotheses expl'!W115)+SUMIF('Hypotheses expl'!X115,'Compte résultat prévi'!$H$5,'Hypotheses expl'!Y115)+SUMIF('Hypotheses expl'!Z115,'Compte résultat prévi'!$H$5,'Hypotheses expl'!AA115)+SUMIF('Hypotheses expl'!AB115,'Compte résultat prévi'!$H$5,'Hypotheses expl'!AC115)</f>
        <v>10092</v>
      </c>
      <c r="I60" s="200">
        <f>+'Hypotheses expl (3,)'!O115</f>
        <v>10092</v>
      </c>
      <c r="J60" s="201">
        <f>+SUMIF('Hypotheses expl (3,)'!R115,'Compte résultat prévi'!$J$5,'Hypotheses expl (3,)'!S115)+SUMIF('Hypotheses expl (3,)'!T115,'Compte résultat prévi'!$J$5,'Hypotheses expl (3,)'!U115)+SUMIF('Hypotheses expl (3,)'!V115,'Compte résultat prévi'!$J$5,'Hypotheses expl (3,)'!W115)+SUMIF('Hypotheses expl (3,)'!X115,'Compte résultat prévi'!$J$5,'Hypotheses expl (3,)'!Y115)+SUMIF('Hypotheses expl (3,)'!Z115,'Compte résultat prévi'!$J$5,'Hypotheses expl (3,)'!AA115)+SUMIF('Hypotheses expl (3,)'!AB115,'Compte résultat prévi'!$J$5,'Hypotheses expl (3,)'!AC115)</f>
        <v>0</v>
      </c>
      <c r="K60" s="201">
        <f>+SUMIF('Hypotheses expl (3,)'!R115,'Compte résultat prévi'!$K$5,'Hypotheses expl (3,)'!S115)+SUMIF('Hypotheses expl (3,)'!T115,'Compte résultat prévi'!$K$5,'Hypotheses expl (3,)'!U115)+SUMIF('Hypotheses expl (3,)'!V115,'Compte résultat prévi'!$K$5,'Hypotheses expl (3,)'!W115)+SUMIF('Hypotheses expl (3,)'!X115,'Compte résultat prévi'!$K$5,'Hypotheses expl (3,)'!Y115)+SUMIF('Hypotheses expl (3,)'!Z115,'Compte résultat prévi'!$K$5,'Hypotheses expl (3,)'!AA115)+SUMIF('Hypotheses expl (3,)'!AB115,'Compte résultat prévi'!$K$5,'Hypotheses expl (3,)'!AC115)</f>
        <v>0</v>
      </c>
      <c r="L60" s="201">
        <f>+SUMIF('Hypotheses expl (3,)'!R115,'Compte résultat prévi'!$L$5,'Hypotheses expl (3,)'!S115)+SUMIF('Hypotheses expl (3,)'!T115,'Compte résultat prévi'!$L$5,'Hypotheses expl (3,)'!U115)+SUMIF('Hypotheses expl (3,)'!V115,'Compte résultat prévi'!$L$5,'Hypotheses expl (3,)'!W115)+SUMIF('Hypotheses expl (3,)'!X115,'Compte résultat prévi'!$L$5,'Hypotheses expl (3,)'!Y115)+SUMIF('Hypotheses expl (3,)'!Z115,'Compte résultat prévi'!$L$5,'Hypotheses expl (3,)'!AA115)+SUMIF('Hypotheses expl (3,)'!AB115,'Compte résultat prévi'!$L$5,'Hypotheses expl (3,)'!AC115)</f>
        <v>0</v>
      </c>
      <c r="M60" s="201">
        <f>+SUMIF('Hypotheses expl (3,)'!R115,'Compte résultat prévi'!$M$5,'Hypotheses expl (3,)'!S115)+SUMIF('Hypotheses expl (3,)'!T115,'Compte résultat prévi'!$M$5,'Hypotheses expl (3,)'!U115)+SUMIF('Hypotheses expl (3,)'!V115,'Compte résultat prévi'!$M$5,'Hypotheses expl (3,)'!W115)+SUMIF('Hypotheses expl (3,)'!X115,'Compte résultat prévi'!$M$5,'Hypotheses expl (3,)'!Y115)+SUMIF('Hypotheses expl (3,)'!Z115,'Compte résultat prévi'!$M$5,'Hypotheses expl (3,)'!AA115)+SUMIF('Hypotheses expl (3,)'!AB115,'Compte résultat prévi'!$M$5,'Hypotheses expl (3,)'!AC115)</f>
        <v>0</v>
      </c>
      <c r="N60" s="202">
        <f>+SUMIF('Hypotheses expl (3,)'!R115,'Compte résultat prévi'!$N$5,'Hypotheses expl (3,)'!S115)+SUMIF('Hypotheses expl (3,)'!T115,'Compte résultat prévi'!$N$5,'Hypotheses expl (3,)'!U115)+SUMIF('Hypotheses expl (3,)'!V115,'Compte résultat prévi'!$N$5,'Hypotheses expl (3,)'!W115)+SUMIF('Hypotheses expl (3,)'!X115,'Compte résultat prévi'!$N$5,'Hypotheses expl (3,)'!Y115)+SUMIF('Hypotheses expl (3,)'!Z115,'Compte résultat prévi'!$N$5,'Hypotheses expl (3,)'!AA115)+SUMIF('Hypotheses expl (3,)'!AB115,'Compte résultat prévi'!$N$5,'Hypotheses expl (3,)'!AC115)</f>
        <v>10092</v>
      </c>
      <c r="O60" s="200">
        <f>+'Hypotheses expl (2)'!O114</f>
        <v>10092</v>
      </c>
      <c r="P60" s="201">
        <f>+SUMIF('Hypotheses expl (2)'!R114,'Compte résultat prévi'!$P$5,'Hypotheses expl (2)'!S114)+SUMIF('Hypotheses expl (2)'!T114,'Compte résultat prévi'!$P$5,'Hypotheses expl (2)'!U114)+SUMIF('Hypotheses expl (2)'!V114,'Compte résultat prévi'!$P$5,'Hypotheses expl (2)'!W114)+SUMIF('Hypotheses expl (2)'!X114,'Compte résultat prévi'!$P$5,'Hypotheses expl (2)'!Y114)+SUMIF('Hypotheses expl (2)'!Z114,'Compte résultat prévi'!$P$5,'Hypotheses expl (2)'!AA114)+SUMIF('Hypotheses expl (2)'!AB114,'Compte résultat prévi'!$P$5,'Hypotheses expl (2)'!AC114)</f>
        <v>0</v>
      </c>
      <c r="Q60" s="201">
        <f>+SUMIF('Hypotheses expl (2)'!R114,'Compte résultat prévi'!$Q$5,'Hypotheses expl (2)'!S114)+SUMIF('Hypotheses expl (2)'!T114,'Compte résultat prévi'!$Q$5,'Hypotheses expl (2)'!U114)+SUMIF('Hypotheses expl (2)'!V114,'Compte résultat prévi'!$Q$5,'Hypotheses expl (2)'!W114)+SUMIF('Hypotheses expl (2)'!X114,'Compte résultat prévi'!$Q$5,'Hypotheses expl (2)'!Y114)+SUMIF('Hypotheses expl (2)'!Z114,'Compte résultat prévi'!$Q$5,'Hypotheses expl (2)'!AA114)+SUMIF('Hypotheses expl (2)'!AB114,'Compte résultat prévi'!$Q$5,'Hypotheses expl (2)'!AC114)</f>
        <v>0</v>
      </c>
      <c r="R60" s="201">
        <f>+SUMIF('Hypotheses expl (2)'!R114,'Compte résultat prévi'!$R$5,'Hypotheses expl (2)'!S114)+SUMIF('Hypotheses expl (2)'!T114,'Compte résultat prévi'!$R$5,'Hypotheses expl (2)'!U114)+SUMIF('Hypotheses expl (2)'!V114,'Compte résultat prévi'!$R$5,'Hypotheses expl (2)'!W114)+SUMIF('Hypotheses expl (2)'!X114,'Compte résultat prévi'!$R$5,'Hypotheses expl (2)'!Y114)+SUMIF('Hypotheses expl (2)'!Z114,'Compte résultat prévi'!$R$5,'Hypotheses expl (2)'!AA114)+SUMIF('Hypotheses expl (2)'!AB114,'Compte résultat prévi'!$R$5,'Hypotheses expl (2)'!AC114)</f>
        <v>0</v>
      </c>
      <c r="S60" s="201">
        <f>+SUMIF('Hypotheses expl (2)'!R114,'Compte résultat prévi'!$S$5,'Hypotheses expl (2)'!S114)+SUMIF('Hypotheses expl (2)'!T114,'Compte résultat prévi'!$S$5,'Hypotheses expl (2)'!U114)+SUMIF('Hypotheses expl (2)'!V114,'Compte résultat prévi'!$S$5,'Hypotheses expl (2)'!W114)+SUMIF('Hypotheses expl (2)'!X114,'Compte résultat prévi'!$S$5,'Hypotheses expl (2)'!Y114)+SUMIF('Hypotheses expl (2)'!Z114,'Compte résultat prévi'!$S$5,'Hypotheses expl (2)'!AA114)+SUMIF('Hypotheses expl (2)'!AB114,'Compte résultat prévi'!$S$5,'Hypotheses expl (2)'!AC114)</f>
        <v>0</v>
      </c>
      <c r="T60" s="202">
        <f>+SUMIF('Hypotheses expl (2)'!R114,'Compte résultat prévi'!$T$5,'Hypotheses expl (2)'!S114)+SUMIF('Hypotheses expl (2)'!T114,'Compte résultat prévi'!$T$5,'Hypotheses expl (2)'!U114)+SUMIF('Hypotheses expl (2)'!V114,'Compte résultat prévi'!$T$5,'Hypotheses expl (2)'!W114)+SUMIF('Hypotheses expl (2)'!X114,'Compte résultat prévi'!$T$5,'Hypotheses expl (2)'!Y114)+SUMIF('Hypotheses expl (2)'!Z114,'Compte résultat prévi'!$T$5,'Hypotheses expl (2)'!AA114)+SUMIF('Hypotheses expl (2)'!AB114,'Compte résultat prévi'!$T$5,'Hypotheses expl (2)'!AC114)</f>
        <v>10092</v>
      </c>
      <c r="U60" s="203"/>
      <c r="V60" s="204"/>
    </row>
    <row r="61" outlineLevel="1">
      <c r="A61" s="198" t="str">
        <f>'Hypotheses expl'!B116</f>
        <v>Assurance</v>
      </c>
      <c r="B61" s="234">
        <v>4</v>
      </c>
      <c r="C61" s="200">
        <f>+'Hypotheses expl'!O116</f>
        <v>10600</v>
      </c>
      <c r="D61" s="201">
        <f>+SUMIF('Hypotheses expl'!R116,'Compte résultat prévi'!$D$5,'Hypotheses expl'!S116)+SUMIF('Hypotheses expl'!T116,'Compte résultat prévi'!$D$5,'Hypotheses expl'!U116)+SUMIF('Hypotheses expl'!V116,'Compte résultat prévi'!$D$5,'Hypotheses expl'!W116)+SUMIF('Hypotheses expl'!X116,'Compte résultat prévi'!$D$5,'Hypotheses expl'!Y116)+SUMIF('Hypotheses expl'!Z116,'Compte résultat prévi'!$D$5,'Hypotheses expl'!AA116)+SUMIF('Hypotheses expl'!AB116,'Compte résultat prévi'!$D$5,'Hypotheses expl'!AC116)</f>
        <v>0</v>
      </c>
      <c r="E61" s="201">
        <f>+SUMIF('Hypotheses expl'!R116,'Compte résultat prévi'!$E$5,'Hypotheses expl'!S116)+SUMIF('Hypotheses expl'!T116,'Compte résultat prévi'!$E$5,'Hypotheses expl'!U116)+SUMIF('Hypotheses expl'!V116,'Compte résultat prévi'!$E$5,'Hypotheses expl'!W116)+SUMIF('Hypotheses expl'!X116,'Compte résultat prévi'!$E$5,'Hypotheses expl'!Y116)+SUMIF('Hypotheses expl'!Z116,'Compte résultat prévi'!$E$5,'Hypotheses expl'!AA116)+SUMIF('Hypotheses expl'!AB116,'Compte résultat prévi'!$E$5,'Hypotheses expl'!AC116)</f>
        <v>0</v>
      </c>
      <c r="F61" s="201">
        <f>+SUMIF('Hypotheses expl'!R116,'Compte résultat prévi'!$F$5,'Hypotheses expl'!S116)+SUMIF('Hypotheses expl'!T116,'Compte résultat prévi'!$F$5,'Hypotheses expl'!U116)+SUMIF('Hypotheses expl'!V116,'Compte résultat prévi'!$F$5,'Hypotheses expl'!W116)+SUMIF('Hypotheses expl'!X116,'Compte résultat prévi'!$F$5,'Hypotheses expl'!Y116)+SUMIF('Hypotheses expl'!Z116,'Compte résultat prévi'!$F$5,'Hypotheses expl'!AA116)+SUMIF('Hypotheses expl'!AB116,'Compte résultat prévi'!$F$5,'Hypotheses expl'!AC116)</f>
        <v>0</v>
      </c>
      <c r="G61" s="201">
        <f>+SUMIF('Hypotheses expl'!R116,'Compte résultat prévi'!$G$5,'Hypotheses expl'!S116)+SUMIF('Hypotheses expl'!T116,'Compte résultat prévi'!$G$5,'Hypotheses expl'!U116)+SUMIF('Hypotheses expl'!V116,'Compte résultat prévi'!$G$5,'Hypotheses expl'!W116)+SUMIF('Hypotheses expl'!X116,'Compte résultat prévi'!$G$5,'Hypotheses expl'!Y116)+SUMIF('Hypotheses expl'!Z116,'Compte résultat prévi'!$G$5,'Hypotheses expl'!AA116)+SUMIF('Hypotheses expl'!AB116,'Compte résultat prévi'!$G$5,'Hypotheses expl'!AC116)</f>
        <v>0</v>
      </c>
      <c r="H61" s="202">
        <f>+SUMIF('Hypotheses expl'!R116,'Compte résultat prévi'!$H$5,'Hypotheses expl'!S116)+SUMIF('Hypotheses expl'!T116,'Compte résultat prévi'!$H$5,'Hypotheses expl'!U116)+SUMIF('Hypotheses expl'!V116,'Compte résultat prévi'!$H$5,'Hypotheses expl'!W116)+SUMIF('Hypotheses expl'!X116,'Compte résultat prévi'!$H$5,'Hypotheses expl'!Y116)+SUMIF('Hypotheses expl'!Z116,'Compte résultat prévi'!$H$5,'Hypotheses expl'!AA116)+SUMIF('Hypotheses expl'!AB116,'Compte résultat prévi'!$H$5,'Hypotheses expl'!AC116)</f>
        <v>10600</v>
      </c>
      <c r="I61" s="200">
        <f>+'Hypotheses expl (3,)'!O116</f>
        <v>10600</v>
      </c>
      <c r="J61" s="201">
        <f>+SUMIF('Hypotheses expl (3,)'!R116,'Compte résultat prévi'!$J$5,'Hypotheses expl (3,)'!S116)+SUMIF('Hypotheses expl (3,)'!T116,'Compte résultat prévi'!$J$5,'Hypotheses expl (3,)'!U116)+SUMIF('Hypotheses expl (3,)'!V116,'Compte résultat prévi'!$J$5,'Hypotheses expl (3,)'!W116)+SUMIF('Hypotheses expl (3,)'!X116,'Compte résultat prévi'!$J$5,'Hypotheses expl (3,)'!Y116)+SUMIF('Hypotheses expl (3,)'!Z116,'Compte résultat prévi'!$J$5,'Hypotheses expl (3,)'!AA116)+SUMIF('Hypotheses expl (3,)'!AB116,'Compte résultat prévi'!$J$5,'Hypotheses expl (3,)'!AC116)</f>
        <v>0</v>
      </c>
      <c r="K61" s="201">
        <f>+SUMIF('Hypotheses expl (3,)'!R116,'Compte résultat prévi'!$K$5,'Hypotheses expl (3,)'!S116)+SUMIF('Hypotheses expl (3,)'!T116,'Compte résultat prévi'!$K$5,'Hypotheses expl (3,)'!U116)+SUMIF('Hypotheses expl (3,)'!V116,'Compte résultat prévi'!$K$5,'Hypotheses expl (3,)'!W116)+SUMIF('Hypotheses expl (3,)'!X116,'Compte résultat prévi'!$K$5,'Hypotheses expl (3,)'!Y116)+SUMIF('Hypotheses expl (3,)'!Z116,'Compte résultat prévi'!$K$5,'Hypotheses expl (3,)'!AA116)+SUMIF('Hypotheses expl (3,)'!AB116,'Compte résultat prévi'!$K$5,'Hypotheses expl (3,)'!AC116)</f>
        <v>0</v>
      </c>
      <c r="L61" s="201">
        <f>+SUMIF('Hypotheses expl (3,)'!R116,'Compte résultat prévi'!$L$5,'Hypotheses expl (3,)'!S116)+SUMIF('Hypotheses expl (3,)'!T116,'Compte résultat prévi'!$L$5,'Hypotheses expl (3,)'!U116)+SUMIF('Hypotheses expl (3,)'!V116,'Compte résultat prévi'!$L$5,'Hypotheses expl (3,)'!W116)+SUMIF('Hypotheses expl (3,)'!X116,'Compte résultat prévi'!$L$5,'Hypotheses expl (3,)'!Y116)+SUMIF('Hypotheses expl (3,)'!Z116,'Compte résultat prévi'!$L$5,'Hypotheses expl (3,)'!AA116)+SUMIF('Hypotheses expl (3,)'!AB116,'Compte résultat prévi'!$L$5,'Hypotheses expl (3,)'!AC116)</f>
        <v>0</v>
      </c>
      <c r="M61" s="201">
        <f>+SUMIF('Hypotheses expl (3,)'!R116,'Compte résultat prévi'!$M$5,'Hypotheses expl (3,)'!S116)+SUMIF('Hypotheses expl (3,)'!T116,'Compte résultat prévi'!$M$5,'Hypotheses expl (3,)'!U116)+SUMIF('Hypotheses expl (3,)'!V116,'Compte résultat prévi'!$M$5,'Hypotheses expl (3,)'!W116)+SUMIF('Hypotheses expl (3,)'!X116,'Compte résultat prévi'!$M$5,'Hypotheses expl (3,)'!Y116)+SUMIF('Hypotheses expl (3,)'!Z116,'Compte résultat prévi'!$M$5,'Hypotheses expl (3,)'!AA116)+SUMIF('Hypotheses expl (3,)'!AB116,'Compte résultat prévi'!$M$5,'Hypotheses expl (3,)'!AC116)</f>
        <v>0</v>
      </c>
      <c r="N61" s="202">
        <f>+SUMIF('Hypotheses expl (3,)'!R116,'Compte résultat prévi'!$N$5,'Hypotheses expl (3,)'!S116)+SUMIF('Hypotheses expl (3,)'!T116,'Compte résultat prévi'!$N$5,'Hypotheses expl (3,)'!U116)+SUMIF('Hypotheses expl (3,)'!V116,'Compte résultat prévi'!$N$5,'Hypotheses expl (3,)'!W116)+SUMIF('Hypotheses expl (3,)'!X116,'Compte résultat prévi'!$N$5,'Hypotheses expl (3,)'!Y116)+SUMIF('Hypotheses expl (3,)'!Z116,'Compte résultat prévi'!$N$5,'Hypotheses expl (3,)'!AA116)+SUMIF('Hypotheses expl (3,)'!AB116,'Compte résultat prévi'!$N$5,'Hypotheses expl (3,)'!AC116)</f>
        <v>10600</v>
      </c>
      <c r="O61" s="200">
        <f>+'Hypotheses expl (2)'!O115</f>
        <v>10600</v>
      </c>
      <c r="P61" s="201">
        <f>+SUMIF('Hypotheses expl (2)'!R115,'Compte résultat prévi'!$P$5,'Hypotheses expl (2)'!S115)+SUMIF('Hypotheses expl (2)'!T115,'Compte résultat prévi'!$P$5,'Hypotheses expl (2)'!U115)+SUMIF('Hypotheses expl (2)'!V115,'Compte résultat prévi'!$P$5,'Hypotheses expl (2)'!W115)+SUMIF('Hypotheses expl (2)'!X115,'Compte résultat prévi'!$P$5,'Hypotheses expl (2)'!Y115)+SUMIF('Hypotheses expl (2)'!Z115,'Compte résultat prévi'!$P$5,'Hypotheses expl (2)'!AA115)+SUMIF('Hypotheses expl (2)'!AB115,'Compte résultat prévi'!$P$5,'Hypotheses expl (2)'!AC115)</f>
        <v>0</v>
      </c>
      <c r="Q61" s="201">
        <f>+SUMIF('Hypotheses expl (2)'!R115,'Compte résultat prévi'!$Q$5,'Hypotheses expl (2)'!S115)+SUMIF('Hypotheses expl (2)'!T115,'Compte résultat prévi'!$Q$5,'Hypotheses expl (2)'!U115)+SUMIF('Hypotheses expl (2)'!V115,'Compte résultat prévi'!$Q$5,'Hypotheses expl (2)'!W115)+SUMIF('Hypotheses expl (2)'!X115,'Compte résultat prévi'!$Q$5,'Hypotheses expl (2)'!Y115)+SUMIF('Hypotheses expl (2)'!Z115,'Compte résultat prévi'!$Q$5,'Hypotheses expl (2)'!AA115)+SUMIF('Hypotheses expl (2)'!AB115,'Compte résultat prévi'!$Q$5,'Hypotheses expl (2)'!AC115)</f>
        <v>0</v>
      </c>
      <c r="R61" s="201">
        <f>+SUMIF('Hypotheses expl (2)'!R115,'Compte résultat prévi'!$R$5,'Hypotheses expl (2)'!S115)+SUMIF('Hypotheses expl (2)'!T115,'Compte résultat prévi'!$R$5,'Hypotheses expl (2)'!U115)+SUMIF('Hypotheses expl (2)'!V115,'Compte résultat prévi'!$R$5,'Hypotheses expl (2)'!W115)+SUMIF('Hypotheses expl (2)'!X115,'Compte résultat prévi'!$R$5,'Hypotheses expl (2)'!Y115)+SUMIF('Hypotheses expl (2)'!Z115,'Compte résultat prévi'!$R$5,'Hypotheses expl (2)'!AA115)+SUMIF('Hypotheses expl (2)'!AB115,'Compte résultat prévi'!$R$5,'Hypotheses expl (2)'!AC115)</f>
        <v>0</v>
      </c>
      <c r="S61" s="201">
        <f>+SUMIF('Hypotheses expl (2)'!R115,'Compte résultat prévi'!$S$5,'Hypotheses expl (2)'!S115)+SUMIF('Hypotheses expl (2)'!T115,'Compte résultat prévi'!$S$5,'Hypotheses expl (2)'!U115)+SUMIF('Hypotheses expl (2)'!V115,'Compte résultat prévi'!$S$5,'Hypotheses expl (2)'!W115)+SUMIF('Hypotheses expl (2)'!X115,'Compte résultat prévi'!$S$5,'Hypotheses expl (2)'!Y115)+SUMIF('Hypotheses expl (2)'!Z115,'Compte résultat prévi'!$S$5,'Hypotheses expl (2)'!AA115)+SUMIF('Hypotheses expl (2)'!AB115,'Compte résultat prévi'!$S$5,'Hypotheses expl (2)'!AC115)</f>
        <v>0</v>
      </c>
      <c r="T61" s="202">
        <f>+SUMIF('Hypotheses expl (2)'!R115,'Compte résultat prévi'!$T$5,'Hypotheses expl (2)'!S115)+SUMIF('Hypotheses expl (2)'!T115,'Compte résultat prévi'!$T$5,'Hypotheses expl (2)'!U115)+SUMIF('Hypotheses expl (2)'!V115,'Compte résultat prévi'!$T$5,'Hypotheses expl (2)'!W115)+SUMIF('Hypotheses expl (2)'!X115,'Compte résultat prévi'!$T$5,'Hypotheses expl (2)'!Y115)+SUMIF('Hypotheses expl (2)'!Z115,'Compte résultat prévi'!$T$5,'Hypotheses expl (2)'!AA115)+SUMIF('Hypotheses expl (2)'!AB115,'Compte résultat prévi'!$T$5,'Hypotheses expl (2)'!AC115)</f>
        <v>10600</v>
      </c>
      <c r="U61" s="203"/>
      <c r="V61" s="204"/>
    </row>
    <row r="62" outlineLevel="1">
      <c r="A62" s="198" t="str">
        <f>'Hypotheses expl'!B117</f>
        <v>Documentation</v>
      </c>
      <c r="B62" s="234">
        <v>1</v>
      </c>
      <c r="C62" s="200">
        <f>+'Hypotheses expl'!O117</f>
        <v>15000</v>
      </c>
      <c r="D62" s="201">
        <f>+SUMIF('Hypotheses expl'!R117,'Compte résultat prévi'!$D$5,'Hypotheses expl'!S117)+SUMIF('Hypotheses expl'!T117,'Compte résultat prévi'!$D$5,'Hypotheses expl'!U117)+SUMIF('Hypotheses expl'!V117,'Compte résultat prévi'!$D$5,'Hypotheses expl'!W117)+SUMIF('Hypotheses expl'!X117,'Compte résultat prévi'!$D$5,'Hypotheses expl'!Y117)+SUMIF('Hypotheses expl'!Z117,'Compte résultat prévi'!$D$5,'Hypotheses expl'!AA117)+SUMIF('Hypotheses expl'!AB117,'Compte résultat prévi'!$D$5,'Hypotheses expl'!AC117)</f>
        <v>0</v>
      </c>
      <c r="E62" s="201">
        <f>+SUMIF('Hypotheses expl'!R117,'Compte résultat prévi'!$E$5,'Hypotheses expl'!S117)+SUMIF('Hypotheses expl'!T117,'Compte résultat prévi'!$E$5,'Hypotheses expl'!U117)+SUMIF('Hypotheses expl'!V117,'Compte résultat prévi'!$E$5,'Hypotheses expl'!W117)+SUMIF('Hypotheses expl'!X117,'Compte résultat prévi'!$E$5,'Hypotheses expl'!Y117)+SUMIF('Hypotheses expl'!Z117,'Compte résultat prévi'!$E$5,'Hypotheses expl'!AA117)+SUMIF('Hypotheses expl'!AB117,'Compte résultat prévi'!$E$5,'Hypotheses expl'!AC117)</f>
        <v>0</v>
      </c>
      <c r="F62" s="201">
        <f>+SUMIF('Hypotheses expl'!R117,'Compte résultat prévi'!$F$5,'Hypotheses expl'!S117)+SUMIF('Hypotheses expl'!T117,'Compte résultat prévi'!$F$5,'Hypotheses expl'!U117)+SUMIF('Hypotheses expl'!V117,'Compte résultat prévi'!$F$5,'Hypotheses expl'!W117)+SUMIF('Hypotheses expl'!X117,'Compte résultat prévi'!$F$5,'Hypotheses expl'!Y117)+SUMIF('Hypotheses expl'!Z117,'Compte résultat prévi'!$F$5,'Hypotheses expl'!AA117)+SUMIF('Hypotheses expl'!AB117,'Compte résultat prévi'!$F$5,'Hypotheses expl'!AC117)</f>
        <v>0</v>
      </c>
      <c r="G62" s="201">
        <f>+SUMIF('Hypotheses expl'!R117,'Compte résultat prévi'!$G$5,'Hypotheses expl'!S117)+SUMIF('Hypotheses expl'!T117,'Compte résultat prévi'!$G$5,'Hypotheses expl'!U117)+SUMIF('Hypotheses expl'!V117,'Compte résultat prévi'!$G$5,'Hypotheses expl'!W117)+SUMIF('Hypotheses expl'!X117,'Compte résultat prévi'!$G$5,'Hypotheses expl'!Y117)+SUMIF('Hypotheses expl'!Z117,'Compte résultat prévi'!$G$5,'Hypotheses expl'!AA117)+SUMIF('Hypotheses expl'!AB117,'Compte résultat prévi'!$G$5,'Hypotheses expl'!AC117)</f>
        <v>0</v>
      </c>
      <c r="H62" s="202">
        <f>+SUMIF('Hypotheses expl'!R117,'Compte résultat prévi'!$H$5,'Hypotheses expl'!S117)+SUMIF('Hypotheses expl'!T117,'Compte résultat prévi'!$H$5,'Hypotheses expl'!U117)+SUMIF('Hypotheses expl'!V117,'Compte résultat prévi'!$H$5,'Hypotheses expl'!W117)+SUMIF('Hypotheses expl'!X117,'Compte résultat prévi'!$H$5,'Hypotheses expl'!Y117)+SUMIF('Hypotheses expl'!Z117,'Compte résultat prévi'!$H$5,'Hypotheses expl'!AA117)+SUMIF('Hypotheses expl'!AB117,'Compte résultat prévi'!$H$5,'Hypotheses expl'!AC117)</f>
        <v>15000</v>
      </c>
      <c r="I62" s="200">
        <f>+'Hypotheses expl (3,)'!O117</f>
        <v>15000</v>
      </c>
      <c r="J62" s="201">
        <f>+SUMIF('Hypotheses expl (3,)'!R117,'Compte résultat prévi'!$J$5,'Hypotheses expl (3,)'!S117)+SUMIF('Hypotheses expl (3,)'!T117,'Compte résultat prévi'!$J$5,'Hypotheses expl (3,)'!U117)+SUMIF('Hypotheses expl (3,)'!V117,'Compte résultat prévi'!$J$5,'Hypotheses expl (3,)'!W117)+SUMIF('Hypotheses expl (3,)'!X117,'Compte résultat prévi'!$J$5,'Hypotheses expl (3,)'!Y117)+SUMIF('Hypotheses expl (3,)'!Z117,'Compte résultat prévi'!$J$5,'Hypotheses expl (3,)'!AA117)+SUMIF('Hypotheses expl (3,)'!AB117,'Compte résultat prévi'!$J$5,'Hypotheses expl (3,)'!AC117)</f>
        <v>0</v>
      </c>
      <c r="K62" s="201">
        <f>+SUMIF('Hypotheses expl (3,)'!R117,'Compte résultat prévi'!$K$5,'Hypotheses expl (3,)'!S117)+SUMIF('Hypotheses expl (3,)'!T117,'Compte résultat prévi'!$K$5,'Hypotheses expl (3,)'!U117)+SUMIF('Hypotheses expl (3,)'!V117,'Compte résultat prévi'!$K$5,'Hypotheses expl (3,)'!W117)+SUMIF('Hypotheses expl (3,)'!X117,'Compte résultat prévi'!$K$5,'Hypotheses expl (3,)'!Y117)+SUMIF('Hypotheses expl (3,)'!Z117,'Compte résultat prévi'!$K$5,'Hypotheses expl (3,)'!AA117)+SUMIF('Hypotheses expl (3,)'!AB117,'Compte résultat prévi'!$K$5,'Hypotheses expl (3,)'!AC117)</f>
        <v>0</v>
      </c>
      <c r="L62" s="201">
        <f>+SUMIF('Hypotheses expl (3,)'!R117,'Compte résultat prévi'!$L$5,'Hypotheses expl (3,)'!S117)+SUMIF('Hypotheses expl (3,)'!T117,'Compte résultat prévi'!$L$5,'Hypotheses expl (3,)'!U117)+SUMIF('Hypotheses expl (3,)'!V117,'Compte résultat prévi'!$L$5,'Hypotheses expl (3,)'!W117)+SUMIF('Hypotheses expl (3,)'!X117,'Compte résultat prévi'!$L$5,'Hypotheses expl (3,)'!Y117)+SUMIF('Hypotheses expl (3,)'!Z117,'Compte résultat prévi'!$L$5,'Hypotheses expl (3,)'!AA117)+SUMIF('Hypotheses expl (3,)'!AB117,'Compte résultat prévi'!$L$5,'Hypotheses expl (3,)'!AC117)</f>
        <v>0</v>
      </c>
      <c r="M62" s="201">
        <f>+SUMIF('Hypotheses expl (3,)'!R117,'Compte résultat prévi'!$M$5,'Hypotheses expl (3,)'!S117)+SUMIF('Hypotheses expl (3,)'!T117,'Compte résultat prévi'!$M$5,'Hypotheses expl (3,)'!U117)+SUMIF('Hypotheses expl (3,)'!V117,'Compte résultat prévi'!$M$5,'Hypotheses expl (3,)'!W117)+SUMIF('Hypotheses expl (3,)'!X117,'Compte résultat prévi'!$M$5,'Hypotheses expl (3,)'!Y117)+SUMIF('Hypotheses expl (3,)'!Z117,'Compte résultat prévi'!$M$5,'Hypotheses expl (3,)'!AA117)+SUMIF('Hypotheses expl (3,)'!AB117,'Compte résultat prévi'!$M$5,'Hypotheses expl (3,)'!AC117)</f>
        <v>0</v>
      </c>
      <c r="N62" s="202">
        <f>+SUMIF('Hypotheses expl (3,)'!R117,'Compte résultat prévi'!$N$5,'Hypotheses expl (3,)'!S117)+SUMIF('Hypotheses expl (3,)'!T117,'Compte résultat prévi'!$N$5,'Hypotheses expl (3,)'!U117)+SUMIF('Hypotheses expl (3,)'!V117,'Compte résultat prévi'!$N$5,'Hypotheses expl (3,)'!W117)+SUMIF('Hypotheses expl (3,)'!X117,'Compte résultat prévi'!$N$5,'Hypotheses expl (3,)'!Y117)+SUMIF('Hypotheses expl (3,)'!Z117,'Compte résultat prévi'!$N$5,'Hypotheses expl (3,)'!AA117)+SUMIF('Hypotheses expl (3,)'!AB117,'Compte résultat prévi'!$N$5,'Hypotheses expl (3,)'!AC117)</f>
        <v>15000</v>
      </c>
      <c r="O62" s="200">
        <f>+'Hypotheses expl (2)'!O116</f>
        <v>15000</v>
      </c>
      <c r="P62" s="201">
        <f>+SUMIF('Hypotheses expl (2)'!R116,'Compte résultat prévi'!$P$5,'Hypotheses expl (2)'!S116)+SUMIF('Hypotheses expl (2)'!T116,'Compte résultat prévi'!$P$5,'Hypotheses expl (2)'!U116)+SUMIF('Hypotheses expl (2)'!V116,'Compte résultat prévi'!$P$5,'Hypotheses expl (2)'!W116)+SUMIF('Hypotheses expl (2)'!X116,'Compte résultat prévi'!$P$5,'Hypotheses expl (2)'!Y116)+SUMIF('Hypotheses expl (2)'!Z116,'Compte résultat prévi'!$P$5,'Hypotheses expl (2)'!AA116)+SUMIF('Hypotheses expl (2)'!AB116,'Compte résultat prévi'!$P$5,'Hypotheses expl (2)'!AC116)</f>
        <v>0</v>
      </c>
      <c r="Q62" s="201">
        <f>+SUMIF('Hypotheses expl (2)'!R116,'Compte résultat prévi'!$Q$5,'Hypotheses expl (2)'!S116)+SUMIF('Hypotheses expl (2)'!T116,'Compte résultat prévi'!$Q$5,'Hypotheses expl (2)'!U116)+SUMIF('Hypotheses expl (2)'!V116,'Compte résultat prévi'!$Q$5,'Hypotheses expl (2)'!W116)+SUMIF('Hypotheses expl (2)'!X116,'Compte résultat prévi'!$Q$5,'Hypotheses expl (2)'!Y116)+SUMIF('Hypotheses expl (2)'!Z116,'Compte résultat prévi'!$Q$5,'Hypotheses expl (2)'!AA116)+SUMIF('Hypotheses expl (2)'!AB116,'Compte résultat prévi'!$Q$5,'Hypotheses expl (2)'!AC116)</f>
        <v>0</v>
      </c>
      <c r="R62" s="201">
        <f>+SUMIF('Hypotheses expl (2)'!R116,'Compte résultat prévi'!$R$5,'Hypotheses expl (2)'!S116)+SUMIF('Hypotheses expl (2)'!T116,'Compte résultat prévi'!$R$5,'Hypotheses expl (2)'!U116)+SUMIF('Hypotheses expl (2)'!V116,'Compte résultat prévi'!$R$5,'Hypotheses expl (2)'!W116)+SUMIF('Hypotheses expl (2)'!X116,'Compte résultat prévi'!$R$5,'Hypotheses expl (2)'!Y116)+SUMIF('Hypotheses expl (2)'!Z116,'Compte résultat prévi'!$R$5,'Hypotheses expl (2)'!AA116)+SUMIF('Hypotheses expl (2)'!AB116,'Compte résultat prévi'!$R$5,'Hypotheses expl (2)'!AC116)</f>
        <v>0</v>
      </c>
      <c r="S62" s="201">
        <f>+SUMIF('Hypotheses expl (2)'!R116,'Compte résultat prévi'!$S$5,'Hypotheses expl (2)'!S116)+SUMIF('Hypotheses expl (2)'!T116,'Compte résultat prévi'!$S$5,'Hypotheses expl (2)'!U116)+SUMIF('Hypotheses expl (2)'!V116,'Compte résultat prévi'!$S$5,'Hypotheses expl (2)'!W116)+SUMIF('Hypotheses expl (2)'!X116,'Compte résultat prévi'!$S$5,'Hypotheses expl (2)'!Y116)+SUMIF('Hypotheses expl (2)'!Z116,'Compte résultat prévi'!$S$5,'Hypotheses expl (2)'!AA116)+SUMIF('Hypotheses expl (2)'!AB116,'Compte résultat prévi'!$S$5,'Hypotheses expl (2)'!AC116)</f>
        <v>0</v>
      </c>
      <c r="T62" s="202">
        <f>+SUMIF('Hypotheses expl (2)'!R116,'Compte résultat prévi'!$T$5,'Hypotheses expl (2)'!S116)+SUMIF('Hypotheses expl (2)'!T116,'Compte résultat prévi'!$T$5,'Hypotheses expl (2)'!U116)+SUMIF('Hypotheses expl (2)'!V116,'Compte résultat prévi'!$T$5,'Hypotheses expl (2)'!W116)+SUMIF('Hypotheses expl (2)'!X116,'Compte résultat prévi'!$T$5,'Hypotheses expl (2)'!Y116)+SUMIF('Hypotheses expl (2)'!Z116,'Compte résultat prévi'!$T$5,'Hypotheses expl (2)'!AA116)+SUMIF('Hypotheses expl (2)'!AB116,'Compte résultat prévi'!$T$5,'Hypotheses expl (2)'!AC116)</f>
        <v>15000</v>
      </c>
      <c r="U62" s="203"/>
      <c r="V62" s="204"/>
    </row>
    <row r="63" outlineLevel="1">
      <c r="A63" s="198" t="str">
        <f>'Hypotheses expl'!B118</f>
        <v xml:space="preserve">Honoraires EC/CAC</v>
      </c>
      <c r="B63" s="234">
        <v>4</v>
      </c>
      <c r="C63" s="200">
        <f>+'Hypotheses expl'!O118</f>
        <v>32239.999999999996</v>
      </c>
      <c r="D63" s="201">
        <f>+SUMIF('Hypotheses expl'!R118,'Compte résultat prévi'!$D$5,'Hypotheses expl'!S118)+SUMIF('Hypotheses expl'!T118,'Compte résultat prévi'!$D$5,'Hypotheses expl'!U118)+SUMIF('Hypotheses expl'!V118,'Compte résultat prévi'!$D$5,'Hypotheses expl'!W118)+SUMIF('Hypotheses expl'!X118,'Compte résultat prévi'!$D$5,'Hypotheses expl'!Y118)+SUMIF('Hypotheses expl'!Z118,'Compte résultat prévi'!$D$5,'Hypotheses expl'!AA118)+SUMIF('Hypotheses expl'!AB118,'Compte résultat prévi'!$D$5,'Hypotheses expl'!AC118)</f>
        <v>0</v>
      </c>
      <c r="E63" s="201">
        <f>+SUMIF('Hypotheses expl'!R118,'Compte résultat prévi'!$E$5,'Hypotheses expl'!S118)+SUMIF('Hypotheses expl'!T118,'Compte résultat prévi'!$E$5,'Hypotheses expl'!U118)+SUMIF('Hypotheses expl'!V118,'Compte résultat prévi'!$E$5,'Hypotheses expl'!W118)+SUMIF('Hypotheses expl'!X118,'Compte résultat prévi'!$E$5,'Hypotheses expl'!Y118)+SUMIF('Hypotheses expl'!Z118,'Compte résultat prévi'!$E$5,'Hypotheses expl'!AA118)+SUMIF('Hypotheses expl'!AB118,'Compte résultat prévi'!$E$5,'Hypotheses expl'!AC118)</f>
        <v>0</v>
      </c>
      <c r="F63" s="201">
        <f>+SUMIF('Hypotheses expl'!R118,'Compte résultat prévi'!$F$5,'Hypotheses expl'!S118)+SUMIF('Hypotheses expl'!T118,'Compte résultat prévi'!$F$5,'Hypotheses expl'!U118)+SUMIF('Hypotheses expl'!V118,'Compte résultat prévi'!$F$5,'Hypotheses expl'!W118)+SUMIF('Hypotheses expl'!X118,'Compte résultat prévi'!$F$5,'Hypotheses expl'!Y118)+SUMIF('Hypotheses expl'!Z118,'Compte résultat prévi'!$F$5,'Hypotheses expl'!AA118)+SUMIF('Hypotheses expl'!AB118,'Compte résultat prévi'!$F$5,'Hypotheses expl'!AC118)</f>
        <v>0</v>
      </c>
      <c r="G63" s="201">
        <f>+SUMIF('Hypotheses expl'!R118,'Compte résultat prévi'!$G$5,'Hypotheses expl'!S118)+SUMIF('Hypotheses expl'!T118,'Compte résultat prévi'!$G$5,'Hypotheses expl'!U118)+SUMIF('Hypotheses expl'!V118,'Compte résultat prévi'!$G$5,'Hypotheses expl'!W118)+SUMIF('Hypotheses expl'!X118,'Compte résultat prévi'!$G$5,'Hypotheses expl'!Y118)+SUMIF('Hypotheses expl'!Z118,'Compte résultat prévi'!$G$5,'Hypotheses expl'!AA118)+SUMIF('Hypotheses expl'!AB118,'Compte résultat prévi'!$G$5,'Hypotheses expl'!AC118)</f>
        <v>0</v>
      </c>
      <c r="H63" s="202">
        <f>+SUMIF('Hypotheses expl'!R118,'Compte résultat prévi'!$H$5,'Hypotheses expl'!S118)+SUMIF('Hypotheses expl'!T118,'Compte résultat prévi'!$H$5,'Hypotheses expl'!U118)+SUMIF('Hypotheses expl'!V118,'Compte résultat prévi'!$H$5,'Hypotheses expl'!W118)+SUMIF('Hypotheses expl'!X118,'Compte résultat prévi'!$H$5,'Hypotheses expl'!Y118)+SUMIF('Hypotheses expl'!Z118,'Compte résultat prévi'!$H$5,'Hypotheses expl'!AA118)+SUMIF('Hypotheses expl'!AB118,'Compte résultat prévi'!$H$5,'Hypotheses expl'!AC118)</f>
        <v>32239.999999999996</v>
      </c>
      <c r="I63" s="200">
        <f>+'Hypotheses expl (3,)'!O118</f>
        <v>32239.999999999996</v>
      </c>
      <c r="J63" s="201">
        <f>+SUMIF('Hypotheses expl (3,)'!R118,'Compte résultat prévi'!$J$5,'Hypotheses expl (3,)'!S118)+SUMIF('Hypotheses expl (3,)'!T118,'Compte résultat prévi'!$J$5,'Hypotheses expl (3,)'!U118)+SUMIF('Hypotheses expl (3,)'!V118,'Compte résultat prévi'!$J$5,'Hypotheses expl (3,)'!W118)+SUMIF('Hypotheses expl (3,)'!X118,'Compte résultat prévi'!$J$5,'Hypotheses expl (3,)'!Y118)+SUMIF('Hypotheses expl (3,)'!Z118,'Compte résultat prévi'!$J$5,'Hypotheses expl (3,)'!AA118)+SUMIF('Hypotheses expl (3,)'!AB118,'Compte résultat prévi'!$J$5,'Hypotheses expl (3,)'!AC118)</f>
        <v>0</v>
      </c>
      <c r="K63" s="201">
        <f>+SUMIF('Hypotheses expl (3,)'!R118,'Compte résultat prévi'!$K$5,'Hypotheses expl (3,)'!S118)+SUMIF('Hypotheses expl (3,)'!T118,'Compte résultat prévi'!$K$5,'Hypotheses expl (3,)'!U118)+SUMIF('Hypotheses expl (3,)'!V118,'Compte résultat prévi'!$K$5,'Hypotheses expl (3,)'!W118)+SUMIF('Hypotheses expl (3,)'!X118,'Compte résultat prévi'!$K$5,'Hypotheses expl (3,)'!Y118)+SUMIF('Hypotheses expl (3,)'!Z118,'Compte résultat prévi'!$K$5,'Hypotheses expl (3,)'!AA118)+SUMIF('Hypotheses expl (3,)'!AB118,'Compte résultat prévi'!$K$5,'Hypotheses expl (3,)'!AC118)</f>
        <v>0</v>
      </c>
      <c r="L63" s="201">
        <f>+SUMIF('Hypotheses expl (3,)'!R118,'Compte résultat prévi'!$L$5,'Hypotheses expl (3,)'!S118)+SUMIF('Hypotheses expl (3,)'!T118,'Compte résultat prévi'!$L$5,'Hypotheses expl (3,)'!U118)+SUMIF('Hypotheses expl (3,)'!V118,'Compte résultat prévi'!$L$5,'Hypotheses expl (3,)'!W118)+SUMIF('Hypotheses expl (3,)'!X118,'Compte résultat prévi'!$L$5,'Hypotheses expl (3,)'!Y118)+SUMIF('Hypotheses expl (3,)'!Z118,'Compte résultat prévi'!$L$5,'Hypotheses expl (3,)'!AA118)+SUMIF('Hypotheses expl (3,)'!AB118,'Compte résultat prévi'!$L$5,'Hypotheses expl (3,)'!AC118)</f>
        <v>0</v>
      </c>
      <c r="M63" s="201">
        <f>+SUMIF('Hypotheses expl (3,)'!R118,'Compte résultat prévi'!$M$5,'Hypotheses expl (3,)'!S118)+SUMIF('Hypotheses expl (3,)'!T118,'Compte résultat prévi'!$M$5,'Hypotheses expl (3,)'!U118)+SUMIF('Hypotheses expl (3,)'!V118,'Compte résultat prévi'!$M$5,'Hypotheses expl (3,)'!W118)+SUMIF('Hypotheses expl (3,)'!X118,'Compte résultat prévi'!$M$5,'Hypotheses expl (3,)'!Y118)+SUMIF('Hypotheses expl (3,)'!Z118,'Compte résultat prévi'!$M$5,'Hypotheses expl (3,)'!AA118)+SUMIF('Hypotheses expl (3,)'!AB118,'Compte résultat prévi'!$M$5,'Hypotheses expl (3,)'!AC118)</f>
        <v>0</v>
      </c>
      <c r="N63" s="202">
        <f>+SUMIF('Hypotheses expl (3,)'!R118,'Compte résultat prévi'!$N$5,'Hypotheses expl (3,)'!S118)+SUMIF('Hypotheses expl (3,)'!T118,'Compte résultat prévi'!$N$5,'Hypotheses expl (3,)'!U118)+SUMIF('Hypotheses expl (3,)'!V118,'Compte résultat prévi'!$N$5,'Hypotheses expl (3,)'!W118)+SUMIF('Hypotheses expl (3,)'!X118,'Compte résultat prévi'!$N$5,'Hypotheses expl (3,)'!Y118)+SUMIF('Hypotheses expl (3,)'!Z118,'Compte résultat prévi'!$N$5,'Hypotheses expl (3,)'!AA118)+SUMIF('Hypotheses expl (3,)'!AB118,'Compte résultat prévi'!$N$5,'Hypotheses expl (3,)'!AC118)</f>
        <v>32239.999999999996</v>
      </c>
      <c r="O63" s="200">
        <f>+'Hypotheses expl (2)'!O117</f>
        <v>32239.999999999996</v>
      </c>
      <c r="P63" s="201">
        <f>+SUMIF('Hypotheses expl (2)'!R117,'Compte résultat prévi'!$P$5,'Hypotheses expl (2)'!S117)+SUMIF('Hypotheses expl (2)'!T117,'Compte résultat prévi'!$P$5,'Hypotheses expl (2)'!U117)+SUMIF('Hypotheses expl (2)'!V117,'Compte résultat prévi'!$P$5,'Hypotheses expl (2)'!W117)+SUMIF('Hypotheses expl (2)'!X117,'Compte résultat prévi'!$P$5,'Hypotheses expl (2)'!Y117)+SUMIF('Hypotheses expl (2)'!Z117,'Compte résultat prévi'!$P$5,'Hypotheses expl (2)'!AA117)+SUMIF('Hypotheses expl (2)'!AB117,'Compte résultat prévi'!$P$5,'Hypotheses expl (2)'!AC117)</f>
        <v>0</v>
      </c>
      <c r="Q63" s="201">
        <f>+SUMIF('Hypotheses expl (2)'!R117,'Compte résultat prévi'!$Q$5,'Hypotheses expl (2)'!S117)+SUMIF('Hypotheses expl (2)'!T117,'Compte résultat prévi'!$Q$5,'Hypotheses expl (2)'!U117)+SUMIF('Hypotheses expl (2)'!V117,'Compte résultat prévi'!$Q$5,'Hypotheses expl (2)'!W117)+SUMIF('Hypotheses expl (2)'!X117,'Compte résultat prévi'!$Q$5,'Hypotheses expl (2)'!Y117)+SUMIF('Hypotheses expl (2)'!Z117,'Compte résultat prévi'!$Q$5,'Hypotheses expl (2)'!AA117)+SUMIF('Hypotheses expl (2)'!AB117,'Compte résultat prévi'!$Q$5,'Hypotheses expl (2)'!AC117)</f>
        <v>0</v>
      </c>
      <c r="R63" s="201">
        <f>+SUMIF('Hypotheses expl (2)'!R117,'Compte résultat prévi'!$R$5,'Hypotheses expl (2)'!S117)+SUMIF('Hypotheses expl (2)'!T117,'Compte résultat prévi'!$R$5,'Hypotheses expl (2)'!U117)+SUMIF('Hypotheses expl (2)'!V117,'Compte résultat prévi'!$R$5,'Hypotheses expl (2)'!W117)+SUMIF('Hypotheses expl (2)'!X117,'Compte résultat prévi'!$R$5,'Hypotheses expl (2)'!Y117)+SUMIF('Hypotheses expl (2)'!Z117,'Compte résultat prévi'!$R$5,'Hypotheses expl (2)'!AA117)+SUMIF('Hypotheses expl (2)'!AB117,'Compte résultat prévi'!$R$5,'Hypotheses expl (2)'!AC117)</f>
        <v>0</v>
      </c>
      <c r="S63" s="201">
        <f>+SUMIF('Hypotheses expl (2)'!R117,'Compte résultat prévi'!$S$5,'Hypotheses expl (2)'!S117)+SUMIF('Hypotheses expl (2)'!T117,'Compte résultat prévi'!$S$5,'Hypotheses expl (2)'!U117)+SUMIF('Hypotheses expl (2)'!V117,'Compte résultat prévi'!$S$5,'Hypotheses expl (2)'!W117)+SUMIF('Hypotheses expl (2)'!X117,'Compte résultat prévi'!$S$5,'Hypotheses expl (2)'!Y117)+SUMIF('Hypotheses expl (2)'!Z117,'Compte résultat prévi'!$S$5,'Hypotheses expl (2)'!AA117)+SUMIF('Hypotheses expl (2)'!AB117,'Compte résultat prévi'!$S$5,'Hypotheses expl (2)'!AC117)</f>
        <v>0</v>
      </c>
      <c r="T63" s="202">
        <f>+SUMIF('Hypotheses expl (2)'!R117,'Compte résultat prévi'!$T$5,'Hypotheses expl (2)'!S117)+SUMIF('Hypotheses expl (2)'!T117,'Compte résultat prévi'!$T$5,'Hypotheses expl (2)'!U117)+SUMIF('Hypotheses expl (2)'!V117,'Compte résultat prévi'!$T$5,'Hypotheses expl (2)'!W117)+SUMIF('Hypotheses expl (2)'!X117,'Compte résultat prévi'!$T$5,'Hypotheses expl (2)'!Y117)+SUMIF('Hypotheses expl (2)'!Z117,'Compte résultat prévi'!$T$5,'Hypotheses expl (2)'!AA117)+SUMIF('Hypotheses expl (2)'!AB117,'Compte résultat prévi'!$T$5,'Hypotheses expl (2)'!AC117)</f>
        <v>32239.999999999996</v>
      </c>
      <c r="U63" s="203"/>
      <c r="V63" s="204"/>
    </row>
    <row r="64" outlineLevel="1">
      <c r="A64" s="198" t="str">
        <f>'Hypotheses expl'!B119</f>
        <v xml:space="preserve">Honoraires paie</v>
      </c>
      <c r="B64" s="234">
        <v>3</v>
      </c>
      <c r="C64" s="200">
        <f>+'Hypotheses expl'!O119</f>
        <v>15000</v>
      </c>
      <c r="D64" s="201">
        <f>+SUMIF('Hypotheses expl'!R119,'Compte résultat prévi'!$D$5,'Hypotheses expl'!S119)+SUMIF('Hypotheses expl'!T119,'Compte résultat prévi'!$D$5,'Hypotheses expl'!U119)+SUMIF('Hypotheses expl'!V119,'Compte résultat prévi'!$D$5,'Hypotheses expl'!W119)+SUMIF('Hypotheses expl'!X119,'Compte résultat prévi'!$D$5,'Hypotheses expl'!Y119)+SUMIF('Hypotheses expl'!Z119,'Compte résultat prévi'!$D$5,'Hypotheses expl'!AA119)+SUMIF('Hypotheses expl'!AB119,'Compte résultat prévi'!$D$5,'Hypotheses expl'!AC119)</f>
        <v>0</v>
      </c>
      <c r="E64" s="201">
        <f>+SUMIF('Hypotheses expl'!R119,'Compte résultat prévi'!$E$5,'Hypotheses expl'!S119)+SUMIF('Hypotheses expl'!T119,'Compte résultat prévi'!$E$5,'Hypotheses expl'!U119)+SUMIF('Hypotheses expl'!V119,'Compte résultat prévi'!$E$5,'Hypotheses expl'!W119)+SUMIF('Hypotheses expl'!X119,'Compte résultat prévi'!$E$5,'Hypotheses expl'!Y119)+SUMIF('Hypotheses expl'!Z119,'Compte résultat prévi'!$E$5,'Hypotheses expl'!AA119)+SUMIF('Hypotheses expl'!AB119,'Compte résultat prévi'!$E$5,'Hypotheses expl'!AC119)</f>
        <v>0</v>
      </c>
      <c r="F64" s="201">
        <f>+SUMIF('Hypotheses expl'!R119,'Compte résultat prévi'!$F$5,'Hypotheses expl'!S119)+SUMIF('Hypotheses expl'!T119,'Compte résultat prévi'!$F$5,'Hypotheses expl'!U119)+SUMIF('Hypotheses expl'!V119,'Compte résultat prévi'!$F$5,'Hypotheses expl'!W119)+SUMIF('Hypotheses expl'!X119,'Compte résultat prévi'!$F$5,'Hypotheses expl'!Y119)+SUMIF('Hypotheses expl'!Z119,'Compte résultat prévi'!$F$5,'Hypotheses expl'!AA119)+SUMIF('Hypotheses expl'!AB119,'Compte résultat prévi'!$F$5,'Hypotheses expl'!AC119)</f>
        <v>0</v>
      </c>
      <c r="G64" s="201">
        <f>+SUMIF('Hypotheses expl'!R119,'Compte résultat prévi'!$G$5,'Hypotheses expl'!S119)+SUMIF('Hypotheses expl'!T119,'Compte résultat prévi'!$G$5,'Hypotheses expl'!U119)+SUMIF('Hypotheses expl'!V119,'Compte résultat prévi'!$G$5,'Hypotheses expl'!W119)+SUMIF('Hypotheses expl'!X119,'Compte résultat prévi'!$G$5,'Hypotheses expl'!Y119)+SUMIF('Hypotheses expl'!Z119,'Compte résultat prévi'!$G$5,'Hypotheses expl'!AA119)+SUMIF('Hypotheses expl'!AB119,'Compte résultat prévi'!$G$5,'Hypotheses expl'!AC119)</f>
        <v>0</v>
      </c>
      <c r="H64" s="202">
        <f>+SUMIF('Hypotheses expl'!R119,'Compte résultat prévi'!$H$5,'Hypotheses expl'!S119)+SUMIF('Hypotheses expl'!T119,'Compte résultat prévi'!$H$5,'Hypotheses expl'!U119)+SUMIF('Hypotheses expl'!V119,'Compte résultat prévi'!$H$5,'Hypotheses expl'!W119)+SUMIF('Hypotheses expl'!X119,'Compte résultat prévi'!$H$5,'Hypotheses expl'!Y119)+SUMIF('Hypotheses expl'!Z119,'Compte résultat prévi'!$H$5,'Hypotheses expl'!AA119)+SUMIF('Hypotheses expl'!AB119,'Compte résultat prévi'!$H$5,'Hypotheses expl'!AC119)</f>
        <v>15000</v>
      </c>
      <c r="I64" s="200">
        <f>+'Hypotheses expl (3,)'!O119</f>
        <v>15000</v>
      </c>
      <c r="J64" s="201">
        <f>+SUMIF('Hypotheses expl (3,)'!R119,'Compte résultat prévi'!$J$5,'Hypotheses expl (3,)'!S119)+SUMIF('Hypotheses expl (3,)'!T119,'Compte résultat prévi'!$J$5,'Hypotheses expl (3,)'!U119)+SUMIF('Hypotheses expl (3,)'!V119,'Compte résultat prévi'!$J$5,'Hypotheses expl (3,)'!W119)+SUMIF('Hypotheses expl (3,)'!X119,'Compte résultat prévi'!$J$5,'Hypotheses expl (3,)'!Y119)+SUMIF('Hypotheses expl (3,)'!Z119,'Compte résultat prévi'!$J$5,'Hypotheses expl (3,)'!AA119)+SUMIF('Hypotheses expl (3,)'!AB119,'Compte résultat prévi'!$J$5,'Hypotheses expl (3,)'!AC119)</f>
        <v>0</v>
      </c>
      <c r="K64" s="201">
        <f>+SUMIF('Hypotheses expl (3,)'!R119,'Compte résultat prévi'!$K$5,'Hypotheses expl (3,)'!S119)+SUMIF('Hypotheses expl (3,)'!T119,'Compte résultat prévi'!$K$5,'Hypotheses expl (3,)'!U119)+SUMIF('Hypotheses expl (3,)'!V119,'Compte résultat prévi'!$K$5,'Hypotheses expl (3,)'!W119)+SUMIF('Hypotheses expl (3,)'!X119,'Compte résultat prévi'!$K$5,'Hypotheses expl (3,)'!Y119)+SUMIF('Hypotheses expl (3,)'!Z119,'Compte résultat prévi'!$K$5,'Hypotheses expl (3,)'!AA119)+SUMIF('Hypotheses expl (3,)'!AB119,'Compte résultat prévi'!$K$5,'Hypotheses expl (3,)'!AC119)</f>
        <v>0</v>
      </c>
      <c r="L64" s="201">
        <f>+SUMIF('Hypotheses expl (3,)'!R119,'Compte résultat prévi'!$L$5,'Hypotheses expl (3,)'!S119)+SUMIF('Hypotheses expl (3,)'!T119,'Compte résultat prévi'!$L$5,'Hypotheses expl (3,)'!U119)+SUMIF('Hypotheses expl (3,)'!V119,'Compte résultat prévi'!$L$5,'Hypotheses expl (3,)'!W119)+SUMIF('Hypotheses expl (3,)'!X119,'Compte résultat prévi'!$L$5,'Hypotheses expl (3,)'!Y119)+SUMIF('Hypotheses expl (3,)'!Z119,'Compte résultat prévi'!$L$5,'Hypotheses expl (3,)'!AA119)+SUMIF('Hypotheses expl (3,)'!AB119,'Compte résultat prévi'!$L$5,'Hypotheses expl (3,)'!AC119)</f>
        <v>0</v>
      </c>
      <c r="M64" s="201">
        <f>+SUMIF('Hypotheses expl (3,)'!R119,'Compte résultat prévi'!$M$5,'Hypotheses expl (3,)'!S119)+SUMIF('Hypotheses expl (3,)'!T119,'Compte résultat prévi'!$M$5,'Hypotheses expl (3,)'!U119)+SUMIF('Hypotheses expl (3,)'!V119,'Compte résultat prévi'!$M$5,'Hypotheses expl (3,)'!W119)+SUMIF('Hypotheses expl (3,)'!X119,'Compte résultat prévi'!$M$5,'Hypotheses expl (3,)'!Y119)+SUMIF('Hypotheses expl (3,)'!Z119,'Compte résultat prévi'!$M$5,'Hypotheses expl (3,)'!AA119)+SUMIF('Hypotheses expl (3,)'!AB119,'Compte résultat prévi'!$M$5,'Hypotheses expl (3,)'!AC119)</f>
        <v>0</v>
      </c>
      <c r="N64" s="202">
        <f>+SUMIF('Hypotheses expl (3,)'!R119,'Compte résultat prévi'!$N$5,'Hypotheses expl (3,)'!S119)+SUMIF('Hypotheses expl (3,)'!T119,'Compte résultat prévi'!$N$5,'Hypotheses expl (3,)'!U119)+SUMIF('Hypotheses expl (3,)'!V119,'Compte résultat prévi'!$N$5,'Hypotheses expl (3,)'!W119)+SUMIF('Hypotheses expl (3,)'!X119,'Compte résultat prévi'!$N$5,'Hypotheses expl (3,)'!Y119)+SUMIF('Hypotheses expl (3,)'!Z119,'Compte résultat prévi'!$N$5,'Hypotheses expl (3,)'!AA119)+SUMIF('Hypotheses expl (3,)'!AB119,'Compte résultat prévi'!$N$5,'Hypotheses expl (3,)'!AC119)</f>
        <v>15000</v>
      </c>
      <c r="O64" s="200">
        <f>+'Hypotheses expl (2)'!O118</f>
        <v>15000</v>
      </c>
      <c r="P64" s="201">
        <f>+SUMIF('Hypotheses expl (2)'!R118,'Compte résultat prévi'!$P$5,'Hypotheses expl (2)'!S118)+SUMIF('Hypotheses expl (2)'!T118,'Compte résultat prévi'!$P$5,'Hypotheses expl (2)'!U118)+SUMIF('Hypotheses expl (2)'!V118,'Compte résultat prévi'!$P$5,'Hypotheses expl (2)'!W118)+SUMIF('Hypotheses expl (2)'!X118,'Compte résultat prévi'!$P$5,'Hypotheses expl (2)'!Y118)+SUMIF('Hypotheses expl (2)'!Z118,'Compte résultat prévi'!$P$5,'Hypotheses expl (2)'!AA118)+SUMIF('Hypotheses expl (2)'!AB118,'Compte résultat prévi'!$P$5,'Hypotheses expl (2)'!AC118)</f>
        <v>0</v>
      </c>
      <c r="Q64" s="201">
        <f>+SUMIF('Hypotheses expl (2)'!R118,'Compte résultat prévi'!$Q$5,'Hypotheses expl (2)'!S118)+SUMIF('Hypotheses expl (2)'!T118,'Compte résultat prévi'!$Q$5,'Hypotheses expl (2)'!U118)+SUMIF('Hypotheses expl (2)'!V118,'Compte résultat prévi'!$Q$5,'Hypotheses expl (2)'!W118)+SUMIF('Hypotheses expl (2)'!X118,'Compte résultat prévi'!$Q$5,'Hypotheses expl (2)'!Y118)+SUMIF('Hypotheses expl (2)'!Z118,'Compte résultat prévi'!$Q$5,'Hypotheses expl (2)'!AA118)+SUMIF('Hypotheses expl (2)'!AB118,'Compte résultat prévi'!$Q$5,'Hypotheses expl (2)'!AC118)</f>
        <v>0</v>
      </c>
      <c r="R64" s="201">
        <f>+SUMIF('Hypotheses expl (2)'!R118,'Compte résultat prévi'!$R$5,'Hypotheses expl (2)'!S118)+SUMIF('Hypotheses expl (2)'!T118,'Compte résultat prévi'!$R$5,'Hypotheses expl (2)'!U118)+SUMIF('Hypotheses expl (2)'!V118,'Compte résultat prévi'!$R$5,'Hypotheses expl (2)'!W118)+SUMIF('Hypotheses expl (2)'!X118,'Compte résultat prévi'!$R$5,'Hypotheses expl (2)'!Y118)+SUMIF('Hypotheses expl (2)'!Z118,'Compte résultat prévi'!$R$5,'Hypotheses expl (2)'!AA118)+SUMIF('Hypotheses expl (2)'!AB118,'Compte résultat prévi'!$R$5,'Hypotheses expl (2)'!AC118)</f>
        <v>0</v>
      </c>
      <c r="S64" s="201">
        <f>+SUMIF('Hypotheses expl (2)'!R118,'Compte résultat prévi'!$S$5,'Hypotheses expl (2)'!S118)+SUMIF('Hypotheses expl (2)'!T118,'Compte résultat prévi'!$S$5,'Hypotheses expl (2)'!U118)+SUMIF('Hypotheses expl (2)'!V118,'Compte résultat prévi'!$S$5,'Hypotheses expl (2)'!W118)+SUMIF('Hypotheses expl (2)'!X118,'Compte résultat prévi'!$S$5,'Hypotheses expl (2)'!Y118)+SUMIF('Hypotheses expl (2)'!Z118,'Compte résultat prévi'!$S$5,'Hypotheses expl (2)'!AA118)+SUMIF('Hypotheses expl (2)'!AB118,'Compte résultat prévi'!$S$5,'Hypotheses expl (2)'!AC118)</f>
        <v>0</v>
      </c>
      <c r="T64" s="202">
        <f>+SUMIF('Hypotheses expl (2)'!R118,'Compte résultat prévi'!$T$5,'Hypotheses expl (2)'!S118)+SUMIF('Hypotheses expl (2)'!T118,'Compte résultat prévi'!$T$5,'Hypotheses expl (2)'!U118)+SUMIF('Hypotheses expl (2)'!V118,'Compte résultat prévi'!$T$5,'Hypotheses expl (2)'!W118)+SUMIF('Hypotheses expl (2)'!X118,'Compte résultat prévi'!$T$5,'Hypotheses expl (2)'!Y118)+SUMIF('Hypotheses expl (2)'!Z118,'Compte résultat prévi'!$T$5,'Hypotheses expl (2)'!AA118)+SUMIF('Hypotheses expl (2)'!AB118,'Compte résultat prévi'!$T$5,'Hypotheses expl (2)'!AC118)</f>
        <v>15000</v>
      </c>
      <c r="U64" s="203"/>
      <c r="V64" s="204"/>
    </row>
    <row r="65" outlineLevel="1">
      <c r="A65" s="198" t="str">
        <f>'Hypotheses expl'!B120</f>
        <v xml:space="preserve">Honoraires divers</v>
      </c>
      <c r="B65" s="234">
        <v>4</v>
      </c>
      <c r="C65" s="200">
        <f>+'Hypotheses expl'!O120</f>
        <v>1500</v>
      </c>
      <c r="D65" s="201">
        <f>+SUMIF('Hypotheses expl'!R120,'Compte résultat prévi'!$D$5,'Hypotheses expl'!S120)+SUMIF('Hypotheses expl'!T120,'Compte résultat prévi'!$D$5,'Hypotheses expl'!U120)+SUMIF('Hypotheses expl'!V120,'Compte résultat prévi'!$D$5,'Hypotheses expl'!W120)+SUMIF('Hypotheses expl'!X120,'Compte résultat prévi'!$D$5,'Hypotheses expl'!Y120)+SUMIF('Hypotheses expl'!Z120,'Compte résultat prévi'!$D$5,'Hypotheses expl'!AA120)+SUMIF('Hypotheses expl'!AB120,'Compte résultat prévi'!$D$5,'Hypotheses expl'!AC120)</f>
        <v>0</v>
      </c>
      <c r="E65" s="201">
        <f>+SUMIF('Hypotheses expl'!R120,'Compte résultat prévi'!$E$5,'Hypotheses expl'!S120)+SUMIF('Hypotheses expl'!T120,'Compte résultat prévi'!$E$5,'Hypotheses expl'!U120)+SUMIF('Hypotheses expl'!V120,'Compte résultat prévi'!$E$5,'Hypotheses expl'!W120)+SUMIF('Hypotheses expl'!X120,'Compte résultat prévi'!$E$5,'Hypotheses expl'!Y120)+SUMIF('Hypotheses expl'!Z120,'Compte résultat prévi'!$E$5,'Hypotheses expl'!AA120)+SUMIF('Hypotheses expl'!AB120,'Compte résultat prévi'!$E$5,'Hypotheses expl'!AC120)</f>
        <v>0</v>
      </c>
      <c r="F65" s="201">
        <f>+SUMIF('Hypotheses expl'!R120,'Compte résultat prévi'!$F$5,'Hypotheses expl'!S120)+SUMIF('Hypotheses expl'!T120,'Compte résultat prévi'!$F$5,'Hypotheses expl'!U120)+SUMIF('Hypotheses expl'!V120,'Compte résultat prévi'!$F$5,'Hypotheses expl'!W120)+SUMIF('Hypotheses expl'!X120,'Compte résultat prévi'!$F$5,'Hypotheses expl'!Y120)+SUMIF('Hypotheses expl'!Z120,'Compte résultat prévi'!$F$5,'Hypotheses expl'!AA120)+SUMIF('Hypotheses expl'!AB120,'Compte résultat prévi'!$F$5,'Hypotheses expl'!AC120)</f>
        <v>0</v>
      </c>
      <c r="G65" s="201">
        <f>+SUMIF('Hypotheses expl'!R120,'Compte résultat prévi'!$G$5,'Hypotheses expl'!S120)+SUMIF('Hypotheses expl'!T120,'Compte résultat prévi'!$G$5,'Hypotheses expl'!U120)+SUMIF('Hypotheses expl'!V120,'Compte résultat prévi'!$G$5,'Hypotheses expl'!W120)+SUMIF('Hypotheses expl'!X120,'Compte résultat prévi'!$G$5,'Hypotheses expl'!Y120)+SUMIF('Hypotheses expl'!Z120,'Compte résultat prévi'!$G$5,'Hypotheses expl'!AA120)+SUMIF('Hypotheses expl'!AB120,'Compte résultat prévi'!$G$5,'Hypotheses expl'!AC120)</f>
        <v>0</v>
      </c>
      <c r="H65" s="202">
        <f>+SUMIF('Hypotheses expl'!R120,'Compte résultat prévi'!$H$5,'Hypotheses expl'!S120)+SUMIF('Hypotheses expl'!T120,'Compte résultat prévi'!$H$5,'Hypotheses expl'!U120)+SUMIF('Hypotheses expl'!V120,'Compte résultat prévi'!$H$5,'Hypotheses expl'!W120)+SUMIF('Hypotheses expl'!X120,'Compte résultat prévi'!$H$5,'Hypotheses expl'!Y120)+SUMIF('Hypotheses expl'!Z120,'Compte résultat prévi'!$H$5,'Hypotheses expl'!AA120)+SUMIF('Hypotheses expl'!AB120,'Compte résultat prévi'!$H$5,'Hypotheses expl'!AC120)</f>
        <v>1500</v>
      </c>
      <c r="I65" s="200">
        <f>+'Hypotheses expl (3,)'!O120</f>
        <v>1500</v>
      </c>
      <c r="J65" s="201">
        <f>+SUMIF('Hypotheses expl (3,)'!R120,'Compte résultat prévi'!$J$5,'Hypotheses expl (3,)'!S120)+SUMIF('Hypotheses expl (3,)'!T120,'Compte résultat prévi'!$J$5,'Hypotheses expl (3,)'!U120)+SUMIF('Hypotheses expl (3,)'!V120,'Compte résultat prévi'!$J$5,'Hypotheses expl (3,)'!W120)+SUMIF('Hypotheses expl (3,)'!X120,'Compte résultat prévi'!$J$5,'Hypotheses expl (3,)'!Y120)+SUMIF('Hypotheses expl (3,)'!Z120,'Compte résultat prévi'!$J$5,'Hypotheses expl (3,)'!AA120)+SUMIF('Hypotheses expl (3,)'!AB120,'Compte résultat prévi'!$J$5,'Hypotheses expl (3,)'!AC120)</f>
        <v>0</v>
      </c>
      <c r="K65" s="201">
        <f>+SUMIF('Hypotheses expl (3,)'!R120,'Compte résultat prévi'!$K$5,'Hypotheses expl (3,)'!S120)+SUMIF('Hypotheses expl (3,)'!T120,'Compte résultat prévi'!$K$5,'Hypotheses expl (3,)'!U120)+SUMIF('Hypotheses expl (3,)'!V120,'Compte résultat prévi'!$K$5,'Hypotheses expl (3,)'!W120)+SUMIF('Hypotheses expl (3,)'!X120,'Compte résultat prévi'!$K$5,'Hypotheses expl (3,)'!Y120)+SUMIF('Hypotheses expl (3,)'!Z120,'Compte résultat prévi'!$K$5,'Hypotheses expl (3,)'!AA120)+SUMIF('Hypotheses expl (3,)'!AB120,'Compte résultat prévi'!$K$5,'Hypotheses expl (3,)'!AC120)</f>
        <v>0</v>
      </c>
      <c r="L65" s="201">
        <f>+SUMIF('Hypotheses expl (3,)'!R120,'Compte résultat prévi'!$L$5,'Hypotheses expl (3,)'!S120)+SUMIF('Hypotheses expl (3,)'!T120,'Compte résultat prévi'!$L$5,'Hypotheses expl (3,)'!U120)+SUMIF('Hypotheses expl (3,)'!V120,'Compte résultat prévi'!$L$5,'Hypotheses expl (3,)'!W120)+SUMIF('Hypotheses expl (3,)'!X120,'Compte résultat prévi'!$L$5,'Hypotheses expl (3,)'!Y120)+SUMIF('Hypotheses expl (3,)'!Z120,'Compte résultat prévi'!$L$5,'Hypotheses expl (3,)'!AA120)+SUMIF('Hypotheses expl (3,)'!AB120,'Compte résultat prévi'!$L$5,'Hypotheses expl (3,)'!AC120)</f>
        <v>0</v>
      </c>
      <c r="M65" s="201">
        <f>+SUMIF('Hypotheses expl (3,)'!R120,'Compte résultat prévi'!$M$5,'Hypotheses expl (3,)'!S120)+SUMIF('Hypotheses expl (3,)'!T120,'Compte résultat prévi'!$M$5,'Hypotheses expl (3,)'!U120)+SUMIF('Hypotheses expl (3,)'!V120,'Compte résultat prévi'!$M$5,'Hypotheses expl (3,)'!W120)+SUMIF('Hypotheses expl (3,)'!X120,'Compte résultat prévi'!$M$5,'Hypotheses expl (3,)'!Y120)+SUMIF('Hypotheses expl (3,)'!Z120,'Compte résultat prévi'!$M$5,'Hypotheses expl (3,)'!AA120)+SUMIF('Hypotheses expl (3,)'!AB120,'Compte résultat prévi'!$M$5,'Hypotheses expl (3,)'!AC120)</f>
        <v>0</v>
      </c>
      <c r="N65" s="202">
        <f>+SUMIF('Hypotheses expl (3,)'!R120,'Compte résultat prévi'!$N$5,'Hypotheses expl (3,)'!S120)+SUMIF('Hypotheses expl (3,)'!T120,'Compte résultat prévi'!$N$5,'Hypotheses expl (3,)'!U120)+SUMIF('Hypotheses expl (3,)'!V120,'Compte résultat prévi'!$N$5,'Hypotheses expl (3,)'!W120)+SUMIF('Hypotheses expl (3,)'!X120,'Compte résultat prévi'!$N$5,'Hypotheses expl (3,)'!Y120)+SUMIF('Hypotheses expl (3,)'!Z120,'Compte résultat prévi'!$N$5,'Hypotheses expl (3,)'!AA120)+SUMIF('Hypotheses expl (3,)'!AB120,'Compte résultat prévi'!$N$5,'Hypotheses expl (3,)'!AC120)</f>
        <v>1500</v>
      </c>
      <c r="O65" s="200">
        <f>+'Hypotheses expl (2)'!O119</f>
        <v>3000</v>
      </c>
      <c r="P65" s="201">
        <f>+SUMIF('Hypotheses expl (2)'!R119,'Compte résultat prévi'!$P$5,'Hypotheses expl (2)'!S119)+SUMIF('Hypotheses expl (2)'!T119,'Compte résultat prévi'!$P$5,'Hypotheses expl (2)'!U119)+SUMIF('Hypotheses expl (2)'!V119,'Compte résultat prévi'!$P$5,'Hypotheses expl (2)'!W119)+SUMIF('Hypotheses expl (2)'!X119,'Compte résultat prévi'!$P$5,'Hypotheses expl (2)'!Y119)+SUMIF('Hypotheses expl (2)'!Z119,'Compte résultat prévi'!$P$5,'Hypotheses expl (2)'!AA119)+SUMIF('Hypotheses expl (2)'!AB119,'Compte résultat prévi'!$P$5,'Hypotheses expl (2)'!AC119)</f>
        <v>0</v>
      </c>
      <c r="Q65" s="201">
        <f>+SUMIF('Hypotheses expl (2)'!R119,'Compte résultat prévi'!$Q$5,'Hypotheses expl (2)'!S119)+SUMIF('Hypotheses expl (2)'!T119,'Compte résultat prévi'!$Q$5,'Hypotheses expl (2)'!U119)+SUMIF('Hypotheses expl (2)'!V119,'Compte résultat prévi'!$Q$5,'Hypotheses expl (2)'!W119)+SUMIF('Hypotheses expl (2)'!X119,'Compte résultat prévi'!$Q$5,'Hypotheses expl (2)'!Y119)+SUMIF('Hypotheses expl (2)'!Z119,'Compte résultat prévi'!$Q$5,'Hypotheses expl (2)'!AA119)+SUMIF('Hypotheses expl (2)'!AB119,'Compte résultat prévi'!$Q$5,'Hypotheses expl (2)'!AC119)</f>
        <v>0</v>
      </c>
      <c r="R65" s="201">
        <f>+SUMIF('Hypotheses expl (2)'!R119,'Compte résultat prévi'!$R$5,'Hypotheses expl (2)'!S119)+SUMIF('Hypotheses expl (2)'!T119,'Compte résultat prévi'!$R$5,'Hypotheses expl (2)'!U119)+SUMIF('Hypotheses expl (2)'!V119,'Compte résultat prévi'!$R$5,'Hypotheses expl (2)'!W119)+SUMIF('Hypotheses expl (2)'!X119,'Compte résultat prévi'!$R$5,'Hypotheses expl (2)'!Y119)+SUMIF('Hypotheses expl (2)'!Z119,'Compte résultat prévi'!$R$5,'Hypotheses expl (2)'!AA119)+SUMIF('Hypotheses expl (2)'!AB119,'Compte résultat prévi'!$R$5,'Hypotheses expl (2)'!AC119)</f>
        <v>0</v>
      </c>
      <c r="S65" s="201">
        <f>+SUMIF('Hypotheses expl (2)'!R119,'Compte résultat prévi'!$S$5,'Hypotheses expl (2)'!S119)+SUMIF('Hypotheses expl (2)'!T119,'Compte résultat prévi'!$S$5,'Hypotheses expl (2)'!U119)+SUMIF('Hypotheses expl (2)'!V119,'Compte résultat prévi'!$S$5,'Hypotheses expl (2)'!W119)+SUMIF('Hypotheses expl (2)'!X119,'Compte résultat prévi'!$S$5,'Hypotheses expl (2)'!Y119)+SUMIF('Hypotheses expl (2)'!Z119,'Compte résultat prévi'!$S$5,'Hypotheses expl (2)'!AA119)+SUMIF('Hypotheses expl (2)'!AB119,'Compte résultat prévi'!$S$5,'Hypotheses expl (2)'!AC119)</f>
        <v>0</v>
      </c>
      <c r="T65" s="202">
        <f>+SUMIF('Hypotheses expl (2)'!R119,'Compte résultat prévi'!$T$5,'Hypotheses expl (2)'!S119)+SUMIF('Hypotheses expl (2)'!T119,'Compte résultat prévi'!$T$5,'Hypotheses expl (2)'!U119)+SUMIF('Hypotheses expl (2)'!V119,'Compte résultat prévi'!$T$5,'Hypotheses expl (2)'!W119)+SUMIF('Hypotheses expl (2)'!X119,'Compte résultat prévi'!$T$5,'Hypotheses expl (2)'!Y119)+SUMIF('Hypotheses expl (2)'!Z119,'Compte résultat prévi'!$T$5,'Hypotheses expl (2)'!AA119)+SUMIF('Hypotheses expl (2)'!AB119,'Compte résultat prévi'!$T$5,'Hypotheses expl (2)'!AC119)</f>
        <v>3000</v>
      </c>
      <c r="U65" s="203"/>
      <c r="V65" s="204"/>
    </row>
    <row r="66" outlineLevel="1">
      <c r="A66" s="198" t="str">
        <f>'Hypotheses expl'!B121</f>
        <v>Communication</v>
      </c>
      <c r="B66" s="234">
        <v>4</v>
      </c>
      <c r="C66" s="200">
        <f>+'Hypotheses expl'!O121</f>
        <v>2500</v>
      </c>
      <c r="D66" s="201">
        <f>+SUMIF('Hypotheses expl'!R121,'Compte résultat prévi'!$D$5,'Hypotheses expl'!S121)+SUMIF('Hypotheses expl'!T121,'Compte résultat prévi'!$D$5,'Hypotheses expl'!U121)+SUMIF('Hypotheses expl'!V121,'Compte résultat prévi'!$D$5,'Hypotheses expl'!W121)+SUMIF('Hypotheses expl'!X121,'Compte résultat prévi'!$D$5,'Hypotheses expl'!Y121)+SUMIF('Hypotheses expl'!Z121,'Compte résultat prévi'!$D$5,'Hypotheses expl'!AA121)+SUMIF('Hypotheses expl'!AB121,'Compte résultat prévi'!$D$5,'Hypotheses expl'!AC121)</f>
        <v>0</v>
      </c>
      <c r="E66" s="201">
        <f>+SUMIF('Hypotheses expl'!R121,'Compte résultat prévi'!$E$5,'Hypotheses expl'!S121)+SUMIF('Hypotheses expl'!T121,'Compte résultat prévi'!$E$5,'Hypotheses expl'!U121)+SUMIF('Hypotheses expl'!V121,'Compte résultat prévi'!$E$5,'Hypotheses expl'!W121)+SUMIF('Hypotheses expl'!X121,'Compte résultat prévi'!$E$5,'Hypotheses expl'!Y121)+SUMIF('Hypotheses expl'!Z121,'Compte résultat prévi'!$E$5,'Hypotheses expl'!AA121)+SUMIF('Hypotheses expl'!AB121,'Compte résultat prévi'!$E$5,'Hypotheses expl'!AC121)</f>
        <v>0</v>
      </c>
      <c r="F66" s="201">
        <f>+SUMIF('Hypotheses expl'!R121,'Compte résultat prévi'!$F$5,'Hypotheses expl'!S121)+SUMIF('Hypotheses expl'!T121,'Compte résultat prévi'!$F$5,'Hypotheses expl'!U121)+SUMIF('Hypotheses expl'!V121,'Compte résultat prévi'!$F$5,'Hypotheses expl'!W121)+SUMIF('Hypotheses expl'!X121,'Compte résultat prévi'!$F$5,'Hypotheses expl'!Y121)+SUMIF('Hypotheses expl'!Z121,'Compte résultat prévi'!$F$5,'Hypotheses expl'!AA121)+SUMIF('Hypotheses expl'!AB121,'Compte résultat prévi'!$F$5,'Hypotheses expl'!AC121)</f>
        <v>0</v>
      </c>
      <c r="G66" s="201">
        <f>+SUMIF('Hypotheses expl'!R121,'Compte résultat prévi'!$G$5,'Hypotheses expl'!S121)+SUMIF('Hypotheses expl'!T121,'Compte résultat prévi'!$G$5,'Hypotheses expl'!U121)+SUMIF('Hypotheses expl'!V121,'Compte résultat prévi'!$G$5,'Hypotheses expl'!W121)+SUMIF('Hypotheses expl'!X121,'Compte résultat prévi'!$G$5,'Hypotheses expl'!Y121)+SUMIF('Hypotheses expl'!Z121,'Compte résultat prévi'!$G$5,'Hypotheses expl'!AA121)+SUMIF('Hypotheses expl'!AB121,'Compte résultat prévi'!$G$5,'Hypotheses expl'!AC121)</f>
        <v>0</v>
      </c>
      <c r="H66" s="202">
        <f>+SUMIF('Hypotheses expl'!R121,'Compte résultat prévi'!$H$5,'Hypotheses expl'!S121)+SUMIF('Hypotheses expl'!T121,'Compte résultat prévi'!$H$5,'Hypotheses expl'!U121)+SUMIF('Hypotheses expl'!V121,'Compte résultat prévi'!$H$5,'Hypotheses expl'!W121)+SUMIF('Hypotheses expl'!X121,'Compte résultat prévi'!$H$5,'Hypotheses expl'!Y121)+SUMIF('Hypotheses expl'!Z121,'Compte résultat prévi'!$H$5,'Hypotheses expl'!AA121)+SUMIF('Hypotheses expl'!AB121,'Compte résultat prévi'!$H$5,'Hypotheses expl'!AC121)</f>
        <v>2500</v>
      </c>
      <c r="I66" s="200">
        <f>+'Hypotheses expl (3,)'!O121</f>
        <v>2500</v>
      </c>
      <c r="J66" s="201">
        <f>+SUMIF('Hypotheses expl (3,)'!R121,'Compte résultat prévi'!$J$5,'Hypotheses expl (3,)'!S121)+SUMIF('Hypotheses expl (3,)'!T121,'Compte résultat prévi'!$J$5,'Hypotheses expl (3,)'!U121)+SUMIF('Hypotheses expl (3,)'!V121,'Compte résultat prévi'!$J$5,'Hypotheses expl (3,)'!W121)+SUMIF('Hypotheses expl (3,)'!X121,'Compte résultat prévi'!$J$5,'Hypotheses expl (3,)'!Y121)+SUMIF('Hypotheses expl (3,)'!Z121,'Compte résultat prévi'!$J$5,'Hypotheses expl (3,)'!AA121)+SUMIF('Hypotheses expl (3,)'!AB121,'Compte résultat prévi'!$J$5,'Hypotheses expl (3,)'!AC121)</f>
        <v>0</v>
      </c>
      <c r="K66" s="201">
        <f>+SUMIF('Hypotheses expl (3,)'!R121,'Compte résultat prévi'!$K$5,'Hypotheses expl (3,)'!S121)+SUMIF('Hypotheses expl (3,)'!T121,'Compte résultat prévi'!$K$5,'Hypotheses expl (3,)'!U121)+SUMIF('Hypotheses expl (3,)'!V121,'Compte résultat prévi'!$K$5,'Hypotheses expl (3,)'!W121)+SUMIF('Hypotheses expl (3,)'!X121,'Compte résultat prévi'!$K$5,'Hypotheses expl (3,)'!Y121)+SUMIF('Hypotheses expl (3,)'!Z121,'Compte résultat prévi'!$K$5,'Hypotheses expl (3,)'!AA121)+SUMIF('Hypotheses expl (3,)'!AB121,'Compte résultat prévi'!$K$5,'Hypotheses expl (3,)'!AC121)</f>
        <v>0</v>
      </c>
      <c r="L66" s="201">
        <f>+SUMIF('Hypotheses expl (3,)'!R121,'Compte résultat prévi'!$L$5,'Hypotheses expl (3,)'!S121)+SUMIF('Hypotheses expl (3,)'!T121,'Compte résultat prévi'!$L$5,'Hypotheses expl (3,)'!U121)+SUMIF('Hypotheses expl (3,)'!V121,'Compte résultat prévi'!$L$5,'Hypotheses expl (3,)'!W121)+SUMIF('Hypotheses expl (3,)'!X121,'Compte résultat prévi'!$L$5,'Hypotheses expl (3,)'!Y121)+SUMIF('Hypotheses expl (3,)'!Z121,'Compte résultat prévi'!$L$5,'Hypotheses expl (3,)'!AA121)+SUMIF('Hypotheses expl (3,)'!AB121,'Compte résultat prévi'!$L$5,'Hypotheses expl (3,)'!AC121)</f>
        <v>0</v>
      </c>
      <c r="M66" s="201">
        <f>+SUMIF('Hypotheses expl (3,)'!R121,'Compte résultat prévi'!$M$5,'Hypotheses expl (3,)'!S121)+SUMIF('Hypotheses expl (3,)'!T121,'Compte résultat prévi'!$M$5,'Hypotheses expl (3,)'!U121)+SUMIF('Hypotheses expl (3,)'!V121,'Compte résultat prévi'!$M$5,'Hypotheses expl (3,)'!W121)+SUMIF('Hypotheses expl (3,)'!X121,'Compte résultat prévi'!$M$5,'Hypotheses expl (3,)'!Y121)+SUMIF('Hypotheses expl (3,)'!Z121,'Compte résultat prévi'!$M$5,'Hypotheses expl (3,)'!AA121)+SUMIF('Hypotheses expl (3,)'!AB121,'Compte résultat prévi'!$M$5,'Hypotheses expl (3,)'!AC121)</f>
        <v>0</v>
      </c>
      <c r="N66" s="202">
        <f>+SUMIF('Hypotheses expl (3,)'!R121,'Compte résultat prévi'!$N$5,'Hypotheses expl (3,)'!S121)+SUMIF('Hypotheses expl (3,)'!T121,'Compte résultat prévi'!$N$5,'Hypotheses expl (3,)'!U121)+SUMIF('Hypotheses expl (3,)'!V121,'Compte résultat prévi'!$N$5,'Hypotheses expl (3,)'!W121)+SUMIF('Hypotheses expl (3,)'!X121,'Compte résultat prévi'!$N$5,'Hypotheses expl (3,)'!Y121)+SUMIF('Hypotheses expl (3,)'!Z121,'Compte résultat prévi'!$N$5,'Hypotheses expl (3,)'!AA121)+SUMIF('Hypotheses expl (3,)'!AB121,'Compte résultat prévi'!$N$5,'Hypotheses expl (3,)'!AC121)</f>
        <v>2500</v>
      </c>
      <c r="O66" s="200">
        <f>+'Hypotheses expl (2)'!O120</f>
        <v>3500</v>
      </c>
      <c r="P66" s="201">
        <f>+SUMIF('Hypotheses expl (2)'!R120,'Compte résultat prévi'!$P$5,'Hypotheses expl (2)'!S120)+SUMIF('Hypotheses expl (2)'!T120,'Compte résultat prévi'!$P$5,'Hypotheses expl (2)'!U120)+SUMIF('Hypotheses expl (2)'!V120,'Compte résultat prévi'!$P$5,'Hypotheses expl (2)'!W120)+SUMIF('Hypotheses expl (2)'!X120,'Compte résultat prévi'!$P$5,'Hypotheses expl (2)'!Y120)+SUMIF('Hypotheses expl (2)'!Z120,'Compte résultat prévi'!$P$5,'Hypotheses expl (2)'!AA120)+SUMIF('Hypotheses expl (2)'!AB120,'Compte résultat prévi'!$P$5,'Hypotheses expl (2)'!AC120)</f>
        <v>0</v>
      </c>
      <c r="Q66" s="201">
        <f>+SUMIF('Hypotheses expl (2)'!R120,'Compte résultat prévi'!$Q$5,'Hypotheses expl (2)'!S120)+SUMIF('Hypotheses expl (2)'!T120,'Compte résultat prévi'!$Q$5,'Hypotheses expl (2)'!U120)+SUMIF('Hypotheses expl (2)'!V120,'Compte résultat prévi'!$Q$5,'Hypotheses expl (2)'!W120)+SUMIF('Hypotheses expl (2)'!X120,'Compte résultat prévi'!$Q$5,'Hypotheses expl (2)'!Y120)+SUMIF('Hypotheses expl (2)'!Z120,'Compte résultat prévi'!$Q$5,'Hypotheses expl (2)'!AA120)+SUMIF('Hypotheses expl (2)'!AB120,'Compte résultat prévi'!$Q$5,'Hypotheses expl (2)'!AC120)</f>
        <v>0</v>
      </c>
      <c r="R66" s="201">
        <f>+SUMIF('Hypotheses expl (2)'!R120,'Compte résultat prévi'!$R$5,'Hypotheses expl (2)'!S120)+SUMIF('Hypotheses expl (2)'!T120,'Compte résultat prévi'!$R$5,'Hypotheses expl (2)'!U120)+SUMIF('Hypotheses expl (2)'!V120,'Compte résultat prévi'!$R$5,'Hypotheses expl (2)'!W120)+SUMIF('Hypotheses expl (2)'!X120,'Compte résultat prévi'!$R$5,'Hypotheses expl (2)'!Y120)+SUMIF('Hypotheses expl (2)'!Z120,'Compte résultat prévi'!$R$5,'Hypotheses expl (2)'!AA120)+SUMIF('Hypotheses expl (2)'!AB120,'Compte résultat prévi'!$R$5,'Hypotheses expl (2)'!AC120)</f>
        <v>0</v>
      </c>
      <c r="S66" s="201">
        <f>+SUMIF('Hypotheses expl (2)'!R120,'Compte résultat prévi'!$S$5,'Hypotheses expl (2)'!S120)+SUMIF('Hypotheses expl (2)'!T120,'Compte résultat prévi'!$S$5,'Hypotheses expl (2)'!U120)+SUMIF('Hypotheses expl (2)'!V120,'Compte résultat prévi'!$S$5,'Hypotheses expl (2)'!W120)+SUMIF('Hypotheses expl (2)'!X120,'Compte résultat prévi'!$S$5,'Hypotheses expl (2)'!Y120)+SUMIF('Hypotheses expl (2)'!Z120,'Compte résultat prévi'!$S$5,'Hypotheses expl (2)'!AA120)+SUMIF('Hypotheses expl (2)'!AB120,'Compte résultat prévi'!$S$5,'Hypotheses expl (2)'!AC120)</f>
        <v>0</v>
      </c>
      <c r="T66" s="202">
        <f>+SUMIF('Hypotheses expl (2)'!R120,'Compte résultat prévi'!$T$5,'Hypotheses expl (2)'!S120)+SUMIF('Hypotheses expl (2)'!T120,'Compte résultat prévi'!$T$5,'Hypotheses expl (2)'!U120)+SUMIF('Hypotheses expl (2)'!V120,'Compte résultat prévi'!$T$5,'Hypotheses expl (2)'!W120)+SUMIF('Hypotheses expl (2)'!X120,'Compte résultat prévi'!$T$5,'Hypotheses expl (2)'!Y120)+SUMIF('Hypotheses expl (2)'!Z120,'Compte résultat prévi'!$T$5,'Hypotheses expl (2)'!AA120)+SUMIF('Hypotheses expl (2)'!AB120,'Compte résultat prévi'!$T$5,'Hypotheses expl (2)'!AC120)</f>
        <v>3500</v>
      </c>
      <c r="U66" s="203"/>
      <c r="V66" s="204"/>
    </row>
    <row r="67" outlineLevel="1">
      <c r="A67" s="198" t="str">
        <f>'Hypotheses expl'!B122</f>
        <v xml:space="preserve">Frais déplacement</v>
      </c>
      <c r="B67" s="234">
        <v>4</v>
      </c>
      <c r="C67" s="200">
        <f>+'Hypotheses expl'!O122</f>
        <v>1200</v>
      </c>
      <c r="D67" s="201">
        <f>+SUMIF('Hypotheses expl'!R122,'Compte résultat prévi'!$D$5,'Hypotheses expl'!S122)+SUMIF('Hypotheses expl'!T122,'Compte résultat prévi'!$D$5,'Hypotheses expl'!U122)+SUMIF('Hypotheses expl'!V122,'Compte résultat prévi'!$D$5,'Hypotheses expl'!W122)+SUMIF('Hypotheses expl'!X122,'Compte résultat prévi'!$D$5,'Hypotheses expl'!Y122)+SUMIF('Hypotheses expl'!Z122,'Compte résultat prévi'!$D$5,'Hypotheses expl'!AA122)+SUMIF('Hypotheses expl'!AB122,'Compte résultat prévi'!$D$5,'Hypotheses expl'!AC122)</f>
        <v>0</v>
      </c>
      <c r="E67" s="201">
        <f>+SUMIF('Hypotheses expl'!R122,'Compte résultat prévi'!$E$5,'Hypotheses expl'!S122)+SUMIF('Hypotheses expl'!T122,'Compte résultat prévi'!$E$5,'Hypotheses expl'!U122)+SUMIF('Hypotheses expl'!V122,'Compte résultat prévi'!$E$5,'Hypotheses expl'!W122)+SUMIF('Hypotheses expl'!X122,'Compte résultat prévi'!$E$5,'Hypotheses expl'!Y122)+SUMIF('Hypotheses expl'!Z122,'Compte résultat prévi'!$E$5,'Hypotheses expl'!AA122)+SUMIF('Hypotheses expl'!AB122,'Compte résultat prévi'!$E$5,'Hypotheses expl'!AC122)</f>
        <v>0</v>
      </c>
      <c r="F67" s="201">
        <f>+SUMIF('Hypotheses expl'!R122,'Compte résultat prévi'!$F$5,'Hypotheses expl'!S122)+SUMIF('Hypotheses expl'!T122,'Compte résultat prévi'!$F$5,'Hypotheses expl'!U122)+SUMIF('Hypotheses expl'!V122,'Compte résultat prévi'!$F$5,'Hypotheses expl'!W122)+SUMIF('Hypotheses expl'!X122,'Compte résultat prévi'!$F$5,'Hypotheses expl'!Y122)+SUMIF('Hypotheses expl'!Z122,'Compte résultat prévi'!$F$5,'Hypotheses expl'!AA122)+SUMIF('Hypotheses expl'!AB122,'Compte résultat prévi'!$F$5,'Hypotheses expl'!AC122)</f>
        <v>0</v>
      </c>
      <c r="G67" s="201">
        <f>+SUMIF('Hypotheses expl'!R122,'Compte résultat prévi'!$G$5,'Hypotheses expl'!S122)+SUMIF('Hypotheses expl'!T122,'Compte résultat prévi'!$G$5,'Hypotheses expl'!U122)+SUMIF('Hypotheses expl'!V122,'Compte résultat prévi'!$G$5,'Hypotheses expl'!W122)+SUMIF('Hypotheses expl'!X122,'Compte résultat prévi'!$G$5,'Hypotheses expl'!Y122)+SUMIF('Hypotheses expl'!Z122,'Compte résultat prévi'!$G$5,'Hypotheses expl'!AA122)+SUMIF('Hypotheses expl'!AB122,'Compte résultat prévi'!$G$5,'Hypotheses expl'!AC122)</f>
        <v>0</v>
      </c>
      <c r="H67" s="202">
        <f>+SUMIF('Hypotheses expl'!R122,'Compte résultat prévi'!$H$5,'Hypotheses expl'!S122)+SUMIF('Hypotheses expl'!T122,'Compte résultat prévi'!$H$5,'Hypotheses expl'!U122)+SUMIF('Hypotheses expl'!V122,'Compte résultat prévi'!$H$5,'Hypotheses expl'!W122)+SUMIF('Hypotheses expl'!X122,'Compte résultat prévi'!$H$5,'Hypotheses expl'!Y122)+SUMIF('Hypotheses expl'!Z122,'Compte résultat prévi'!$H$5,'Hypotheses expl'!AA122)+SUMIF('Hypotheses expl'!AB122,'Compte résultat prévi'!$H$5,'Hypotheses expl'!AC122)</f>
        <v>1200</v>
      </c>
      <c r="I67" s="200">
        <f>+'Hypotheses expl (3,)'!O122</f>
        <v>1200</v>
      </c>
      <c r="J67" s="201">
        <f>+SUMIF('Hypotheses expl (3,)'!R122,'Compte résultat prévi'!$J$5,'Hypotheses expl (3,)'!S122)+SUMIF('Hypotheses expl (3,)'!T122,'Compte résultat prévi'!$J$5,'Hypotheses expl (3,)'!U122)+SUMIF('Hypotheses expl (3,)'!V122,'Compte résultat prévi'!$J$5,'Hypotheses expl (3,)'!W122)+SUMIF('Hypotheses expl (3,)'!X122,'Compte résultat prévi'!$J$5,'Hypotheses expl (3,)'!Y122)+SUMIF('Hypotheses expl (3,)'!Z122,'Compte résultat prévi'!$J$5,'Hypotheses expl (3,)'!AA122)+SUMIF('Hypotheses expl (3,)'!AB122,'Compte résultat prévi'!$J$5,'Hypotheses expl (3,)'!AC122)</f>
        <v>0</v>
      </c>
      <c r="K67" s="201">
        <f>+SUMIF('Hypotheses expl (3,)'!R122,'Compte résultat prévi'!$K$5,'Hypotheses expl (3,)'!S122)+SUMIF('Hypotheses expl (3,)'!T122,'Compte résultat prévi'!$K$5,'Hypotheses expl (3,)'!U122)+SUMIF('Hypotheses expl (3,)'!V122,'Compte résultat prévi'!$K$5,'Hypotheses expl (3,)'!W122)+SUMIF('Hypotheses expl (3,)'!X122,'Compte résultat prévi'!$K$5,'Hypotheses expl (3,)'!Y122)+SUMIF('Hypotheses expl (3,)'!Z122,'Compte résultat prévi'!$K$5,'Hypotheses expl (3,)'!AA122)+SUMIF('Hypotheses expl (3,)'!AB122,'Compte résultat prévi'!$K$5,'Hypotheses expl (3,)'!AC122)</f>
        <v>0</v>
      </c>
      <c r="L67" s="201">
        <f>+SUMIF('Hypotheses expl (3,)'!R122,'Compte résultat prévi'!$L$5,'Hypotheses expl (3,)'!S122)+SUMIF('Hypotheses expl (3,)'!T122,'Compte résultat prévi'!$L$5,'Hypotheses expl (3,)'!U122)+SUMIF('Hypotheses expl (3,)'!V122,'Compte résultat prévi'!$L$5,'Hypotheses expl (3,)'!W122)+SUMIF('Hypotheses expl (3,)'!X122,'Compte résultat prévi'!$L$5,'Hypotheses expl (3,)'!Y122)+SUMIF('Hypotheses expl (3,)'!Z122,'Compte résultat prévi'!$L$5,'Hypotheses expl (3,)'!AA122)+SUMIF('Hypotheses expl (3,)'!AB122,'Compte résultat prévi'!$L$5,'Hypotheses expl (3,)'!AC122)</f>
        <v>0</v>
      </c>
      <c r="M67" s="201">
        <f>+SUMIF('Hypotheses expl (3,)'!R122,'Compte résultat prévi'!$M$5,'Hypotheses expl (3,)'!S122)+SUMIF('Hypotheses expl (3,)'!T122,'Compte résultat prévi'!$M$5,'Hypotheses expl (3,)'!U122)+SUMIF('Hypotheses expl (3,)'!V122,'Compte résultat prévi'!$M$5,'Hypotheses expl (3,)'!W122)+SUMIF('Hypotheses expl (3,)'!X122,'Compte résultat prévi'!$M$5,'Hypotheses expl (3,)'!Y122)+SUMIF('Hypotheses expl (3,)'!Z122,'Compte résultat prévi'!$M$5,'Hypotheses expl (3,)'!AA122)+SUMIF('Hypotheses expl (3,)'!AB122,'Compte résultat prévi'!$M$5,'Hypotheses expl (3,)'!AC122)</f>
        <v>0</v>
      </c>
      <c r="N67" s="202">
        <f>+SUMIF('Hypotheses expl (3,)'!R122,'Compte résultat prévi'!$N$5,'Hypotheses expl (3,)'!S122)+SUMIF('Hypotheses expl (3,)'!T122,'Compte résultat prévi'!$N$5,'Hypotheses expl (3,)'!U122)+SUMIF('Hypotheses expl (3,)'!V122,'Compte résultat prévi'!$N$5,'Hypotheses expl (3,)'!W122)+SUMIF('Hypotheses expl (3,)'!X122,'Compte résultat prévi'!$N$5,'Hypotheses expl (3,)'!Y122)+SUMIF('Hypotheses expl (3,)'!Z122,'Compte résultat prévi'!$N$5,'Hypotheses expl (3,)'!AA122)+SUMIF('Hypotheses expl (3,)'!AB122,'Compte résultat prévi'!$N$5,'Hypotheses expl (3,)'!AC122)</f>
        <v>1200</v>
      </c>
      <c r="O67" s="200">
        <f>+'Hypotheses expl (2)'!O121</f>
        <v>1200</v>
      </c>
      <c r="P67" s="201">
        <f>+SUMIF('Hypotheses expl (2)'!R121,'Compte résultat prévi'!$P$5,'Hypotheses expl (2)'!S121)+SUMIF('Hypotheses expl (2)'!T121,'Compte résultat prévi'!$P$5,'Hypotheses expl (2)'!U121)+SUMIF('Hypotheses expl (2)'!V121,'Compte résultat prévi'!$P$5,'Hypotheses expl (2)'!W121)+SUMIF('Hypotheses expl (2)'!X121,'Compte résultat prévi'!$P$5,'Hypotheses expl (2)'!Y121)+SUMIF('Hypotheses expl (2)'!Z121,'Compte résultat prévi'!$P$5,'Hypotheses expl (2)'!AA121)+SUMIF('Hypotheses expl (2)'!AB121,'Compte résultat prévi'!$P$5,'Hypotheses expl (2)'!AC121)</f>
        <v>0</v>
      </c>
      <c r="Q67" s="201">
        <f>+SUMIF('Hypotheses expl (2)'!R121,'Compte résultat prévi'!$Q$5,'Hypotheses expl (2)'!S121)+SUMIF('Hypotheses expl (2)'!T121,'Compte résultat prévi'!$Q$5,'Hypotheses expl (2)'!U121)+SUMIF('Hypotheses expl (2)'!V121,'Compte résultat prévi'!$Q$5,'Hypotheses expl (2)'!W121)+SUMIF('Hypotheses expl (2)'!X121,'Compte résultat prévi'!$Q$5,'Hypotheses expl (2)'!Y121)+SUMIF('Hypotheses expl (2)'!Z121,'Compte résultat prévi'!$Q$5,'Hypotheses expl (2)'!AA121)+SUMIF('Hypotheses expl (2)'!AB121,'Compte résultat prévi'!$Q$5,'Hypotheses expl (2)'!AC121)</f>
        <v>0</v>
      </c>
      <c r="R67" s="201">
        <f>+SUMIF('Hypotheses expl (2)'!R121,'Compte résultat prévi'!$R$5,'Hypotheses expl (2)'!S121)+SUMIF('Hypotheses expl (2)'!T121,'Compte résultat prévi'!$R$5,'Hypotheses expl (2)'!U121)+SUMIF('Hypotheses expl (2)'!V121,'Compte résultat prévi'!$R$5,'Hypotheses expl (2)'!W121)+SUMIF('Hypotheses expl (2)'!X121,'Compte résultat prévi'!$R$5,'Hypotheses expl (2)'!Y121)+SUMIF('Hypotheses expl (2)'!Z121,'Compte résultat prévi'!$R$5,'Hypotheses expl (2)'!AA121)+SUMIF('Hypotheses expl (2)'!AB121,'Compte résultat prévi'!$R$5,'Hypotheses expl (2)'!AC121)</f>
        <v>0</v>
      </c>
      <c r="S67" s="201">
        <f>+SUMIF('Hypotheses expl (2)'!R121,'Compte résultat prévi'!$S$5,'Hypotheses expl (2)'!S121)+SUMIF('Hypotheses expl (2)'!T121,'Compte résultat prévi'!$S$5,'Hypotheses expl (2)'!U121)+SUMIF('Hypotheses expl (2)'!V121,'Compte résultat prévi'!$S$5,'Hypotheses expl (2)'!W121)+SUMIF('Hypotheses expl (2)'!X121,'Compte résultat prévi'!$S$5,'Hypotheses expl (2)'!Y121)+SUMIF('Hypotheses expl (2)'!Z121,'Compte résultat prévi'!$S$5,'Hypotheses expl (2)'!AA121)+SUMIF('Hypotheses expl (2)'!AB121,'Compte résultat prévi'!$S$5,'Hypotheses expl (2)'!AC121)</f>
        <v>0</v>
      </c>
      <c r="T67" s="202">
        <f>+SUMIF('Hypotheses expl (2)'!R121,'Compte résultat prévi'!$T$5,'Hypotheses expl (2)'!S121)+SUMIF('Hypotheses expl (2)'!T121,'Compte résultat prévi'!$T$5,'Hypotheses expl (2)'!U121)+SUMIF('Hypotheses expl (2)'!V121,'Compte résultat prévi'!$T$5,'Hypotheses expl (2)'!W121)+SUMIF('Hypotheses expl (2)'!X121,'Compte résultat prévi'!$T$5,'Hypotheses expl (2)'!Y121)+SUMIF('Hypotheses expl (2)'!Z121,'Compte résultat prévi'!$T$5,'Hypotheses expl (2)'!AA121)+SUMIF('Hypotheses expl (2)'!AB121,'Compte résultat prévi'!$T$5,'Hypotheses expl (2)'!AC121)</f>
        <v>1200</v>
      </c>
      <c r="U67" s="203"/>
      <c r="V67" s="204"/>
    </row>
    <row r="68" outlineLevel="1">
      <c r="A68" s="198" t="str">
        <f>'Hypotheses expl'!B123</f>
        <v xml:space="preserve">Déplacement vacataires/stagiaires</v>
      </c>
      <c r="B68" s="234"/>
      <c r="C68" s="200">
        <f>+'Hypotheses expl'!O123</f>
        <v>2300</v>
      </c>
      <c r="D68" s="201">
        <f>+SUMIF('Hypotheses expl'!R123,'Compte résultat prévi'!$D$5,'Hypotheses expl'!S123)+SUMIF('Hypotheses expl'!T123,'Compte résultat prévi'!$D$5,'Hypotheses expl'!U123)+SUMIF('Hypotheses expl'!V123,'Compte résultat prévi'!$D$5,'Hypotheses expl'!W123)+SUMIF('Hypotheses expl'!X123,'Compte résultat prévi'!$D$5,'Hypotheses expl'!Y123)+SUMIF('Hypotheses expl'!Z123,'Compte résultat prévi'!$D$5,'Hypotheses expl'!AA123)+SUMIF('Hypotheses expl'!AB123,'Compte résultat prévi'!$D$5,'Hypotheses expl'!AC123)</f>
        <v>1195.7711442786069</v>
      </c>
      <c r="E68" s="201">
        <f>+SUMIF('Hypotheses expl'!R123,'Compte résultat prévi'!$E$5,'Hypotheses expl'!S123)+SUMIF('Hypotheses expl'!T123,'Compte résultat prévi'!$E$5,'Hypotheses expl'!U123)+SUMIF('Hypotheses expl'!V123,'Compte résultat prévi'!$E$5,'Hypotheses expl'!W123)+SUMIF('Hypotheses expl'!X123,'Compte résultat prévi'!$E$5,'Hypotheses expl'!Y123)+SUMIF('Hypotheses expl'!Z123,'Compte résultat prévi'!$E$5,'Hypotheses expl'!AA123)+SUMIF('Hypotheses expl'!AB123,'Compte résultat prévi'!$E$5,'Hypotheses expl'!AC123)</f>
        <v>492.03980099502496</v>
      </c>
      <c r="F68" s="201">
        <f>+SUMIF('Hypotheses expl'!R123,'Compte résultat prévi'!$F$5,'Hypotheses expl'!S123)+SUMIF('Hypotheses expl'!T123,'Compte résultat prévi'!$F$5,'Hypotheses expl'!U123)+SUMIF('Hypotheses expl'!V123,'Compte résultat prévi'!$F$5,'Hypotheses expl'!W123)+SUMIF('Hypotheses expl'!X123,'Compte résultat prévi'!$F$5,'Hypotheses expl'!Y123)+SUMIF('Hypotheses expl'!Z123,'Compte résultat prévi'!$F$5,'Hypotheses expl'!AA123)+SUMIF('Hypotheses expl'!AB123,'Compte résultat prévi'!$F$5,'Hypotheses expl'!AC123)</f>
        <v>326.1194029850746</v>
      </c>
      <c r="G68" s="201">
        <f>+SUMIF('Hypotheses expl'!R123,'Compte résultat prévi'!$G$5,'Hypotheses expl'!S123)+SUMIF('Hypotheses expl'!T123,'Compte résultat prévi'!$G$5,'Hypotheses expl'!U123)+SUMIF('Hypotheses expl'!V123,'Compte résultat prévi'!$G$5,'Hypotheses expl'!W123)+SUMIF('Hypotheses expl'!X123,'Compte résultat prévi'!$G$5,'Hypotheses expl'!Y123)+SUMIF('Hypotheses expl'!Z123,'Compte résultat prévi'!$G$5,'Hypotheses expl'!AA123)+SUMIF('Hypotheses expl'!AB123,'Compte résultat prévi'!$G$5,'Hypotheses expl'!AC123)</f>
        <v>286.06965174129357</v>
      </c>
      <c r="H68" s="202">
        <f>+SUMIF('Hypotheses expl'!R123,'Compte résultat prévi'!$H$5,'Hypotheses expl'!S123)+SUMIF('Hypotheses expl'!T123,'Compte résultat prévi'!$H$5,'Hypotheses expl'!U123)+SUMIF('Hypotheses expl'!V123,'Compte résultat prévi'!$H$5,'Hypotheses expl'!W123)+SUMIF('Hypotheses expl'!X123,'Compte résultat prévi'!$H$5,'Hypotheses expl'!Y123)+SUMIF('Hypotheses expl'!Z123,'Compte résultat prévi'!$H$5,'Hypotheses expl'!AA123)+SUMIF('Hypotheses expl'!AB123,'Compte résultat prévi'!$H$5,'Hypotheses expl'!AC123)</f>
        <v>0</v>
      </c>
      <c r="I68" s="200">
        <f>+'Hypotheses expl (3,)'!O123</f>
        <v>2300</v>
      </c>
      <c r="J68" s="201">
        <f>+SUMIF('Hypotheses expl (3,)'!R123,'Compte résultat prévi'!$J$5,'Hypotheses expl (3,)'!S123)+SUMIF('Hypotheses expl (3,)'!T123,'Compte résultat prévi'!$J$5,'Hypotheses expl (3,)'!U123)+SUMIF('Hypotheses expl (3,)'!V123,'Compte résultat prévi'!$J$5,'Hypotheses expl (3,)'!W123)+SUMIF('Hypotheses expl (3,)'!X123,'Compte résultat prévi'!$J$5,'Hypotheses expl (3,)'!Y123)+SUMIF('Hypotheses expl (3,)'!Z123,'Compte résultat prévi'!$J$5,'Hypotheses expl (3,)'!AA123)+SUMIF('Hypotheses expl (3,)'!AB123,'Compte résultat prévi'!$J$5,'Hypotheses expl (3,)'!AC123)</f>
        <v>1195.7711442786069</v>
      </c>
      <c r="K68" s="201">
        <f>+SUMIF('Hypotheses expl (3,)'!R123,'Compte résultat prévi'!$K$5,'Hypotheses expl (3,)'!S123)+SUMIF('Hypotheses expl (3,)'!T123,'Compte résultat prévi'!$K$5,'Hypotheses expl (3,)'!U123)+SUMIF('Hypotheses expl (3,)'!V123,'Compte résultat prévi'!$K$5,'Hypotheses expl (3,)'!W123)+SUMIF('Hypotheses expl (3,)'!X123,'Compte résultat prévi'!$K$5,'Hypotheses expl (3,)'!Y123)+SUMIF('Hypotheses expl (3,)'!Z123,'Compte résultat prévi'!$K$5,'Hypotheses expl (3,)'!AA123)+SUMIF('Hypotheses expl (3,)'!AB123,'Compte résultat prévi'!$K$5,'Hypotheses expl (3,)'!AC123)</f>
        <v>492.03980099502496</v>
      </c>
      <c r="L68" s="201">
        <f>+SUMIF('Hypotheses expl (3,)'!R123,'Compte résultat prévi'!$L$5,'Hypotheses expl (3,)'!S123)+SUMIF('Hypotheses expl (3,)'!T123,'Compte résultat prévi'!$L$5,'Hypotheses expl (3,)'!U123)+SUMIF('Hypotheses expl (3,)'!V123,'Compte résultat prévi'!$L$5,'Hypotheses expl (3,)'!W123)+SUMIF('Hypotheses expl (3,)'!X123,'Compte résultat prévi'!$L$5,'Hypotheses expl (3,)'!Y123)+SUMIF('Hypotheses expl (3,)'!Z123,'Compte résultat prévi'!$L$5,'Hypotheses expl (3,)'!AA123)+SUMIF('Hypotheses expl (3,)'!AB123,'Compte résultat prévi'!$L$5,'Hypotheses expl (3,)'!AC123)</f>
        <v>326.1194029850746</v>
      </c>
      <c r="M68" s="201">
        <f>+SUMIF('Hypotheses expl (3,)'!R123,'Compte résultat prévi'!$M$5,'Hypotheses expl (3,)'!S123)+SUMIF('Hypotheses expl (3,)'!T123,'Compte résultat prévi'!$M$5,'Hypotheses expl (3,)'!U123)+SUMIF('Hypotheses expl (3,)'!V123,'Compte résultat prévi'!$M$5,'Hypotheses expl (3,)'!W123)+SUMIF('Hypotheses expl (3,)'!X123,'Compte résultat prévi'!$M$5,'Hypotheses expl (3,)'!Y123)+SUMIF('Hypotheses expl (3,)'!Z123,'Compte résultat prévi'!$M$5,'Hypotheses expl (3,)'!AA123)+SUMIF('Hypotheses expl (3,)'!AB123,'Compte résultat prévi'!$M$5,'Hypotheses expl (3,)'!AC123)</f>
        <v>286.06965174129357</v>
      </c>
      <c r="N68" s="202">
        <f>+SUMIF('Hypotheses expl (3,)'!R123,'Compte résultat prévi'!$N$5,'Hypotheses expl (3,)'!S123)+SUMIF('Hypotheses expl (3,)'!T123,'Compte résultat prévi'!$N$5,'Hypotheses expl (3,)'!U123)+SUMIF('Hypotheses expl (3,)'!V123,'Compte résultat prévi'!$N$5,'Hypotheses expl (3,)'!W123)+SUMIF('Hypotheses expl (3,)'!X123,'Compte résultat prévi'!$N$5,'Hypotheses expl (3,)'!Y123)+SUMIF('Hypotheses expl (3,)'!Z123,'Compte résultat prévi'!$N$5,'Hypotheses expl (3,)'!AA123)+SUMIF('Hypotheses expl (3,)'!AB123,'Compte résultat prévi'!$N$5,'Hypotheses expl (3,)'!AC123)</f>
        <v>0</v>
      </c>
      <c r="O68" s="200">
        <f>+'Hypotheses expl (2)'!O122</f>
        <v>2300</v>
      </c>
      <c r="P68" s="201">
        <f>+SUMIF('Hypotheses expl (2)'!R122,'Compte résultat prévi'!$P$5,'Hypotheses expl (2)'!S122)+SUMIF('Hypotheses expl (2)'!T122,'Compte résultat prévi'!$P$5,'Hypotheses expl (2)'!U122)+SUMIF('Hypotheses expl (2)'!V122,'Compte résultat prévi'!$P$5,'Hypotheses expl (2)'!W122)+SUMIF('Hypotheses expl (2)'!X122,'Compte résultat prévi'!$P$5,'Hypotheses expl (2)'!Y122)+SUMIF('Hypotheses expl (2)'!Z122,'Compte résultat prévi'!$P$5,'Hypotheses expl (2)'!AA122)+SUMIF('Hypotheses expl (2)'!AB122,'Compte résultat prévi'!$P$5,'Hypotheses expl (2)'!AC122)</f>
        <v>1195.7711442786069</v>
      </c>
      <c r="Q68" s="201">
        <f>+SUMIF('Hypotheses expl (2)'!R122,'Compte résultat prévi'!$Q$5,'Hypotheses expl (2)'!S122)+SUMIF('Hypotheses expl (2)'!T122,'Compte résultat prévi'!$Q$5,'Hypotheses expl (2)'!U122)+SUMIF('Hypotheses expl (2)'!V122,'Compte résultat prévi'!$Q$5,'Hypotheses expl (2)'!W122)+SUMIF('Hypotheses expl (2)'!X122,'Compte résultat prévi'!$Q$5,'Hypotheses expl (2)'!Y122)+SUMIF('Hypotheses expl (2)'!Z122,'Compte résultat prévi'!$Q$5,'Hypotheses expl (2)'!AA122)+SUMIF('Hypotheses expl (2)'!AB122,'Compte résultat prévi'!$Q$5,'Hypotheses expl (2)'!AC122)</f>
        <v>492.03980099502496</v>
      </c>
      <c r="R68" s="201">
        <f>+SUMIF('Hypotheses expl (2)'!R122,'Compte résultat prévi'!$R$5,'Hypotheses expl (2)'!S122)+SUMIF('Hypotheses expl (2)'!T122,'Compte résultat prévi'!$R$5,'Hypotheses expl (2)'!U122)+SUMIF('Hypotheses expl (2)'!V122,'Compte résultat prévi'!$R$5,'Hypotheses expl (2)'!W122)+SUMIF('Hypotheses expl (2)'!X122,'Compte résultat prévi'!$R$5,'Hypotheses expl (2)'!Y122)+SUMIF('Hypotheses expl (2)'!Z122,'Compte résultat prévi'!$R$5,'Hypotheses expl (2)'!AA122)+SUMIF('Hypotheses expl (2)'!AB122,'Compte résultat prévi'!$R$5,'Hypotheses expl (2)'!AC122)</f>
        <v>326.1194029850746</v>
      </c>
      <c r="S68" s="201">
        <f>+SUMIF('Hypotheses expl (2)'!R122,'Compte résultat prévi'!$S$5,'Hypotheses expl (2)'!S122)+SUMIF('Hypotheses expl (2)'!T122,'Compte résultat prévi'!$S$5,'Hypotheses expl (2)'!U122)+SUMIF('Hypotheses expl (2)'!V122,'Compte résultat prévi'!$S$5,'Hypotheses expl (2)'!W122)+SUMIF('Hypotheses expl (2)'!X122,'Compte résultat prévi'!$S$5,'Hypotheses expl (2)'!Y122)+SUMIF('Hypotheses expl (2)'!Z122,'Compte résultat prévi'!$S$5,'Hypotheses expl (2)'!AA122)+SUMIF('Hypotheses expl (2)'!AB122,'Compte résultat prévi'!$S$5,'Hypotheses expl (2)'!AC122)</f>
        <v>286.06965174129357</v>
      </c>
      <c r="T68" s="202">
        <f>+SUMIF('Hypotheses expl (2)'!R122,'Compte résultat prévi'!$T$5,'Hypotheses expl (2)'!S122)+SUMIF('Hypotheses expl (2)'!T122,'Compte résultat prévi'!$T$5,'Hypotheses expl (2)'!U122)+SUMIF('Hypotheses expl (2)'!V122,'Compte résultat prévi'!$T$5,'Hypotheses expl (2)'!W122)+SUMIF('Hypotheses expl (2)'!X122,'Compte résultat prévi'!$T$5,'Hypotheses expl (2)'!Y122)+SUMIF('Hypotheses expl (2)'!Z122,'Compte résultat prévi'!$T$5,'Hypotheses expl (2)'!AA122)+SUMIF('Hypotheses expl (2)'!AB122,'Compte résultat prévi'!$T$5,'Hypotheses expl (2)'!AC122)</f>
        <v>0</v>
      </c>
      <c r="U68" s="203"/>
      <c r="V68" s="204"/>
    </row>
    <row r="69" outlineLevel="1">
      <c r="A69" s="198" t="str">
        <f>'Hypotheses expl'!B124</f>
        <v xml:space="preserve">Déplacement formateurs</v>
      </c>
      <c r="B69" s="234">
        <v>3</v>
      </c>
      <c r="C69" s="200">
        <f>+'Hypotheses expl'!O124</f>
        <v>5700</v>
      </c>
      <c r="D69" s="201">
        <f>+SUMIF('Hypotheses expl'!R124,'Compte résultat prévi'!$D$5,'Hypotheses expl'!S124)+SUMIF('Hypotheses expl'!T124,'Compte résultat prévi'!$D$5,'Hypotheses expl'!U124)+SUMIF('Hypotheses expl'!V124,'Compte résultat prévi'!$D$5,'Hypotheses expl'!W124)+SUMIF('Hypotheses expl'!X124,'Compte résultat prévi'!$D$5,'Hypotheses expl'!Y124)+SUMIF('Hypotheses expl'!Z124,'Compte résultat prévi'!$D$5,'Hypotheses expl'!AA124)+SUMIF('Hypotheses expl'!AB124,'Compte résultat prévi'!$D$5,'Hypotheses expl'!AC124)</f>
        <v>0</v>
      </c>
      <c r="E69" s="201">
        <f>+SUMIF('Hypotheses expl'!R124,'Compte résultat prévi'!$E$5,'Hypotheses expl'!S124)+SUMIF('Hypotheses expl'!T124,'Compte résultat prévi'!$E$5,'Hypotheses expl'!U124)+SUMIF('Hypotheses expl'!V124,'Compte résultat prévi'!$E$5,'Hypotheses expl'!W124)+SUMIF('Hypotheses expl'!X124,'Compte résultat prévi'!$E$5,'Hypotheses expl'!Y124)+SUMIF('Hypotheses expl'!Z124,'Compte résultat prévi'!$E$5,'Hypotheses expl'!AA124)+SUMIF('Hypotheses expl'!AB124,'Compte résultat prévi'!$E$5,'Hypotheses expl'!AC124)</f>
        <v>0</v>
      </c>
      <c r="F69" s="201">
        <f>+SUMIF('Hypotheses expl'!R124,'Compte résultat prévi'!$F$5,'Hypotheses expl'!S124)+SUMIF('Hypotheses expl'!T124,'Compte résultat prévi'!$F$5,'Hypotheses expl'!U124)+SUMIF('Hypotheses expl'!V124,'Compte résultat prévi'!$F$5,'Hypotheses expl'!W124)+SUMIF('Hypotheses expl'!X124,'Compte résultat prévi'!$F$5,'Hypotheses expl'!Y124)+SUMIF('Hypotheses expl'!Z124,'Compte résultat prévi'!$F$5,'Hypotheses expl'!AA124)+SUMIF('Hypotheses expl'!AB124,'Compte résultat prévi'!$F$5,'Hypotheses expl'!AC124)</f>
        <v>0</v>
      </c>
      <c r="G69" s="201">
        <f>+SUMIF('Hypotheses expl'!R124,'Compte résultat prévi'!$G$5,'Hypotheses expl'!S124)+SUMIF('Hypotheses expl'!T124,'Compte résultat prévi'!$G$5,'Hypotheses expl'!U124)+SUMIF('Hypotheses expl'!V124,'Compte résultat prévi'!$G$5,'Hypotheses expl'!W124)+SUMIF('Hypotheses expl'!X124,'Compte résultat prévi'!$G$5,'Hypotheses expl'!Y124)+SUMIF('Hypotheses expl'!Z124,'Compte résultat prévi'!$G$5,'Hypotheses expl'!AA124)+SUMIF('Hypotheses expl'!AB124,'Compte résultat prévi'!$G$5,'Hypotheses expl'!AC124)</f>
        <v>0</v>
      </c>
      <c r="H69" s="202">
        <f>+SUMIF('Hypotheses expl'!R124,'Compte résultat prévi'!$H$5,'Hypotheses expl'!S124)+SUMIF('Hypotheses expl'!T124,'Compte résultat prévi'!$H$5,'Hypotheses expl'!U124)+SUMIF('Hypotheses expl'!V124,'Compte résultat prévi'!$H$5,'Hypotheses expl'!W124)+SUMIF('Hypotheses expl'!X124,'Compte résultat prévi'!$H$5,'Hypotheses expl'!Y124)+SUMIF('Hypotheses expl'!Z124,'Compte résultat prévi'!$H$5,'Hypotheses expl'!AA124)+SUMIF('Hypotheses expl'!AB124,'Compte résultat prévi'!$H$5,'Hypotheses expl'!AC124)</f>
        <v>5700</v>
      </c>
      <c r="I69" s="200">
        <f>+'Hypotheses expl (3,)'!O124</f>
        <v>5700</v>
      </c>
      <c r="J69" s="201">
        <f>+SUMIF('Hypotheses expl (3,)'!R124,'Compte résultat prévi'!$J$5,'Hypotheses expl (3,)'!S124)+SUMIF('Hypotheses expl (3,)'!T124,'Compte résultat prévi'!$J$5,'Hypotheses expl (3,)'!U124)+SUMIF('Hypotheses expl (3,)'!V124,'Compte résultat prévi'!$J$5,'Hypotheses expl (3,)'!W124)+SUMIF('Hypotheses expl (3,)'!X124,'Compte résultat prévi'!$J$5,'Hypotheses expl (3,)'!Y124)+SUMIF('Hypotheses expl (3,)'!Z124,'Compte résultat prévi'!$J$5,'Hypotheses expl (3,)'!AA124)+SUMIF('Hypotheses expl (3,)'!AB124,'Compte résultat prévi'!$J$5,'Hypotheses expl (3,)'!AC124)</f>
        <v>0</v>
      </c>
      <c r="K69" s="201">
        <f>+SUMIF('Hypotheses expl (3,)'!R124,'Compte résultat prévi'!$K$5,'Hypotheses expl (3,)'!S124)+SUMIF('Hypotheses expl (3,)'!T124,'Compte résultat prévi'!$K$5,'Hypotheses expl (3,)'!U124)+SUMIF('Hypotheses expl (3,)'!V124,'Compte résultat prévi'!$K$5,'Hypotheses expl (3,)'!W124)+SUMIF('Hypotheses expl (3,)'!X124,'Compte résultat prévi'!$K$5,'Hypotheses expl (3,)'!Y124)+SUMIF('Hypotheses expl (3,)'!Z124,'Compte résultat prévi'!$K$5,'Hypotheses expl (3,)'!AA124)+SUMIF('Hypotheses expl (3,)'!AB124,'Compte résultat prévi'!$K$5,'Hypotheses expl (3,)'!AC124)</f>
        <v>0</v>
      </c>
      <c r="L69" s="201">
        <f>+SUMIF('Hypotheses expl (3,)'!R124,'Compte résultat prévi'!$L$5,'Hypotheses expl (3,)'!S124)+SUMIF('Hypotheses expl (3,)'!T124,'Compte résultat prévi'!$L$5,'Hypotheses expl (3,)'!U124)+SUMIF('Hypotheses expl (3,)'!V124,'Compte résultat prévi'!$L$5,'Hypotheses expl (3,)'!W124)+SUMIF('Hypotheses expl (3,)'!X124,'Compte résultat prévi'!$L$5,'Hypotheses expl (3,)'!Y124)+SUMIF('Hypotheses expl (3,)'!Z124,'Compte résultat prévi'!$L$5,'Hypotheses expl (3,)'!AA124)+SUMIF('Hypotheses expl (3,)'!AB124,'Compte résultat prévi'!$L$5,'Hypotheses expl (3,)'!AC124)</f>
        <v>0</v>
      </c>
      <c r="M69" s="201">
        <f>+SUMIF('Hypotheses expl (3,)'!R124,'Compte résultat prévi'!$M$5,'Hypotheses expl (3,)'!S124)+SUMIF('Hypotheses expl (3,)'!T124,'Compte résultat prévi'!$M$5,'Hypotheses expl (3,)'!U124)+SUMIF('Hypotheses expl (3,)'!V124,'Compte résultat prévi'!$M$5,'Hypotheses expl (3,)'!W124)+SUMIF('Hypotheses expl (3,)'!X124,'Compte résultat prévi'!$M$5,'Hypotheses expl (3,)'!Y124)+SUMIF('Hypotheses expl (3,)'!Z124,'Compte résultat prévi'!$M$5,'Hypotheses expl (3,)'!AA124)+SUMIF('Hypotheses expl (3,)'!AB124,'Compte résultat prévi'!$M$5,'Hypotheses expl (3,)'!AC124)</f>
        <v>0</v>
      </c>
      <c r="N69" s="202">
        <f>+SUMIF('Hypotheses expl (3,)'!R124,'Compte résultat prévi'!$N$5,'Hypotheses expl (3,)'!S124)+SUMIF('Hypotheses expl (3,)'!T124,'Compte résultat prévi'!$N$5,'Hypotheses expl (3,)'!U124)+SUMIF('Hypotheses expl (3,)'!V124,'Compte résultat prévi'!$N$5,'Hypotheses expl (3,)'!W124)+SUMIF('Hypotheses expl (3,)'!X124,'Compte résultat prévi'!$N$5,'Hypotheses expl (3,)'!Y124)+SUMIF('Hypotheses expl (3,)'!Z124,'Compte résultat prévi'!$N$5,'Hypotheses expl (3,)'!AA124)+SUMIF('Hypotheses expl (3,)'!AB124,'Compte résultat prévi'!$N$5,'Hypotheses expl (3,)'!AC124)</f>
        <v>5700</v>
      </c>
      <c r="O69" s="200">
        <f>+'Hypotheses expl (2)'!O123</f>
        <v>5700</v>
      </c>
      <c r="P69" s="201">
        <f>+SUMIF('Hypotheses expl (2)'!R123,'Compte résultat prévi'!$P$5,'Hypotheses expl (2)'!S123)+SUMIF('Hypotheses expl (2)'!T123,'Compte résultat prévi'!$P$5,'Hypotheses expl (2)'!U123)+SUMIF('Hypotheses expl (2)'!V123,'Compte résultat prévi'!$P$5,'Hypotheses expl (2)'!W123)+SUMIF('Hypotheses expl (2)'!X123,'Compte résultat prévi'!$P$5,'Hypotheses expl (2)'!Y123)+SUMIF('Hypotheses expl (2)'!Z123,'Compte résultat prévi'!$P$5,'Hypotheses expl (2)'!AA123)+SUMIF('Hypotheses expl (2)'!AB123,'Compte résultat prévi'!$P$5,'Hypotheses expl (2)'!AC123)</f>
        <v>0</v>
      </c>
      <c r="Q69" s="201">
        <f>+SUMIF('Hypotheses expl (2)'!R123,'Compte résultat prévi'!$Q$5,'Hypotheses expl (2)'!S123)+SUMIF('Hypotheses expl (2)'!T123,'Compte résultat prévi'!$Q$5,'Hypotheses expl (2)'!U123)+SUMIF('Hypotheses expl (2)'!V123,'Compte résultat prévi'!$Q$5,'Hypotheses expl (2)'!W123)+SUMIF('Hypotheses expl (2)'!X123,'Compte résultat prévi'!$Q$5,'Hypotheses expl (2)'!Y123)+SUMIF('Hypotheses expl (2)'!Z123,'Compte résultat prévi'!$Q$5,'Hypotheses expl (2)'!AA123)+SUMIF('Hypotheses expl (2)'!AB123,'Compte résultat prévi'!$Q$5,'Hypotheses expl (2)'!AC123)</f>
        <v>0</v>
      </c>
      <c r="R69" s="201">
        <f>+SUMIF('Hypotheses expl (2)'!R123,'Compte résultat prévi'!$R$5,'Hypotheses expl (2)'!S123)+SUMIF('Hypotheses expl (2)'!T123,'Compte résultat prévi'!$R$5,'Hypotheses expl (2)'!U123)+SUMIF('Hypotheses expl (2)'!V123,'Compte résultat prévi'!$R$5,'Hypotheses expl (2)'!W123)+SUMIF('Hypotheses expl (2)'!X123,'Compte résultat prévi'!$R$5,'Hypotheses expl (2)'!Y123)+SUMIF('Hypotheses expl (2)'!Z123,'Compte résultat prévi'!$R$5,'Hypotheses expl (2)'!AA123)+SUMIF('Hypotheses expl (2)'!AB123,'Compte résultat prévi'!$R$5,'Hypotheses expl (2)'!AC123)</f>
        <v>0</v>
      </c>
      <c r="S69" s="201">
        <f>+SUMIF('Hypotheses expl (2)'!R123,'Compte résultat prévi'!$S$5,'Hypotheses expl (2)'!S123)+SUMIF('Hypotheses expl (2)'!T123,'Compte résultat prévi'!$S$5,'Hypotheses expl (2)'!U123)+SUMIF('Hypotheses expl (2)'!V123,'Compte résultat prévi'!$S$5,'Hypotheses expl (2)'!W123)+SUMIF('Hypotheses expl (2)'!X123,'Compte résultat prévi'!$S$5,'Hypotheses expl (2)'!Y123)+SUMIF('Hypotheses expl (2)'!Z123,'Compte résultat prévi'!$S$5,'Hypotheses expl (2)'!AA123)+SUMIF('Hypotheses expl (2)'!AB123,'Compte résultat prévi'!$S$5,'Hypotheses expl (2)'!AC123)</f>
        <v>0</v>
      </c>
      <c r="T69" s="202">
        <f>+SUMIF('Hypotheses expl (2)'!R123,'Compte résultat prévi'!$T$5,'Hypotheses expl (2)'!S123)+SUMIF('Hypotheses expl (2)'!T123,'Compte résultat prévi'!$T$5,'Hypotheses expl (2)'!U123)+SUMIF('Hypotheses expl (2)'!V123,'Compte résultat prévi'!$T$5,'Hypotheses expl (2)'!W123)+SUMIF('Hypotheses expl (2)'!X123,'Compte résultat prévi'!$T$5,'Hypotheses expl (2)'!Y123)+SUMIF('Hypotheses expl (2)'!Z123,'Compte résultat prévi'!$T$5,'Hypotheses expl (2)'!AA123)+SUMIF('Hypotheses expl (2)'!AB123,'Compte résultat prévi'!$T$5,'Hypotheses expl (2)'!AC123)</f>
        <v>5700</v>
      </c>
      <c r="U69" s="203"/>
      <c r="V69" s="204"/>
    </row>
    <row r="70" outlineLevel="1">
      <c r="A70" s="198" t="str">
        <f>'Hypotheses expl'!B125</f>
        <v xml:space="preserve">Déplacements admin</v>
      </c>
      <c r="B70" s="234">
        <v>3</v>
      </c>
      <c r="C70" s="200">
        <f>+'Hypotheses expl'!O125</f>
        <v>1500</v>
      </c>
      <c r="D70" s="201">
        <f>+SUMIF('Hypotheses expl'!R125,'Compte résultat prévi'!$D$5,'Hypotheses expl'!S125)+SUMIF('Hypotheses expl'!T125,'Compte résultat prévi'!$D$5,'Hypotheses expl'!U125)+SUMIF('Hypotheses expl'!V125,'Compte résultat prévi'!$D$5,'Hypotheses expl'!W125)+SUMIF('Hypotheses expl'!X125,'Compte résultat prévi'!$D$5,'Hypotheses expl'!Y125)+SUMIF('Hypotheses expl'!Z125,'Compte résultat prévi'!$D$5,'Hypotheses expl'!AA125)+SUMIF('Hypotheses expl'!AB125,'Compte résultat prévi'!$D$5,'Hypotheses expl'!AC125)</f>
        <v>0</v>
      </c>
      <c r="E70" s="201">
        <f>+SUMIF('Hypotheses expl'!R125,'Compte résultat prévi'!$E$5,'Hypotheses expl'!S125)+SUMIF('Hypotheses expl'!T125,'Compte résultat prévi'!$E$5,'Hypotheses expl'!U125)+SUMIF('Hypotheses expl'!V125,'Compte résultat prévi'!$E$5,'Hypotheses expl'!W125)+SUMIF('Hypotheses expl'!X125,'Compte résultat prévi'!$E$5,'Hypotheses expl'!Y125)+SUMIF('Hypotheses expl'!Z125,'Compte résultat prévi'!$E$5,'Hypotheses expl'!AA125)+SUMIF('Hypotheses expl'!AB125,'Compte résultat prévi'!$E$5,'Hypotheses expl'!AC125)</f>
        <v>0</v>
      </c>
      <c r="F70" s="201">
        <f>+SUMIF('Hypotheses expl'!R125,'Compte résultat prévi'!$F$5,'Hypotheses expl'!S125)+SUMIF('Hypotheses expl'!T125,'Compte résultat prévi'!$F$5,'Hypotheses expl'!U125)+SUMIF('Hypotheses expl'!V125,'Compte résultat prévi'!$F$5,'Hypotheses expl'!W125)+SUMIF('Hypotheses expl'!X125,'Compte résultat prévi'!$F$5,'Hypotheses expl'!Y125)+SUMIF('Hypotheses expl'!Z125,'Compte résultat prévi'!$F$5,'Hypotheses expl'!AA125)+SUMIF('Hypotheses expl'!AB125,'Compte résultat prévi'!$F$5,'Hypotheses expl'!AC125)</f>
        <v>0</v>
      </c>
      <c r="G70" s="201">
        <f>+SUMIF('Hypotheses expl'!R125,'Compte résultat prévi'!$G$5,'Hypotheses expl'!S125)+SUMIF('Hypotheses expl'!T125,'Compte résultat prévi'!$G$5,'Hypotheses expl'!U125)+SUMIF('Hypotheses expl'!V125,'Compte résultat prévi'!$G$5,'Hypotheses expl'!W125)+SUMIF('Hypotheses expl'!X125,'Compte résultat prévi'!$G$5,'Hypotheses expl'!Y125)+SUMIF('Hypotheses expl'!Z125,'Compte résultat prévi'!$G$5,'Hypotheses expl'!AA125)+SUMIF('Hypotheses expl'!AB125,'Compte résultat prévi'!$G$5,'Hypotheses expl'!AC125)</f>
        <v>0</v>
      </c>
      <c r="H70" s="202">
        <f>+SUMIF('Hypotheses expl'!R125,'Compte résultat prévi'!$H$5,'Hypotheses expl'!S125)+SUMIF('Hypotheses expl'!T125,'Compte résultat prévi'!$H$5,'Hypotheses expl'!U125)+SUMIF('Hypotheses expl'!V125,'Compte résultat prévi'!$H$5,'Hypotheses expl'!W125)+SUMIF('Hypotheses expl'!X125,'Compte résultat prévi'!$H$5,'Hypotheses expl'!Y125)+SUMIF('Hypotheses expl'!Z125,'Compte résultat prévi'!$H$5,'Hypotheses expl'!AA125)+SUMIF('Hypotheses expl'!AB125,'Compte résultat prévi'!$H$5,'Hypotheses expl'!AC125)</f>
        <v>1500</v>
      </c>
      <c r="I70" s="200">
        <f>+'Hypotheses expl (3,)'!O125</f>
        <v>1500</v>
      </c>
      <c r="J70" s="201">
        <f>+SUMIF('Hypotheses expl (3,)'!R125,'Compte résultat prévi'!$J$5,'Hypotheses expl (3,)'!S125)+SUMIF('Hypotheses expl (3,)'!T125,'Compte résultat prévi'!$J$5,'Hypotheses expl (3,)'!U125)+SUMIF('Hypotheses expl (3,)'!V125,'Compte résultat prévi'!$J$5,'Hypotheses expl (3,)'!W125)+SUMIF('Hypotheses expl (3,)'!X125,'Compte résultat prévi'!$J$5,'Hypotheses expl (3,)'!Y125)+SUMIF('Hypotheses expl (3,)'!Z125,'Compte résultat prévi'!$J$5,'Hypotheses expl (3,)'!AA125)+SUMIF('Hypotheses expl (3,)'!AB125,'Compte résultat prévi'!$J$5,'Hypotheses expl (3,)'!AC125)</f>
        <v>0</v>
      </c>
      <c r="K70" s="201">
        <f>+SUMIF('Hypotheses expl (3,)'!R125,'Compte résultat prévi'!$K$5,'Hypotheses expl (3,)'!S125)+SUMIF('Hypotheses expl (3,)'!T125,'Compte résultat prévi'!$K$5,'Hypotheses expl (3,)'!U125)+SUMIF('Hypotheses expl (3,)'!V125,'Compte résultat prévi'!$K$5,'Hypotheses expl (3,)'!W125)+SUMIF('Hypotheses expl (3,)'!X125,'Compte résultat prévi'!$K$5,'Hypotheses expl (3,)'!Y125)+SUMIF('Hypotheses expl (3,)'!Z125,'Compte résultat prévi'!$K$5,'Hypotheses expl (3,)'!AA125)+SUMIF('Hypotheses expl (3,)'!AB125,'Compte résultat prévi'!$K$5,'Hypotheses expl (3,)'!AC125)</f>
        <v>0</v>
      </c>
      <c r="L70" s="201">
        <f>+SUMIF('Hypotheses expl (3,)'!R125,'Compte résultat prévi'!$L$5,'Hypotheses expl (3,)'!S125)+SUMIF('Hypotheses expl (3,)'!T125,'Compte résultat prévi'!$L$5,'Hypotheses expl (3,)'!U125)+SUMIF('Hypotheses expl (3,)'!V125,'Compte résultat prévi'!$L$5,'Hypotheses expl (3,)'!W125)+SUMIF('Hypotheses expl (3,)'!X125,'Compte résultat prévi'!$L$5,'Hypotheses expl (3,)'!Y125)+SUMIF('Hypotheses expl (3,)'!Z125,'Compte résultat prévi'!$L$5,'Hypotheses expl (3,)'!AA125)+SUMIF('Hypotheses expl (3,)'!AB125,'Compte résultat prévi'!$L$5,'Hypotheses expl (3,)'!AC125)</f>
        <v>0</v>
      </c>
      <c r="M70" s="201">
        <f>+SUMIF('Hypotheses expl (3,)'!R125,'Compte résultat prévi'!$M$5,'Hypotheses expl (3,)'!S125)+SUMIF('Hypotheses expl (3,)'!T125,'Compte résultat prévi'!$M$5,'Hypotheses expl (3,)'!U125)+SUMIF('Hypotheses expl (3,)'!V125,'Compte résultat prévi'!$M$5,'Hypotheses expl (3,)'!W125)+SUMIF('Hypotheses expl (3,)'!X125,'Compte résultat prévi'!$M$5,'Hypotheses expl (3,)'!Y125)+SUMIF('Hypotheses expl (3,)'!Z125,'Compte résultat prévi'!$M$5,'Hypotheses expl (3,)'!AA125)+SUMIF('Hypotheses expl (3,)'!AB125,'Compte résultat prévi'!$M$5,'Hypotheses expl (3,)'!AC125)</f>
        <v>0</v>
      </c>
      <c r="N70" s="202">
        <f>+SUMIF('Hypotheses expl (3,)'!R125,'Compte résultat prévi'!$N$5,'Hypotheses expl (3,)'!S125)+SUMIF('Hypotheses expl (3,)'!T125,'Compte résultat prévi'!$N$5,'Hypotheses expl (3,)'!U125)+SUMIF('Hypotheses expl (3,)'!V125,'Compte résultat prévi'!$N$5,'Hypotheses expl (3,)'!W125)+SUMIF('Hypotheses expl (3,)'!X125,'Compte résultat prévi'!$N$5,'Hypotheses expl (3,)'!Y125)+SUMIF('Hypotheses expl (3,)'!Z125,'Compte résultat prévi'!$N$5,'Hypotheses expl (3,)'!AA125)+SUMIF('Hypotheses expl (3,)'!AB125,'Compte résultat prévi'!$N$5,'Hypotheses expl (3,)'!AC125)</f>
        <v>1500</v>
      </c>
      <c r="O70" s="200">
        <f>+'Hypotheses expl (2)'!O124</f>
        <v>1500</v>
      </c>
      <c r="P70" s="201">
        <f>+SUMIF('Hypotheses expl (2)'!R124,'Compte résultat prévi'!$P$5,'Hypotheses expl (2)'!S124)+SUMIF('Hypotheses expl (2)'!T124,'Compte résultat prévi'!$P$5,'Hypotheses expl (2)'!U124)+SUMIF('Hypotheses expl (2)'!V124,'Compte résultat prévi'!$P$5,'Hypotheses expl (2)'!W124)+SUMIF('Hypotheses expl (2)'!X124,'Compte résultat prévi'!$P$5,'Hypotheses expl (2)'!Y124)+SUMIF('Hypotheses expl (2)'!Z124,'Compte résultat prévi'!$P$5,'Hypotheses expl (2)'!AA124)+SUMIF('Hypotheses expl (2)'!AB124,'Compte résultat prévi'!$P$5,'Hypotheses expl (2)'!AC124)</f>
        <v>0</v>
      </c>
      <c r="Q70" s="201">
        <f>+SUMIF('Hypotheses expl (2)'!R124,'Compte résultat prévi'!$Q$5,'Hypotheses expl (2)'!S124)+SUMIF('Hypotheses expl (2)'!T124,'Compte résultat prévi'!$Q$5,'Hypotheses expl (2)'!U124)+SUMIF('Hypotheses expl (2)'!V124,'Compte résultat prévi'!$Q$5,'Hypotheses expl (2)'!W124)+SUMIF('Hypotheses expl (2)'!X124,'Compte résultat prévi'!$Q$5,'Hypotheses expl (2)'!Y124)+SUMIF('Hypotheses expl (2)'!Z124,'Compte résultat prévi'!$Q$5,'Hypotheses expl (2)'!AA124)+SUMIF('Hypotheses expl (2)'!AB124,'Compte résultat prévi'!$Q$5,'Hypotheses expl (2)'!AC124)</f>
        <v>0</v>
      </c>
      <c r="R70" s="201">
        <f>+SUMIF('Hypotheses expl (2)'!R124,'Compte résultat prévi'!$R$5,'Hypotheses expl (2)'!S124)+SUMIF('Hypotheses expl (2)'!T124,'Compte résultat prévi'!$R$5,'Hypotheses expl (2)'!U124)+SUMIF('Hypotheses expl (2)'!V124,'Compte résultat prévi'!$R$5,'Hypotheses expl (2)'!W124)+SUMIF('Hypotheses expl (2)'!X124,'Compte résultat prévi'!$R$5,'Hypotheses expl (2)'!Y124)+SUMIF('Hypotheses expl (2)'!Z124,'Compte résultat prévi'!$R$5,'Hypotheses expl (2)'!AA124)+SUMIF('Hypotheses expl (2)'!AB124,'Compte résultat prévi'!$R$5,'Hypotheses expl (2)'!AC124)</f>
        <v>0</v>
      </c>
      <c r="S70" s="201">
        <f>+SUMIF('Hypotheses expl (2)'!R124,'Compte résultat prévi'!$S$5,'Hypotheses expl (2)'!S124)+SUMIF('Hypotheses expl (2)'!T124,'Compte résultat prévi'!$S$5,'Hypotheses expl (2)'!U124)+SUMIF('Hypotheses expl (2)'!V124,'Compte résultat prévi'!$S$5,'Hypotheses expl (2)'!W124)+SUMIF('Hypotheses expl (2)'!X124,'Compte résultat prévi'!$S$5,'Hypotheses expl (2)'!Y124)+SUMIF('Hypotheses expl (2)'!Z124,'Compte résultat prévi'!$S$5,'Hypotheses expl (2)'!AA124)+SUMIF('Hypotheses expl (2)'!AB124,'Compte résultat prévi'!$S$5,'Hypotheses expl (2)'!AC124)</f>
        <v>0</v>
      </c>
      <c r="T70" s="202">
        <f>+SUMIF('Hypotheses expl (2)'!R124,'Compte résultat prévi'!$T$5,'Hypotheses expl (2)'!S124)+SUMIF('Hypotheses expl (2)'!T124,'Compte résultat prévi'!$T$5,'Hypotheses expl (2)'!U124)+SUMIF('Hypotheses expl (2)'!V124,'Compte résultat prévi'!$T$5,'Hypotheses expl (2)'!W124)+SUMIF('Hypotheses expl (2)'!X124,'Compte résultat prévi'!$T$5,'Hypotheses expl (2)'!Y124)+SUMIF('Hypotheses expl (2)'!Z124,'Compte résultat prévi'!$T$5,'Hypotheses expl (2)'!AA124)+SUMIF('Hypotheses expl (2)'!AB124,'Compte résultat prévi'!$T$5,'Hypotheses expl (2)'!AC124)</f>
        <v>1500</v>
      </c>
      <c r="U70" s="203"/>
      <c r="V70" s="204"/>
    </row>
    <row r="71" outlineLevel="1">
      <c r="A71" s="198" t="str">
        <f>'Hypotheses expl'!B126</f>
        <v xml:space="preserve">Frais de mission</v>
      </c>
      <c r="B71" s="234">
        <v>4</v>
      </c>
      <c r="C71" s="200">
        <f>+'Hypotheses expl'!O126</f>
        <v>12000</v>
      </c>
      <c r="D71" s="201">
        <f>+SUMIF('Hypotheses expl'!R126,'Compte résultat prévi'!$D$5,'Hypotheses expl'!S126)+SUMIF('Hypotheses expl'!T126,'Compte résultat prévi'!$D$5,'Hypotheses expl'!U126)+SUMIF('Hypotheses expl'!V126,'Compte résultat prévi'!$D$5,'Hypotheses expl'!W126)+SUMIF('Hypotheses expl'!X126,'Compte résultat prévi'!$D$5,'Hypotheses expl'!Y126)+SUMIF('Hypotheses expl'!Z126,'Compte résultat prévi'!$D$5,'Hypotheses expl'!AA126)+SUMIF('Hypotheses expl'!AB126,'Compte résultat prévi'!$D$5,'Hypotheses expl'!AC126)</f>
        <v>0</v>
      </c>
      <c r="E71" s="201">
        <f>+SUMIF('Hypotheses expl'!R126,'Compte résultat prévi'!$E$5,'Hypotheses expl'!S126)+SUMIF('Hypotheses expl'!T126,'Compte résultat prévi'!$E$5,'Hypotheses expl'!U126)+SUMIF('Hypotheses expl'!V126,'Compte résultat prévi'!$E$5,'Hypotheses expl'!W126)+SUMIF('Hypotheses expl'!X126,'Compte résultat prévi'!$E$5,'Hypotheses expl'!Y126)+SUMIF('Hypotheses expl'!Z126,'Compte résultat prévi'!$E$5,'Hypotheses expl'!AA126)+SUMIF('Hypotheses expl'!AB126,'Compte résultat prévi'!$E$5,'Hypotheses expl'!AC126)</f>
        <v>0</v>
      </c>
      <c r="F71" s="201">
        <f>+SUMIF('Hypotheses expl'!R126,'Compte résultat prévi'!$F$5,'Hypotheses expl'!S126)+SUMIF('Hypotheses expl'!T126,'Compte résultat prévi'!$F$5,'Hypotheses expl'!U126)+SUMIF('Hypotheses expl'!V126,'Compte résultat prévi'!$F$5,'Hypotheses expl'!W126)+SUMIF('Hypotheses expl'!X126,'Compte résultat prévi'!$F$5,'Hypotheses expl'!Y126)+SUMIF('Hypotheses expl'!Z126,'Compte résultat prévi'!$F$5,'Hypotheses expl'!AA126)+SUMIF('Hypotheses expl'!AB126,'Compte résultat prévi'!$F$5,'Hypotheses expl'!AC126)</f>
        <v>0</v>
      </c>
      <c r="G71" s="201">
        <f>+SUMIF('Hypotheses expl'!R126,'Compte résultat prévi'!$G$5,'Hypotheses expl'!S126)+SUMIF('Hypotheses expl'!T126,'Compte résultat prévi'!$G$5,'Hypotheses expl'!U126)+SUMIF('Hypotheses expl'!V126,'Compte résultat prévi'!$G$5,'Hypotheses expl'!W126)+SUMIF('Hypotheses expl'!X126,'Compte résultat prévi'!$G$5,'Hypotheses expl'!Y126)+SUMIF('Hypotheses expl'!Z126,'Compte résultat prévi'!$G$5,'Hypotheses expl'!AA126)+SUMIF('Hypotheses expl'!AB126,'Compte résultat prévi'!$G$5,'Hypotheses expl'!AC126)</f>
        <v>0</v>
      </c>
      <c r="H71" s="202">
        <f>+SUMIF('Hypotheses expl'!R126,'Compte résultat prévi'!$H$5,'Hypotheses expl'!S126)+SUMIF('Hypotheses expl'!T126,'Compte résultat prévi'!$H$5,'Hypotheses expl'!U126)+SUMIF('Hypotheses expl'!V126,'Compte résultat prévi'!$H$5,'Hypotheses expl'!W126)+SUMIF('Hypotheses expl'!X126,'Compte résultat prévi'!$H$5,'Hypotheses expl'!Y126)+SUMIF('Hypotheses expl'!Z126,'Compte résultat prévi'!$H$5,'Hypotheses expl'!AA126)+SUMIF('Hypotheses expl'!AB126,'Compte résultat prévi'!$H$5,'Hypotheses expl'!AC126)</f>
        <v>12000</v>
      </c>
      <c r="I71" s="200">
        <f>+'Hypotheses expl (3,)'!O126</f>
        <v>12000</v>
      </c>
      <c r="J71" s="201">
        <f>+SUMIF('Hypotheses expl (3,)'!R126,'Compte résultat prévi'!$J$5,'Hypotheses expl (3,)'!S126)+SUMIF('Hypotheses expl (3,)'!T126,'Compte résultat prévi'!$J$5,'Hypotheses expl (3,)'!U126)+SUMIF('Hypotheses expl (3,)'!V126,'Compte résultat prévi'!$J$5,'Hypotheses expl (3,)'!W126)+SUMIF('Hypotheses expl (3,)'!X126,'Compte résultat prévi'!$J$5,'Hypotheses expl (3,)'!Y126)+SUMIF('Hypotheses expl (3,)'!Z126,'Compte résultat prévi'!$J$5,'Hypotheses expl (3,)'!AA126)+SUMIF('Hypotheses expl (3,)'!AB126,'Compte résultat prévi'!$J$5,'Hypotheses expl (3,)'!AC126)</f>
        <v>0</v>
      </c>
      <c r="K71" s="201">
        <f>+SUMIF('Hypotheses expl (3,)'!R126,'Compte résultat prévi'!$K$5,'Hypotheses expl (3,)'!S126)+SUMIF('Hypotheses expl (3,)'!T126,'Compte résultat prévi'!$K$5,'Hypotheses expl (3,)'!U126)+SUMIF('Hypotheses expl (3,)'!V126,'Compte résultat prévi'!$K$5,'Hypotheses expl (3,)'!W126)+SUMIF('Hypotheses expl (3,)'!X126,'Compte résultat prévi'!$K$5,'Hypotheses expl (3,)'!Y126)+SUMIF('Hypotheses expl (3,)'!Z126,'Compte résultat prévi'!$K$5,'Hypotheses expl (3,)'!AA126)+SUMIF('Hypotheses expl (3,)'!AB126,'Compte résultat prévi'!$K$5,'Hypotheses expl (3,)'!AC126)</f>
        <v>0</v>
      </c>
      <c r="L71" s="201">
        <f>+SUMIF('Hypotheses expl (3,)'!R126,'Compte résultat prévi'!$L$5,'Hypotheses expl (3,)'!S126)+SUMIF('Hypotheses expl (3,)'!T126,'Compte résultat prévi'!$L$5,'Hypotheses expl (3,)'!U126)+SUMIF('Hypotheses expl (3,)'!V126,'Compte résultat prévi'!$L$5,'Hypotheses expl (3,)'!W126)+SUMIF('Hypotheses expl (3,)'!X126,'Compte résultat prévi'!$L$5,'Hypotheses expl (3,)'!Y126)+SUMIF('Hypotheses expl (3,)'!Z126,'Compte résultat prévi'!$L$5,'Hypotheses expl (3,)'!AA126)+SUMIF('Hypotheses expl (3,)'!AB126,'Compte résultat prévi'!$L$5,'Hypotheses expl (3,)'!AC126)</f>
        <v>0</v>
      </c>
      <c r="M71" s="201">
        <f>+SUMIF('Hypotheses expl (3,)'!R126,'Compte résultat prévi'!$M$5,'Hypotheses expl (3,)'!S126)+SUMIF('Hypotheses expl (3,)'!T126,'Compte résultat prévi'!$M$5,'Hypotheses expl (3,)'!U126)+SUMIF('Hypotheses expl (3,)'!V126,'Compte résultat prévi'!$M$5,'Hypotheses expl (3,)'!W126)+SUMIF('Hypotheses expl (3,)'!X126,'Compte résultat prévi'!$M$5,'Hypotheses expl (3,)'!Y126)+SUMIF('Hypotheses expl (3,)'!Z126,'Compte résultat prévi'!$M$5,'Hypotheses expl (3,)'!AA126)+SUMIF('Hypotheses expl (3,)'!AB126,'Compte résultat prévi'!$M$5,'Hypotheses expl (3,)'!AC126)</f>
        <v>0</v>
      </c>
      <c r="N71" s="202">
        <f>+SUMIF('Hypotheses expl (3,)'!R126,'Compte résultat prévi'!$N$5,'Hypotheses expl (3,)'!S126)+SUMIF('Hypotheses expl (3,)'!T126,'Compte résultat prévi'!$N$5,'Hypotheses expl (3,)'!U126)+SUMIF('Hypotheses expl (3,)'!V126,'Compte résultat prévi'!$N$5,'Hypotheses expl (3,)'!W126)+SUMIF('Hypotheses expl (3,)'!X126,'Compte résultat prévi'!$N$5,'Hypotheses expl (3,)'!Y126)+SUMIF('Hypotheses expl (3,)'!Z126,'Compte résultat prévi'!$N$5,'Hypotheses expl (3,)'!AA126)+SUMIF('Hypotheses expl (3,)'!AB126,'Compte résultat prévi'!$N$5,'Hypotheses expl (3,)'!AC126)</f>
        <v>12000</v>
      </c>
      <c r="O71" s="200">
        <f>+'Hypotheses expl (2)'!O125</f>
        <v>12000</v>
      </c>
      <c r="P71" s="201">
        <f>+SUMIF('Hypotheses expl (2)'!R125,'Compte résultat prévi'!$P$5,'Hypotheses expl (2)'!S125)+SUMIF('Hypotheses expl (2)'!T125,'Compte résultat prévi'!$P$5,'Hypotheses expl (2)'!U125)+SUMIF('Hypotheses expl (2)'!V125,'Compte résultat prévi'!$P$5,'Hypotheses expl (2)'!W125)+SUMIF('Hypotheses expl (2)'!X125,'Compte résultat prévi'!$P$5,'Hypotheses expl (2)'!Y125)+SUMIF('Hypotheses expl (2)'!Z125,'Compte résultat prévi'!$P$5,'Hypotheses expl (2)'!AA125)+SUMIF('Hypotheses expl (2)'!AB125,'Compte résultat prévi'!$P$5,'Hypotheses expl (2)'!AC125)</f>
        <v>0</v>
      </c>
      <c r="Q71" s="201">
        <f>+SUMIF('Hypotheses expl (2)'!R125,'Compte résultat prévi'!$Q$5,'Hypotheses expl (2)'!S125)+SUMIF('Hypotheses expl (2)'!T125,'Compte résultat prévi'!$Q$5,'Hypotheses expl (2)'!U125)+SUMIF('Hypotheses expl (2)'!V125,'Compte résultat prévi'!$Q$5,'Hypotheses expl (2)'!W125)+SUMIF('Hypotheses expl (2)'!X125,'Compte résultat prévi'!$Q$5,'Hypotheses expl (2)'!Y125)+SUMIF('Hypotheses expl (2)'!Z125,'Compte résultat prévi'!$Q$5,'Hypotheses expl (2)'!AA125)+SUMIF('Hypotheses expl (2)'!AB125,'Compte résultat prévi'!$Q$5,'Hypotheses expl (2)'!AC125)</f>
        <v>0</v>
      </c>
      <c r="R71" s="201">
        <f>+SUMIF('Hypotheses expl (2)'!R125,'Compte résultat prévi'!$R$5,'Hypotheses expl (2)'!S125)+SUMIF('Hypotheses expl (2)'!T125,'Compte résultat prévi'!$R$5,'Hypotheses expl (2)'!U125)+SUMIF('Hypotheses expl (2)'!V125,'Compte résultat prévi'!$R$5,'Hypotheses expl (2)'!W125)+SUMIF('Hypotheses expl (2)'!X125,'Compte résultat prévi'!$R$5,'Hypotheses expl (2)'!Y125)+SUMIF('Hypotheses expl (2)'!Z125,'Compte résultat prévi'!$R$5,'Hypotheses expl (2)'!AA125)+SUMIF('Hypotheses expl (2)'!AB125,'Compte résultat prévi'!$R$5,'Hypotheses expl (2)'!AC125)</f>
        <v>0</v>
      </c>
      <c r="S71" s="201">
        <f>+SUMIF('Hypotheses expl (2)'!R125,'Compte résultat prévi'!$S$5,'Hypotheses expl (2)'!S125)+SUMIF('Hypotheses expl (2)'!T125,'Compte résultat prévi'!$S$5,'Hypotheses expl (2)'!U125)+SUMIF('Hypotheses expl (2)'!V125,'Compte résultat prévi'!$S$5,'Hypotheses expl (2)'!W125)+SUMIF('Hypotheses expl (2)'!X125,'Compte résultat prévi'!$S$5,'Hypotheses expl (2)'!Y125)+SUMIF('Hypotheses expl (2)'!Z125,'Compte résultat prévi'!$S$5,'Hypotheses expl (2)'!AA125)+SUMIF('Hypotheses expl (2)'!AB125,'Compte résultat prévi'!$S$5,'Hypotheses expl (2)'!AC125)</f>
        <v>0</v>
      </c>
      <c r="T71" s="202">
        <f>+SUMIF('Hypotheses expl (2)'!R125,'Compte résultat prévi'!$T$5,'Hypotheses expl (2)'!S125)+SUMIF('Hypotheses expl (2)'!T125,'Compte résultat prévi'!$T$5,'Hypotheses expl (2)'!U125)+SUMIF('Hypotheses expl (2)'!V125,'Compte résultat prévi'!$T$5,'Hypotheses expl (2)'!W125)+SUMIF('Hypotheses expl (2)'!X125,'Compte résultat prévi'!$T$5,'Hypotheses expl (2)'!Y125)+SUMIF('Hypotheses expl (2)'!Z125,'Compte résultat prévi'!$T$5,'Hypotheses expl (2)'!AA125)+SUMIF('Hypotheses expl (2)'!AB125,'Compte résultat prévi'!$T$5,'Hypotheses expl (2)'!AC125)</f>
        <v>12000</v>
      </c>
      <c r="U71" s="203"/>
      <c r="V71" s="204"/>
    </row>
    <row r="72" outlineLevel="1">
      <c r="A72" s="198" t="str">
        <f>'Hypotheses expl'!B127</f>
        <v>Téléphonie</v>
      </c>
      <c r="B72" s="234">
        <v>4</v>
      </c>
      <c r="C72" s="200">
        <f>+'Hypotheses expl'!O127</f>
        <v>14076</v>
      </c>
      <c r="D72" s="201">
        <f>+SUMIF('Hypotheses expl'!R127,'Compte résultat prévi'!$D$5,'Hypotheses expl'!S127)+SUMIF('Hypotheses expl'!T127,'Compte résultat prévi'!$D$5,'Hypotheses expl'!U127)+SUMIF('Hypotheses expl'!V127,'Compte résultat prévi'!$D$5,'Hypotheses expl'!W127)+SUMIF('Hypotheses expl'!X127,'Compte résultat prévi'!$D$5,'Hypotheses expl'!Y127)+SUMIF('Hypotheses expl'!Z127,'Compte résultat prévi'!$D$5,'Hypotheses expl'!AA127)+SUMIF('Hypotheses expl'!AB127,'Compte résultat prévi'!$D$5,'Hypotheses expl'!AC127)</f>
        <v>0</v>
      </c>
      <c r="E72" s="201">
        <f>+SUMIF('Hypotheses expl'!R127,'Compte résultat prévi'!$E$5,'Hypotheses expl'!S127)+SUMIF('Hypotheses expl'!T127,'Compte résultat prévi'!$E$5,'Hypotheses expl'!U127)+SUMIF('Hypotheses expl'!V127,'Compte résultat prévi'!$E$5,'Hypotheses expl'!W127)+SUMIF('Hypotheses expl'!X127,'Compte résultat prévi'!$E$5,'Hypotheses expl'!Y127)+SUMIF('Hypotheses expl'!Z127,'Compte résultat prévi'!$E$5,'Hypotheses expl'!AA127)+SUMIF('Hypotheses expl'!AB127,'Compte résultat prévi'!$E$5,'Hypotheses expl'!AC127)</f>
        <v>0</v>
      </c>
      <c r="F72" s="201">
        <f>+SUMIF('Hypotheses expl'!R127,'Compte résultat prévi'!$F$5,'Hypotheses expl'!S127)+SUMIF('Hypotheses expl'!T127,'Compte résultat prévi'!$F$5,'Hypotheses expl'!U127)+SUMIF('Hypotheses expl'!V127,'Compte résultat prévi'!$F$5,'Hypotheses expl'!W127)+SUMIF('Hypotheses expl'!X127,'Compte résultat prévi'!$F$5,'Hypotheses expl'!Y127)+SUMIF('Hypotheses expl'!Z127,'Compte résultat prévi'!$F$5,'Hypotheses expl'!AA127)+SUMIF('Hypotheses expl'!AB127,'Compte résultat prévi'!$F$5,'Hypotheses expl'!AC127)</f>
        <v>0</v>
      </c>
      <c r="G72" s="201">
        <f>+SUMIF('Hypotheses expl'!R127,'Compte résultat prévi'!$G$5,'Hypotheses expl'!S127)+SUMIF('Hypotheses expl'!T127,'Compte résultat prévi'!$G$5,'Hypotheses expl'!U127)+SUMIF('Hypotheses expl'!V127,'Compte résultat prévi'!$G$5,'Hypotheses expl'!W127)+SUMIF('Hypotheses expl'!X127,'Compte résultat prévi'!$G$5,'Hypotheses expl'!Y127)+SUMIF('Hypotheses expl'!Z127,'Compte résultat prévi'!$G$5,'Hypotheses expl'!AA127)+SUMIF('Hypotheses expl'!AB127,'Compte résultat prévi'!$G$5,'Hypotheses expl'!AC127)</f>
        <v>0</v>
      </c>
      <c r="H72" s="202">
        <f>+SUMIF('Hypotheses expl'!R127,'Compte résultat prévi'!$H$5,'Hypotheses expl'!S127)+SUMIF('Hypotheses expl'!T127,'Compte résultat prévi'!$H$5,'Hypotheses expl'!U127)+SUMIF('Hypotheses expl'!V127,'Compte résultat prévi'!$H$5,'Hypotheses expl'!W127)+SUMIF('Hypotheses expl'!X127,'Compte résultat prévi'!$H$5,'Hypotheses expl'!Y127)+SUMIF('Hypotheses expl'!Z127,'Compte résultat prévi'!$H$5,'Hypotheses expl'!AA127)+SUMIF('Hypotheses expl'!AB127,'Compte résultat prévi'!$H$5,'Hypotheses expl'!AC127)</f>
        <v>14076</v>
      </c>
      <c r="I72" s="200">
        <f>+'Hypotheses expl (3,)'!O127</f>
        <v>14076</v>
      </c>
      <c r="J72" s="201">
        <f>+SUMIF('Hypotheses expl (3,)'!R127,'Compte résultat prévi'!$J$5,'Hypotheses expl (3,)'!S127)+SUMIF('Hypotheses expl (3,)'!T127,'Compte résultat prévi'!$J$5,'Hypotheses expl (3,)'!U127)+SUMIF('Hypotheses expl (3,)'!V127,'Compte résultat prévi'!$J$5,'Hypotheses expl (3,)'!W127)+SUMIF('Hypotheses expl (3,)'!X127,'Compte résultat prévi'!$J$5,'Hypotheses expl (3,)'!Y127)+SUMIF('Hypotheses expl (3,)'!Z127,'Compte résultat prévi'!$J$5,'Hypotheses expl (3,)'!AA127)+SUMIF('Hypotheses expl (3,)'!AB127,'Compte résultat prévi'!$J$5,'Hypotheses expl (3,)'!AC127)</f>
        <v>0</v>
      </c>
      <c r="K72" s="201">
        <f>+SUMIF('Hypotheses expl (3,)'!R127,'Compte résultat prévi'!$K$5,'Hypotheses expl (3,)'!S127)+SUMIF('Hypotheses expl (3,)'!T127,'Compte résultat prévi'!$K$5,'Hypotheses expl (3,)'!U127)+SUMIF('Hypotheses expl (3,)'!V127,'Compte résultat prévi'!$K$5,'Hypotheses expl (3,)'!W127)+SUMIF('Hypotheses expl (3,)'!X127,'Compte résultat prévi'!$K$5,'Hypotheses expl (3,)'!Y127)+SUMIF('Hypotheses expl (3,)'!Z127,'Compte résultat prévi'!$K$5,'Hypotheses expl (3,)'!AA127)+SUMIF('Hypotheses expl (3,)'!AB127,'Compte résultat prévi'!$K$5,'Hypotheses expl (3,)'!AC127)</f>
        <v>0</v>
      </c>
      <c r="L72" s="201">
        <f>+SUMIF('Hypotheses expl (3,)'!R127,'Compte résultat prévi'!$L$5,'Hypotheses expl (3,)'!S127)+SUMIF('Hypotheses expl (3,)'!T127,'Compte résultat prévi'!$L$5,'Hypotheses expl (3,)'!U127)+SUMIF('Hypotheses expl (3,)'!V127,'Compte résultat prévi'!$L$5,'Hypotheses expl (3,)'!W127)+SUMIF('Hypotheses expl (3,)'!X127,'Compte résultat prévi'!$L$5,'Hypotheses expl (3,)'!Y127)+SUMIF('Hypotheses expl (3,)'!Z127,'Compte résultat prévi'!$L$5,'Hypotheses expl (3,)'!AA127)+SUMIF('Hypotheses expl (3,)'!AB127,'Compte résultat prévi'!$L$5,'Hypotheses expl (3,)'!AC127)</f>
        <v>0</v>
      </c>
      <c r="M72" s="201">
        <f>+SUMIF('Hypotheses expl (3,)'!R127,'Compte résultat prévi'!$M$5,'Hypotheses expl (3,)'!S127)+SUMIF('Hypotheses expl (3,)'!T127,'Compte résultat prévi'!$M$5,'Hypotheses expl (3,)'!U127)+SUMIF('Hypotheses expl (3,)'!V127,'Compte résultat prévi'!$M$5,'Hypotheses expl (3,)'!W127)+SUMIF('Hypotheses expl (3,)'!X127,'Compte résultat prévi'!$M$5,'Hypotheses expl (3,)'!Y127)+SUMIF('Hypotheses expl (3,)'!Z127,'Compte résultat prévi'!$M$5,'Hypotheses expl (3,)'!AA127)+SUMIF('Hypotheses expl (3,)'!AB127,'Compte résultat prévi'!$M$5,'Hypotheses expl (3,)'!AC127)</f>
        <v>0</v>
      </c>
      <c r="N72" s="202">
        <f>+SUMIF('Hypotheses expl (3,)'!R127,'Compte résultat prévi'!$N$5,'Hypotheses expl (3,)'!S127)+SUMIF('Hypotheses expl (3,)'!T127,'Compte résultat prévi'!$N$5,'Hypotheses expl (3,)'!U127)+SUMIF('Hypotheses expl (3,)'!V127,'Compte résultat prévi'!$N$5,'Hypotheses expl (3,)'!W127)+SUMIF('Hypotheses expl (3,)'!X127,'Compte résultat prévi'!$N$5,'Hypotheses expl (3,)'!Y127)+SUMIF('Hypotheses expl (3,)'!Z127,'Compte résultat prévi'!$N$5,'Hypotheses expl (3,)'!AA127)+SUMIF('Hypotheses expl (3,)'!AB127,'Compte résultat prévi'!$N$5,'Hypotheses expl (3,)'!AC127)</f>
        <v>14076</v>
      </c>
      <c r="O72" s="200">
        <f>+'Hypotheses expl (2)'!O126</f>
        <v>14076</v>
      </c>
      <c r="P72" s="201">
        <f>+SUMIF('Hypotheses expl (2)'!R126,'Compte résultat prévi'!$P$5,'Hypotheses expl (2)'!S126)+SUMIF('Hypotheses expl (2)'!T126,'Compte résultat prévi'!$P$5,'Hypotheses expl (2)'!U126)+SUMIF('Hypotheses expl (2)'!V126,'Compte résultat prévi'!$P$5,'Hypotheses expl (2)'!W126)+SUMIF('Hypotheses expl (2)'!X126,'Compte résultat prévi'!$P$5,'Hypotheses expl (2)'!Y126)+SUMIF('Hypotheses expl (2)'!Z126,'Compte résultat prévi'!$P$5,'Hypotheses expl (2)'!AA126)+SUMIF('Hypotheses expl (2)'!AB126,'Compte résultat prévi'!$P$5,'Hypotheses expl (2)'!AC126)</f>
        <v>0</v>
      </c>
      <c r="Q72" s="201">
        <f>+SUMIF('Hypotheses expl (2)'!R126,'Compte résultat prévi'!$Q$5,'Hypotheses expl (2)'!S126)+SUMIF('Hypotheses expl (2)'!T126,'Compte résultat prévi'!$Q$5,'Hypotheses expl (2)'!U126)+SUMIF('Hypotheses expl (2)'!V126,'Compte résultat prévi'!$Q$5,'Hypotheses expl (2)'!W126)+SUMIF('Hypotheses expl (2)'!X126,'Compte résultat prévi'!$Q$5,'Hypotheses expl (2)'!Y126)+SUMIF('Hypotheses expl (2)'!Z126,'Compte résultat prévi'!$Q$5,'Hypotheses expl (2)'!AA126)+SUMIF('Hypotheses expl (2)'!AB126,'Compte résultat prévi'!$Q$5,'Hypotheses expl (2)'!AC126)</f>
        <v>0</v>
      </c>
      <c r="R72" s="201">
        <f>+SUMIF('Hypotheses expl (2)'!R126,'Compte résultat prévi'!$R$5,'Hypotheses expl (2)'!S126)+SUMIF('Hypotheses expl (2)'!T126,'Compte résultat prévi'!$R$5,'Hypotheses expl (2)'!U126)+SUMIF('Hypotheses expl (2)'!V126,'Compte résultat prévi'!$R$5,'Hypotheses expl (2)'!W126)+SUMIF('Hypotheses expl (2)'!X126,'Compte résultat prévi'!$R$5,'Hypotheses expl (2)'!Y126)+SUMIF('Hypotheses expl (2)'!Z126,'Compte résultat prévi'!$R$5,'Hypotheses expl (2)'!AA126)+SUMIF('Hypotheses expl (2)'!AB126,'Compte résultat prévi'!$R$5,'Hypotheses expl (2)'!AC126)</f>
        <v>0</v>
      </c>
      <c r="S72" s="201">
        <f>+SUMIF('Hypotheses expl (2)'!R126,'Compte résultat prévi'!$S$5,'Hypotheses expl (2)'!S126)+SUMIF('Hypotheses expl (2)'!T126,'Compte résultat prévi'!$S$5,'Hypotheses expl (2)'!U126)+SUMIF('Hypotheses expl (2)'!V126,'Compte résultat prévi'!$S$5,'Hypotheses expl (2)'!W126)+SUMIF('Hypotheses expl (2)'!X126,'Compte résultat prévi'!$S$5,'Hypotheses expl (2)'!Y126)+SUMIF('Hypotheses expl (2)'!Z126,'Compte résultat prévi'!$S$5,'Hypotheses expl (2)'!AA126)+SUMIF('Hypotheses expl (2)'!AB126,'Compte résultat prévi'!$S$5,'Hypotheses expl (2)'!AC126)</f>
        <v>0</v>
      </c>
      <c r="T72" s="202">
        <f>+SUMIF('Hypotheses expl (2)'!R126,'Compte résultat prévi'!$T$5,'Hypotheses expl (2)'!S126)+SUMIF('Hypotheses expl (2)'!T126,'Compte résultat prévi'!$T$5,'Hypotheses expl (2)'!U126)+SUMIF('Hypotheses expl (2)'!V126,'Compte résultat prévi'!$T$5,'Hypotheses expl (2)'!W126)+SUMIF('Hypotheses expl (2)'!X126,'Compte résultat prévi'!$T$5,'Hypotheses expl (2)'!Y126)+SUMIF('Hypotheses expl (2)'!Z126,'Compte résultat prévi'!$T$5,'Hypotheses expl (2)'!AA126)+SUMIF('Hypotheses expl (2)'!AB126,'Compte résultat prévi'!$T$5,'Hypotheses expl (2)'!AC126)</f>
        <v>14076</v>
      </c>
      <c r="U72" s="203"/>
      <c r="V72" s="204"/>
    </row>
    <row r="73" outlineLevel="1">
      <c r="A73" s="198" t="str">
        <f>'Hypotheses expl'!B128</f>
        <v>Affranchissement</v>
      </c>
      <c r="B73" s="234">
        <v>4</v>
      </c>
      <c r="C73" s="200">
        <f>+'Hypotheses expl'!O128</f>
        <v>13000.000000000004</v>
      </c>
      <c r="D73" s="201">
        <f>+SUMIF('Hypotheses expl'!R128,'Compte résultat prévi'!$D$5,'Hypotheses expl'!S128)+SUMIF('Hypotheses expl'!T128,'Compte résultat prévi'!$D$5,'Hypotheses expl'!U128)+SUMIF('Hypotheses expl'!V128,'Compte résultat prévi'!$D$5,'Hypotheses expl'!W128)+SUMIF('Hypotheses expl'!X128,'Compte résultat prévi'!$D$5,'Hypotheses expl'!Y128)+SUMIF('Hypotheses expl'!Z128,'Compte résultat prévi'!$D$5,'Hypotheses expl'!AA128)+SUMIF('Hypotheses expl'!AB128,'Compte résultat prévi'!$D$5,'Hypotheses expl'!AC128)</f>
        <v>0</v>
      </c>
      <c r="E73" s="201">
        <f>+SUMIF('Hypotheses expl'!R128,'Compte résultat prévi'!$E$5,'Hypotheses expl'!S128)+SUMIF('Hypotheses expl'!T128,'Compte résultat prévi'!$E$5,'Hypotheses expl'!U128)+SUMIF('Hypotheses expl'!V128,'Compte résultat prévi'!$E$5,'Hypotheses expl'!W128)+SUMIF('Hypotheses expl'!X128,'Compte résultat prévi'!$E$5,'Hypotheses expl'!Y128)+SUMIF('Hypotheses expl'!Z128,'Compte résultat prévi'!$E$5,'Hypotheses expl'!AA128)+SUMIF('Hypotheses expl'!AB128,'Compte résultat prévi'!$E$5,'Hypotheses expl'!AC128)</f>
        <v>0</v>
      </c>
      <c r="F73" s="201">
        <f>+SUMIF('Hypotheses expl'!R128,'Compte résultat prévi'!$F$5,'Hypotheses expl'!S128)+SUMIF('Hypotheses expl'!T128,'Compte résultat prévi'!$F$5,'Hypotheses expl'!U128)+SUMIF('Hypotheses expl'!V128,'Compte résultat prévi'!$F$5,'Hypotheses expl'!W128)+SUMIF('Hypotheses expl'!X128,'Compte résultat prévi'!$F$5,'Hypotheses expl'!Y128)+SUMIF('Hypotheses expl'!Z128,'Compte résultat prévi'!$F$5,'Hypotheses expl'!AA128)+SUMIF('Hypotheses expl'!AB128,'Compte résultat prévi'!$F$5,'Hypotheses expl'!AC128)</f>
        <v>0</v>
      </c>
      <c r="G73" s="201">
        <f>+SUMIF('Hypotheses expl'!R128,'Compte résultat prévi'!$G$5,'Hypotheses expl'!S128)+SUMIF('Hypotheses expl'!T128,'Compte résultat prévi'!$G$5,'Hypotheses expl'!U128)+SUMIF('Hypotheses expl'!V128,'Compte résultat prévi'!$G$5,'Hypotheses expl'!W128)+SUMIF('Hypotheses expl'!X128,'Compte résultat prévi'!$G$5,'Hypotheses expl'!Y128)+SUMIF('Hypotheses expl'!Z128,'Compte résultat prévi'!$G$5,'Hypotheses expl'!AA128)+SUMIF('Hypotheses expl'!AB128,'Compte résultat prévi'!$G$5,'Hypotheses expl'!AC128)</f>
        <v>0</v>
      </c>
      <c r="H73" s="202">
        <f>+SUMIF('Hypotheses expl'!R128,'Compte résultat prévi'!$H$5,'Hypotheses expl'!S128)+SUMIF('Hypotheses expl'!T128,'Compte résultat prévi'!$H$5,'Hypotheses expl'!U128)+SUMIF('Hypotheses expl'!V128,'Compte résultat prévi'!$H$5,'Hypotheses expl'!W128)+SUMIF('Hypotheses expl'!X128,'Compte résultat prévi'!$H$5,'Hypotheses expl'!Y128)+SUMIF('Hypotheses expl'!Z128,'Compte résultat prévi'!$H$5,'Hypotheses expl'!AA128)+SUMIF('Hypotheses expl'!AB128,'Compte résultat prévi'!$H$5,'Hypotheses expl'!AC128)</f>
        <v>13000.000000000004</v>
      </c>
      <c r="I73" s="200">
        <f>+'Hypotheses expl (3,)'!O128</f>
        <v>13000.000000000004</v>
      </c>
      <c r="J73" s="201">
        <f>+SUMIF('Hypotheses expl (3,)'!R128,'Compte résultat prévi'!$J$5,'Hypotheses expl (3,)'!S128)+SUMIF('Hypotheses expl (3,)'!T128,'Compte résultat prévi'!$J$5,'Hypotheses expl (3,)'!U128)+SUMIF('Hypotheses expl (3,)'!V128,'Compte résultat prévi'!$J$5,'Hypotheses expl (3,)'!W128)+SUMIF('Hypotheses expl (3,)'!X128,'Compte résultat prévi'!$J$5,'Hypotheses expl (3,)'!Y128)+SUMIF('Hypotheses expl (3,)'!Z128,'Compte résultat prévi'!$J$5,'Hypotheses expl (3,)'!AA128)+SUMIF('Hypotheses expl (3,)'!AB128,'Compte résultat prévi'!$J$5,'Hypotheses expl (3,)'!AC128)</f>
        <v>0</v>
      </c>
      <c r="K73" s="201">
        <f>+SUMIF('Hypotheses expl (3,)'!R128,'Compte résultat prévi'!$K$5,'Hypotheses expl (3,)'!S128)+SUMIF('Hypotheses expl (3,)'!T128,'Compte résultat prévi'!$K$5,'Hypotheses expl (3,)'!U128)+SUMIF('Hypotheses expl (3,)'!V128,'Compte résultat prévi'!$K$5,'Hypotheses expl (3,)'!W128)+SUMIF('Hypotheses expl (3,)'!X128,'Compte résultat prévi'!$K$5,'Hypotheses expl (3,)'!Y128)+SUMIF('Hypotheses expl (3,)'!Z128,'Compte résultat prévi'!$K$5,'Hypotheses expl (3,)'!AA128)+SUMIF('Hypotheses expl (3,)'!AB128,'Compte résultat prévi'!$K$5,'Hypotheses expl (3,)'!AC128)</f>
        <v>0</v>
      </c>
      <c r="L73" s="201">
        <f>+SUMIF('Hypotheses expl (3,)'!R128,'Compte résultat prévi'!$L$5,'Hypotheses expl (3,)'!S128)+SUMIF('Hypotheses expl (3,)'!T128,'Compte résultat prévi'!$L$5,'Hypotheses expl (3,)'!U128)+SUMIF('Hypotheses expl (3,)'!V128,'Compte résultat prévi'!$L$5,'Hypotheses expl (3,)'!W128)+SUMIF('Hypotheses expl (3,)'!X128,'Compte résultat prévi'!$L$5,'Hypotheses expl (3,)'!Y128)+SUMIF('Hypotheses expl (3,)'!Z128,'Compte résultat prévi'!$L$5,'Hypotheses expl (3,)'!AA128)+SUMIF('Hypotheses expl (3,)'!AB128,'Compte résultat prévi'!$L$5,'Hypotheses expl (3,)'!AC128)</f>
        <v>0</v>
      </c>
      <c r="M73" s="201">
        <f>+SUMIF('Hypotheses expl (3,)'!R128,'Compte résultat prévi'!$M$5,'Hypotheses expl (3,)'!S128)+SUMIF('Hypotheses expl (3,)'!T128,'Compte résultat prévi'!$M$5,'Hypotheses expl (3,)'!U128)+SUMIF('Hypotheses expl (3,)'!V128,'Compte résultat prévi'!$M$5,'Hypotheses expl (3,)'!W128)+SUMIF('Hypotheses expl (3,)'!X128,'Compte résultat prévi'!$M$5,'Hypotheses expl (3,)'!Y128)+SUMIF('Hypotheses expl (3,)'!Z128,'Compte résultat prévi'!$M$5,'Hypotheses expl (3,)'!AA128)+SUMIF('Hypotheses expl (3,)'!AB128,'Compte résultat prévi'!$M$5,'Hypotheses expl (3,)'!AC128)</f>
        <v>0</v>
      </c>
      <c r="N73" s="202">
        <f>+SUMIF('Hypotheses expl (3,)'!R128,'Compte résultat prévi'!$N$5,'Hypotheses expl (3,)'!S128)+SUMIF('Hypotheses expl (3,)'!T128,'Compte résultat prévi'!$N$5,'Hypotheses expl (3,)'!U128)+SUMIF('Hypotheses expl (3,)'!V128,'Compte résultat prévi'!$N$5,'Hypotheses expl (3,)'!W128)+SUMIF('Hypotheses expl (3,)'!X128,'Compte résultat prévi'!$N$5,'Hypotheses expl (3,)'!Y128)+SUMIF('Hypotheses expl (3,)'!Z128,'Compte résultat prévi'!$N$5,'Hypotheses expl (3,)'!AA128)+SUMIF('Hypotheses expl (3,)'!AB128,'Compte résultat prévi'!$N$5,'Hypotheses expl (3,)'!AC128)</f>
        <v>13000.000000000004</v>
      </c>
      <c r="O73" s="200">
        <f>+'Hypotheses expl (2)'!O127</f>
        <v>13000.000000000004</v>
      </c>
      <c r="P73" s="201">
        <f>+SUMIF('Hypotheses expl (2)'!R127,'Compte résultat prévi'!$P$5,'Hypotheses expl (2)'!S127)+SUMIF('Hypotheses expl (2)'!T127,'Compte résultat prévi'!$P$5,'Hypotheses expl (2)'!U127)+SUMIF('Hypotheses expl (2)'!V127,'Compte résultat prévi'!$P$5,'Hypotheses expl (2)'!W127)+SUMIF('Hypotheses expl (2)'!X127,'Compte résultat prévi'!$P$5,'Hypotheses expl (2)'!Y127)+SUMIF('Hypotheses expl (2)'!Z127,'Compte résultat prévi'!$P$5,'Hypotheses expl (2)'!AA127)+SUMIF('Hypotheses expl (2)'!AB127,'Compte résultat prévi'!$P$5,'Hypotheses expl (2)'!AC127)</f>
        <v>0</v>
      </c>
      <c r="Q73" s="201">
        <f>+SUMIF('Hypotheses expl (2)'!R127,'Compte résultat prévi'!$Q$5,'Hypotheses expl (2)'!S127)+SUMIF('Hypotheses expl (2)'!T127,'Compte résultat prévi'!$Q$5,'Hypotheses expl (2)'!U127)+SUMIF('Hypotheses expl (2)'!V127,'Compte résultat prévi'!$Q$5,'Hypotheses expl (2)'!W127)+SUMIF('Hypotheses expl (2)'!X127,'Compte résultat prévi'!$Q$5,'Hypotheses expl (2)'!Y127)+SUMIF('Hypotheses expl (2)'!Z127,'Compte résultat prévi'!$Q$5,'Hypotheses expl (2)'!AA127)+SUMIF('Hypotheses expl (2)'!AB127,'Compte résultat prévi'!$Q$5,'Hypotheses expl (2)'!AC127)</f>
        <v>0</v>
      </c>
      <c r="R73" s="201">
        <f>+SUMIF('Hypotheses expl (2)'!R127,'Compte résultat prévi'!$R$5,'Hypotheses expl (2)'!S127)+SUMIF('Hypotheses expl (2)'!T127,'Compte résultat prévi'!$R$5,'Hypotheses expl (2)'!U127)+SUMIF('Hypotheses expl (2)'!V127,'Compte résultat prévi'!$R$5,'Hypotheses expl (2)'!W127)+SUMIF('Hypotheses expl (2)'!X127,'Compte résultat prévi'!$R$5,'Hypotheses expl (2)'!Y127)+SUMIF('Hypotheses expl (2)'!Z127,'Compte résultat prévi'!$R$5,'Hypotheses expl (2)'!AA127)+SUMIF('Hypotheses expl (2)'!AB127,'Compte résultat prévi'!$R$5,'Hypotheses expl (2)'!AC127)</f>
        <v>0</v>
      </c>
      <c r="S73" s="201">
        <f>+SUMIF('Hypotheses expl (2)'!R127,'Compte résultat prévi'!$S$5,'Hypotheses expl (2)'!S127)+SUMIF('Hypotheses expl (2)'!T127,'Compte résultat prévi'!$S$5,'Hypotheses expl (2)'!U127)+SUMIF('Hypotheses expl (2)'!V127,'Compte résultat prévi'!$S$5,'Hypotheses expl (2)'!W127)+SUMIF('Hypotheses expl (2)'!X127,'Compte résultat prévi'!$S$5,'Hypotheses expl (2)'!Y127)+SUMIF('Hypotheses expl (2)'!Z127,'Compte résultat prévi'!$S$5,'Hypotheses expl (2)'!AA127)+SUMIF('Hypotheses expl (2)'!AB127,'Compte résultat prévi'!$S$5,'Hypotheses expl (2)'!AC127)</f>
        <v>0</v>
      </c>
      <c r="T73" s="202">
        <f>+SUMIF('Hypotheses expl (2)'!R127,'Compte résultat prévi'!$T$5,'Hypotheses expl (2)'!S127)+SUMIF('Hypotheses expl (2)'!T127,'Compte résultat prévi'!$T$5,'Hypotheses expl (2)'!U127)+SUMIF('Hypotheses expl (2)'!V127,'Compte résultat prévi'!$T$5,'Hypotheses expl (2)'!W127)+SUMIF('Hypotheses expl (2)'!X127,'Compte résultat prévi'!$T$5,'Hypotheses expl (2)'!Y127)+SUMIF('Hypotheses expl (2)'!Z127,'Compte résultat prévi'!$T$5,'Hypotheses expl (2)'!AA127)+SUMIF('Hypotheses expl (2)'!AB127,'Compte résultat prévi'!$T$5,'Hypotheses expl (2)'!AC127)</f>
        <v>13000.000000000004</v>
      </c>
      <c r="U73" s="203"/>
      <c r="V73" s="204"/>
    </row>
    <row r="74" outlineLevel="1">
      <c r="A74" s="198" t="str">
        <f>'Hypotheses expl'!B129</f>
        <v>Internet</v>
      </c>
      <c r="B74" s="234">
        <v>4</v>
      </c>
      <c r="C74" s="200">
        <f>+'Hypotheses expl'!O129</f>
        <v>2244</v>
      </c>
      <c r="D74" s="201">
        <f>+SUMIF('Hypotheses expl'!R129,'Compte résultat prévi'!$D$5,'Hypotheses expl'!S129)+SUMIF('Hypotheses expl'!T129,'Compte résultat prévi'!$D$5,'Hypotheses expl'!U129)+SUMIF('Hypotheses expl'!V129,'Compte résultat prévi'!$D$5,'Hypotheses expl'!W129)+SUMIF('Hypotheses expl'!X129,'Compte résultat prévi'!$D$5,'Hypotheses expl'!Y129)+SUMIF('Hypotheses expl'!Z129,'Compte résultat prévi'!$D$5,'Hypotheses expl'!AA129)+SUMIF('Hypotheses expl'!AB129,'Compte résultat prévi'!$D$5,'Hypotheses expl'!AC129)</f>
        <v>0</v>
      </c>
      <c r="E74" s="201">
        <f>+SUMIF('Hypotheses expl'!R129,'Compte résultat prévi'!$E$5,'Hypotheses expl'!S129)+SUMIF('Hypotheses expl'!T129,'Compte résultat prévi'!$E$5,'Hypotheses expl'!U129)+SUMIF('Hypotheses expl'!V129,'Compte résultat prévi'!$E$5,'Hypotheses expl'!W129)+SUMIF('Hypotheses expl'!X129,'Compte résultat prévi'!$E$5,'Hypotheses expl'!Y129)+SUMIF('Hypotheses expl'!Z129,'Compte résultat prévi'!$E$5,'Hypotheses expl'!AA129)+SUMIF('Hypotheses expl'!AB129,'Compte résultat prévi'!$E$5,'Hypotheses expl'!AC129)</f>
        <v>0</v>
      </c>
      <c r="F74" s="201">
        <f>+SUMIF('Hypotheses expl'!R129,'Compte résultat prévi'!$F$5,'Hypotheses expl'!S129)+SUMIF('Hypotheses expl'!T129,'Compte résultat prévi'!$F$5,'Hypotheses expl'!U129)+SUMIF('Hypotheses expl'!V129,'Compte résultat prévi'!$F$5,'Hypotheses expl'!W129)+SUMIF('Hypotheses expl'!X129,'Compte résultat prévi'!$F$5,'Hypotheses expl'!Y129)+SUMIF('Hypotheses expl'!Z129,'Compte résultat prévi'!$F$5,'Hypotheses expl'!AA129)+SUMIF('Hypotheses expl'!AB129,'Compte résultat prévi'!$F$5,'Hypotheses expl'!AC129)</f>
        <v>0</v>
      </c>
      <c r="G74" s="201">
        <f>+SUMIF('Hypotheses expl'!R129,'Compte résultat prévi'!$G$5,'Hypotheses expl'!S129)+SUMIF('Hypotheses expl'!T129,'Compte résultat prévi'!$G$5,'Hypotheses expl'!U129)+SUMIF('Hypotheses expl'!V129,'Compte résultat prévi'!$G$5,'Hypotheses expl'!W129)+SUMIF('Hypotheses expl'!X129,'Compte résultat prévi'!$G$5,'Hypotheses expl'!Y129)+SUMIF('Hypotheses expl'!Z129,'Compte résultat prévi'!$G$5,'Hypotheses expl'!AA129)+SUMIF('Hypotheses expl'!AB129,'Compte résultat prévi'!$G$5,'Hypotheses expl'!AC129)</f>
        <v>0</v>
      </c>
      <c r="H74" s="202">
        <f>+SUMIF('Hypotheses expl'!R129,'Compte résultat prévi'!$H$5,'Hypotheses expl'!S129)+SUMIF('Hypotheses expl'!T129,'Compte résultat prévi'!$H$5,'Hypotheses expl'!U129)+SUMIF('Hypotheses expl'!V129,'Compte résultat prévi'!$H$5,'Hypotheses expl'!W129)+SUMIF('Hypotheses expl'!X129,'Compte résultat prévi'!$H$5,'Hypotheses expl'!Y129)+SUMIF('Hypotheses expl'!Z129,'Compte résultat prévi'!$H$5,'Hypotheses expl'!AA129)+SUMIF('Hypotheses expl'!AB129,'Compte résultat prévi'!$H$5,'Hypotheses expl'!AC129)</f>
        <v>2244</v>
      </c>
      <c r="I74" s="200">
        <f>+'Hypotheses expl (3,)'!O129</f>
        <v>2244</v>
      </c>
      <c r="J74" s="201">
        <f>+SUMIF('Hypotheses expl (3,)'!R129,'Compte résultat prévi'!$J$5,'Hypotheses expl (3,)'!S129)+SUMIF('Hypotheses expl (3,)'!T129,'Compte résultat prévi'!$J$5,'Hypotheses expl (3,)'!U129)+SUMIF('Hypotheses expl (3,)'!V129,'Compte résultat prévi'!$J$5,'Hypotheses expl (3,)'!W129)+SUMIF('Hypotheses expl (3,)'!X129,'Compte résultat prévi'!$J$5,'Hypotheses expl (3,)'!Y129)+SUMIF('Hypotheses expl (3,)'!Z129,'Compte résultat prévi'!$J$5,'Hypotheses expl (3,)'!AA129)+SUMIF('Hypotheses expl (3,)'!AB129,'Compte résultat prévi'!$J$5,'Hypotheses expl (3,)'!AC129)</f>
        <v>0</v>
      </c>
      <c r="K74" s="201">
        <f>+SUMIF('Hypotheses expl (3,)'!R129,'Compte résultat prévi'!$K$5,'Hypotheses expl (3,)'!S129)+SUMIF('Hypotheses expl (3,)'!T129,'Compte résultat prévi'!$K$5,'Hypotheses expl (3,)'!U129)+SUMIF('Hypotheses expl (3,)'!V129,'Compte résultat prévi'!$K$5,'Hypotheses expl (3,)'!W129)+SUMIF('Hypotheses expl (3,)'!X129,'Compte résultat prévi'!$K$5,'Hypotheses expl (3,)'!Y129)+SUMIF('Hypotheses expl (3,)'!Z129,'Compte résultat prévi'!$K$5,'Hypotheses expl (3,)'!AA129)+SUMIF('Hypotheses expl (3,)'!AB129,'Compte résultat prévi'!$K$5,'Hypotheses expl (3,)'!AC129)</f>
        <v>0</v>
      </c>
      <c r="L74" s="201">
        <f>+SUMIF('Hypotheses expl (3,)'!R129,'Compte résultat prévi'!$L$5,'Hypotheses expl (3,)'!S129)+SUMIF('Hypotheses expl (3,)'!T129,'Compte résultat prévi'!$L$5,'Hypotheses expl (3,)'!U129)+SUMIF('Hypotheses expl (3,)'!V129,'Compte résultat prévi'!$L$5,'Hypotheses expl (3,)'!W129)+SUMIF('Hypotheses expl (3,)'!X129,'Compte résultat prévi'!$L$5,'Hypotheses expl (3,)'!Y129)+SUMIF('Hypotheses expl (3,)'!Z129,'Compte résultat prévi'!$L$5,'Hypotheses expl (3,)'!AA129)+SUMIF('Hypotheses expl (3,)'!AB129,'Compte résultat prévi'!$L$5,'Hypotheses expl (3,)'!AC129)</f>
        <v>0</v>
      </c>
      <c r="M74" s="201">
        <f>+SUMIF('Hypotheses expl (3,)'!R129,'Compte résultat prévi'!$M$5,'Hypotheses expl (3,)'!S129)+SUMIF('Hypotheses expl (3,)'!T129,'Compte résultat prévi'!$M$5,'Hypotheses expl (3,)'!U129)+SUMIF('Hypotheses expl (3,)'!V129,'Compte résultat prévi'!$M$5,'Hypotheses expl (3,)'!W129)+SUMIF('Hypotheses expl (3,)'!X129,'Compte résultat prévi'!$M$5,'Hypotheses expl (3,)'!Y129)+SUMIF('Hypotheses expl (3,)'!Z129,'Compte résultat prévi'!$M$5,'Hypotheses expl (3,)'!AA129)+SUMIF('Hypotheses expl (3,)'!AB129,'Compte résultat prévi'!$M$5,'Hypotheses expl (3,)'!AC129)</f>
        <v>0</v>
      </c>
      <c r="N74" s="202">
        <f>+SUMIF('Hypotheses expl (3,)'!R129,'Compte résultat prévi'!$N$5,'Hypotheses expl (3,)'!S129)+SUMIF('Hypotheses expl (3,)'!T129,'Compte résultat prévi'!$N$5,'Hypotheses expl (3,)'!U129)+SUMIF('Hypotheses expl (3,)'!V129,'Compte résultat prévi'!$N$5,'Hypotheses expl (3,)'!W129)+SUMIF('Hypotheses expl (3,)'!X129,'Compte résultat prévi'!$N$5,'Hypotheses expl (3,)'!Y129)+SUMIF('Hypotheses expl (3,)'!Z129,'Compte résultat prévi'!$N$5,'Hypotheses expl (3,)'!AA129)+SUMIF('Hypotheses expl (3,)'!AB129,'Compte résultat prévi'!$N$5,'Hypotheses expl (3,)'!AC129)</f>
        <v>2244</v>
      </c>
      <c r="O74" s="200">
        <f>+'Hypotheses expl (2)'!O128</f>
        <v>2244</v>
      </c>
      <c r="P74" s="201">
        <f>+SUMIF('Hypotheses expl (2)'!R128,'Compte résultat prévi'!$P$5,'Hypotheses expl (2)'!S128)+SUMIF('Hypotheses expl (2)'!T128,'Compte résultat prévi'!$P$5,'Hypotheses expl (2)'!U128)+SUMIF('Hypotheses expl (2)'!V128,'Compte résultat prévi'!$P$5,'Hypotheses expl (2)'!W128)+SUMIF('Hypotheses expl (2)'!X128,'Compte résultat prévi'!$P$5,'Hypotheses expl (2)'!Y128)+SUMIF('Hypotheses expl (2)'!Z128,'Compte résultat prévi'!$P$5,'Hypotheses expl (2)'!AA128)+SUMIF('Hypotheses expl (2)'!AB128,'Compte résultat prévi'!$P$5,'Hypotheses expl (2)'!AC128)</f>
        <v>0</v>
      </c>
      <c r="Q74" s="201">
        <f>+SUMIF('Hypotheses expl (2)'!R128,'Compte résultat prévi'!$Q$5,'Hypotheses expl (2)'!S128)+SUMIF('Hypotheses expl (2)'!T128,'Compte résultat prévi'!$Q$5,'Hypotheses expl (2)'!U128)+SUMIF('Hypotheses expl (2)'!V128,'Compte résultat prévi'!$Q$5,'Hypotheses expl (2)'!W128)+SUMIF('Hypotheses expl (2)'!X128,'Compte résultat prévi'!$Q$5,'Hypotheses expl (2)'!Y128)+SUMIF('Hypotheses expl (2)'!Z128,'Compte résultat prévi'!$Q$5,'Hypotheses expl (2)'!AA128)+SUMIF('Hypotheses expl (2)'!AB128,'Compte résultat prévi'!$Q$5,'Hypotheses expl (2)'!AC128)</f>
        <v>0</v>
      </c>
      <c r="R74" s="201">
        <f>+SUMIF('Hypotheses expl (2)'!R128,'Compte résultat prévi'!$R$5,'Hypotheses expl (2)'!S128)+SUMIF('Hypotheses expl (2)'!T128,'Compte résultat prévi'!$R$5,'Hypotheses expl (2)'!U128)+SUMIF('Hypotheses expl (2)'!V128,'Compte résultat prévi'!$R$5,'Hypotheses expl (2)'!W128)+SUMIF('Hypotheses expl (2)'!X128,'Compte résultat prévi'!$R$5,'Hypotheses expl (2)'!Y128)+SUMIF('Hypotheses expl (2)'!Z128,'Compte résultat prévi'!$R$5,'Hypotheses expl (2)'!AA128)+SUMIF('Hypotheses expl (2)'!AB128,'Compte résultat prévi'!$R$5,'Hypotheses expl (2)'!AC128)</f>
        <v>0</v>
      </c>
      <c r="S74" s="201">
        <f>+SUMIF('Hypotheses expl (2)'!R128,'Compte résultat prévi'!$S$5,'Hypotheses expl (2)'!S128)+SUMIF('Hypotheses expl (2)'!T128,'Compte résultat prévi'!$S$5,'Hypotheses expl (2)'!U128)+SUMIF('Hypotheses expl (2)'!V128,'Compte résultat prévi'!$S$5,'Hypotheses expl (2)'!W128)+SUMIF('Hypotheses expl (2)'!X128,'Compte résultat prévi'!$S$5,'Hypotheses expl (2)'!Y128)+SUMIF('Hypotheses expl (2)'!Z128,'Compte résultat prévi'!$S$5,'Hypotheses expl (2)'!AA128)+SUMIF('Hypotheses expl (2)'!AB128,'Compte résultat prévi'!$S$5,'Hypotheses expl (2)'!AC128)</f>
        <v>0</v>
      </c>
      <c r="T74" s="202">
        <f>+SUMIF('Hypotheses expl (2)'!R128,'Compte résultat prévi'!$T$5,'Hypotheses expl (2)'!S128)+SUMIF('Hypotheses expl (2)'!T128,'Compte résultat prévi'!$T$5,'Hypotheses expl (2)'!U128)+SUMIF('Hypotheses expl (2)'!V128,'Compte résultat prévi'!$T$5,'Hypotheses expl (2)'!W128)+SUMIF('Hypotheses expl (2)'!X128,'Compte résultat prévi'!$T$5,'Hypotheses expl (2)'!Y128)+SUMIF('Hypotheses expl (2)'!Z128,'Compte résultat prévi'!$T$5,'Hypotheses expl (2)'!AA128)+SUMIF('Hypotheses expl (2)'!AB128,'Compte résultat prévi'!$T$5,'Hypotheses expl (2)'!AC128)</f>
        <v>2244</v>
      </c>
      <c r="U74" s="203"/>
      <c r="V74" s="204"/>
    </row>
    <row r="75" outlineLevel="1">
      <c r="A75" s="198" t="str">
        <f>'Hypotheses expl'!B130</f>
        <v xml:space="preserve">Services bancaires</v>
      </c>
      <c r="B75" s="234">
        <v>4</v>
      </c>
      <c r="C75" s="200">
        <f>+'Hypotheses expl'!O130</f>
        <v>396</v>
      </c>
      <c r="D75" s="201">
        <f>+SUMIF('Hypotheses expl'!R130,'Compte résultat prévi'!$D$5,'Hypotheses expl'!S130)+SUMIF('Hypotheses expl'!T130,'Compte résultat prévi'!$D$5,'Hypotheses expl'!U130)+SUMIF('Hypotheses expl'!V130,'Compte résultat prévi'!$D$5,'Hypotheses expl'!W130)+SUMIF('Hypotheses expl'!X130,'Compte résultat prévi'!$D$5,'Hypotheses expl'!Y130)+SUMIF('Hypotheses expl'!Z130,'Compte résultat prévi'!$D$5,'Hypotheses expl'!AA130)+SUMIF('Hypotheses expl'!AB130,'Compte résultat prévi'!$D$5,'Hypotheses expl'!AC130)</f>
        <v>0</v>
      </c>
      <c r="E75" s="201">
        <f>+SUMIF('Hypotheses expl'!R130,'Compte résultat prévi'!$E$5,'Hypotheses expl'!S130)+SUMIF('Hypotheses expl'!T130,'Compte résultat prévi'!$E$5,'Hypotheses expl'!U130)+SUMIF('Hypotheses expl'!V130,'Compte résultat prévi'!$E$5,'Hypotheses expl'!W130)+SUMIF('Hypotheses expl'!X130,'Compte résultat prévi'!$E$5,'Hypotheses expl'!Y130)+SUMIF('Hypotheses expl'!Z130,'Compte résultat prévi'!$E$5,'Hypotheses expl'!AA130)+SUMIF('Hypotheses expl'!AB130,'Compte résultat prévi'!$E$5,'Hypotheses expl'!AC130)</f>
        <v>0</v>
      </c>
      <c r="F75" s="201">
        <f>+SUMIF('Hypotheses expl'!R130,'Compte résultat prévi'!$F$5,'Hypotheses expl'!S130)+SUMIF('Hypotheses expl'!T130,'Compte résultat prévi'!$F$5,'Hypotheses expl'!U130)+SUMIF('Hypotheses expl'!V130,'Compte résultat prévi'!$F$5,'Hypotheses expl'!W130)+SUMIF('Hypotheses expl'!X130,'Compte résultat prévi'!$F$5,'Hypotheses expl'!Y130)+SUMIF('Hypotheses expl'!Z130,'Compte résultat prévi'!$F$5,'Hypotheses expl'!AA130)+SUMIF('Hypotheses expl'!AB130,'Compte résultat prévi'!$F$5,'Hypotheses expl'!AC130)</f>
        <v>0</v>
      </c>
      <c r="G75" s="201">
        <f>+SUMIF('Hypotheses expl'!R130,'Compte résultat prévi'!$G$5,'Hypotheses expl'!S130)+SUMIF('Hypotheses expl'!T130,'Compte résultat prévi'!$G$5,'Hypotheses expl'!U130)+SUMIF('Hypotheses expl'!V130,'Compte résultat prévi'!$G$5,'Hypotheses expl'!W130)+SUMIF('Hypotheses expl'!X130,'Compte résultat prévi'!$G$5,'Hypotheses expl'!Y130)+SUMIF('Hypotheses expl'!Z130,'Compte résultat prévi'!$G$5,'Hypotheses expl'!AA130)+SUMIF('Hypotheses expl'!AB130,'Compte résultat prévi'!$G$5,'Hypotheses expl'!AC130)</f>
        <v>0</v>
      </c>
      <c r="H75" s="202">
        <f>+SUMIF('Hypotheses expl'!R130,'Compte résultat prévi'!$H$5,'Hypotheses expl'!S130)+SUMIF('Hypotheses expl'!T130,'Compte résultat prévi'!$H$5,'Hypotheses expl'!U130)+SUMIF('Hypotheses expl'!V130,'Compte résultat prévi'!$H$5,'Hypotheses expl'!W130)+SUMIF('Hypotheses expl'!X130,'Compte résultat prévi'!$H$5,'Hypotheses expl'!Y130)+SUMIF('Hypotheses expl'!Z130,'Compte résultat prévi'!$H$5,'Hypotheses expl'!AA130)+SUMIF('Hypotheses expl'!AB130,'Compte résultat prévi'!$H$5,'Hypotheses expl'!AC130)</f>
        <v>396</v>
      </c>
      <c r="I75" s="200">
        <f>+'Hypotheses expl (3,)'!O130</f>
        <v>396</v>
      </c>
      <c r="J75" s="201">
        <f>+SUMIF('Hypotheses expl (3,)'!R130,'Compte résultat prévi'!$J$5,'Hypotheses expl (3,)'!S130)+SUMIF('Hypotheses expl (3,)'!T130,'Compte résultat prévi'!$J$5,'Hypotheses expl (3,)'!U130)+SUMIF('Hypotheses expl (3,)'!V130,'Compte résultat prévi'!$J$5,'Hypotheses expl (3,)'!W130)+SUMIF('Hypotheses expl (3,)'!X130,'Compte résultat prévi'!$J$5,'Hypotheses expl (3,)'!Y130)+SUMIF('Hypotheses expl (3,)'!Z130,'Compte résultat prévi'!$J$5,'Hypotheses expl (3,)'!AA130)+SUMIF('Hypotheses expl (3,)'!AB130,'Compte résultat prévi'!$J$5,'Hypotheses expl (3,)'!AC130)</f>
        <v>0</v>
      </c>
      <c r="K75" s="201">
        <f>+SUMIF('Hypotheses expl (3,)'!R130,'Compte résultat prévi'!$K$5,'Hypotheses expl (3,)'!S130)+SUMIF('Hypotheses expl (3,)'!T130,'Compte résultat prévi'!$K$5,'Hypotheses expl (3,)'!U130)+SUMIF('Hypotheses expl (3,)'!V130,'Compte résultat prévi'!$K$5,'Hypotheses expl (3,)'!W130)+SUMIF('Hypotheses expl (3,)'!X130,'Compte résultat prévi'!$K$5,'Hypotheses expl (3,)'!Y130)+SUMIF('Hypotheses expl (3,)'!Z130,'Compte résultat prévi'!$K$5,'Hypotheses expl (3,)'!AA130)+SUMIF('Hypotheses expl (3,)'!AB130,'Compte résultat prévi'!$K$5,'Hypotheses expl (3,)'!AC130)</f>
        <v>0</v>
      </c>
      <c r="L75" s="201">
        <f>+SUMIF('Hypotheses expl (3,)'!R130,'Compte résultat prévi'!$L$5,'Hypotheses expl (3,)'!S130)+SUMIF('Hypotheses expl (3,)'!T130,'Compte résultat prévi'!$L$5,'Hypotheses expl (3,)'!U130)+SUMIF('Hypotheses expl (3,)'!V130,'Compte résultat prévi'!$L$5,'Hypotheses expl (3,)'!W130)+SUMIF('Hypotheses expl (3,)'!X130,'Compte résultat prévi'!$L$5,'Hypotheses expl (3,)'!Y130)+SUMIF('Hypotheses expl (3,)'!Z130,'Compte résultat prévi'!$L$5,'Hypotheses expl (3,)'!AA130)+SUMIF('Hypotheses expl (3,)'!AB130,'Compte résultat prévi'!$L$5,'Hypotheses expl (3,)'!AC130)</f>
        <v>0</v>
      </c>
      <c r="M75" s="201">
        <f>+SUMIF('Hypotheses expl (3,)'!R130,'Compte résultat prévi'!$M$5,'Hypotheses expl (3,)'!S130)+SUMIF('Hypotheses expl (3,)'!T130,'Compte résultat prévi'!$M$5,'Hypotheses expl (3,)'!U130)+SUMIF('Hypotheses expl (3,)'!V130,'Compte résultat prévi'!$M$5,'Hypotheses expl (3,)'!W130)+SUMIF('Hypotheses expl (3,)'!X130,'Compte résultat prévi'!$M$5,'Hypotheses expl (3,)'!Y130)+SUMIF('Hypotheses expl (3,)'!Z130,'Compte résultat prévi'!$M$5,'Hypotheses expl (3,)'!AA130)+SUMIF('Hypotheses expl (3,)'!AB130,'Compte résultat prévi'!$M$5,'Hypotheses expl (3,)'!AC130)</f>
        <v>0</v>
      </c>
      <c r="N75" s="202">
        <f>+SUMIF('Hypotheses expl (3,)'!R130,'Compte résultat prévi'!$N$5,'Hypotheses expl (3,)'!S130)+SUMIF('Hypotheses expl (3,)'!T130,'Compte résultat prévi'!$N$5,'Hypotheses expl (3,)'!U130)+SUMIF('Hypotheses expl (3,)'!V130,'Compte résultat prévi'!$N$5,'Hypotheses expl (3,)'!W130)+SUMIF('Hypotheses expl (3,)'!X130,'Compte résultat prévi'!$N$5,'Hypotheses expl (3,)'!Y130)+SUMIF('Hypotheses expl (3,)'!Z130,'Compte résultat prévi'!$N$5,'Hypotheses expl (3,)'!AA130)+SUMIF('Hypotheses expl (3,)'!AB130,'Compte résultat prévi'!$N$5,'Hypotheses expl (3,)'!AC130)</f>
        <v>396</v>
      </c>
      <c r="O75" s="200">
        <f>+'Hypotheses expl (2)'!O129</f>
        <v>396</v>
      </c>
      <c r="P75" s="201">
        <f>+SUMIF('Hypotheses expl (2)'!R129,'Compte résultat prévi'!$P$5,'Hypotheses expl (2)'!S129)+SUMIF('Hypotheses expl (2)'!T129,'Compte résultat prévi'!$P$5,'Hypotheses expl (2)'!U129)+SUMIF('Hypotheses expl (2)'!V129,'Compte résultat prévi'!$P$5,'Hypotheses expl (2)'!W129)+SUMIF('Hypotheses expl (2)'!X129,'Compte résultat prévi'!$P$5,'Hypotheses expl (2)'!Y129)+SUMIF('Hypotheses expl (2)'!Z129,'Compte résultat prévi'!$P$5,'Hypotheses expl (2)'!AA129)+SUMIF('Hypotheses expl (2)'!AB129,'Compte résultat prévi'!$P$5,'Hypotheses expl (2)'!AC129)</f>
        <v>0</v>
      </c>
      <c r="Q75" s="201">
        <f>+SUMIF('Hypotheses expl (2)'!R129,'Compte résultat prévi'!$Q$5,'Hypotheses expl (2)'!S129)+SUMIF('Hypotheses expl (2)'!T129,'Compte résultat prévi'!$Q$5,'Hypotheses expl (2)'!U129)+SUMIF('Hypotheses expl (2)'!V129,'Compte résultat prévi'!$Q$5,'Hypotheses expl (2)'!W129)+SUMIF('Hypotheses expl (2)'!X129,'Compte résultat prévi'!$Q$5,'Hypotheses expl (2)'!Y129)+SUMIF('Hypotheses expl (2)'!Z129,'Compte résultat prévi'!$Q$5,'Hypotheses expl (2)'!AA129)+SUMIF('Hypotheses expl (2)'!AB129,'Compte résultat prévi'!$Q$5,'Hypotheses expl (2)'!AC129)</f>
        <v>0</v>
      </c>
      <c r="R75" s="201">
        <f>+SUMIF('Hypotheses expl (2)'!R129,'Compte résultat prévi'!$R$5,'Hypotheses expl (2)'!S129)+SUMIF('Hypotheses expl (2)'!T129,'Compte résultat prévi'!$R$5,'Hypotheses expl (2)'!U129)+SUMIF('Hypotheses expl (2)'!V129,'Compte résultat prévi'!$R$5,'Hypotheses expl (2)'!W129)+SUMIF('Hypotheses expl (2)'!X129,'Compte résultat prévi'!$R$5,'Hypotheses expl (2)'!Y129)+SUMIF('Hypotheses expl (2)'!Z129,'Compte résultat prévi'!$R$5,'Hypotheses expl (2)'!AA129)+SUMIF('Hypotheses expl (2)'!AB129,'Compte résultat prévi'!$R$5,'Hypotheses expl (2)'!AC129)</f>
        <v>0</v>
      </c>
      <c r="S75" s="201">
        <f>+SUMIF('Hypotheses expl (2)'!R129,'Compte résultat prévi'!$S$5,'Hypotheses expl (2)'!S129)+SUMIF('Hypotheses expl (2)'!T129,'Compte résultat prévi'!$S$5,'Hypotheses expl (2)'!U129)+SUMIF('Hypotheses expl (2)'!V129,'Compte résultat prévi'!$S$5,'Hypotheses expl (2)'!W129)+SUMIF('Hypotheses expl (2)'!X129,'Compte résultat prévi'!$S$5,'Hypotheses expl (2)'!Y129)+SUMIF('Hypotheses expl (2)'!Z129,'Compte résultat prévi'!$S$5,'Hypotheses expl (2)'!AA129)+SUMIF('Hypotheses expl (2)'!AB129,'Compte résultat prévi'!$S$5,'Hypotheses expl (2)'!AC129)</f>
        <v>0</v>
      </c>
      <c r="T75" s="202">
        <f>+SUMIF('Hypotheses expl (2)'!R129,'Compte résultat prévi'!$T$5,'Hypotheses expl (2)'!S129)+SUMIF('Hypotheses expl (2)'!T129,'Compte résultat prévi'!$T$5,'Hypotheses expl (2)'!U129)+SUMIF('Hypotheses expl (2)'!V129,'Compte résultat prévi'!$T$5,'Hypotheses expl (2)'!W129)+SUMIF('Hypotheses expl (2)'!X129,'Compte résultat prévi'!$T$5,'Hypotheses expl (2)'!Y129)+SUMIF('Hypotheses expl (2)'!Z129,'Compte résultat prévi'!$T$5,'Hypotheses expl (2)'!AA129)+SUMIF('Hypotheses expl (2)'!AB129,'Compte résultat prévi'!$T$5,'Hypotheses expl (2)'!AC129)</f>
        <v>396</v>
      </c>
      <c r="U75" s="203"/>
      <c r="V75" s="204"/>
    </row>
    <row r="76" outlineLevel="1">
      <c r="A76" s="198" t="str">
        <f>'Hypotheses expl'!B131</f>
        <v>Certification</v>
      </c>
      <c r="B76" s="234"/>
      <c r="C76" s="200">
        <f>+'Hypotheses expl'!O131</f>
        <v>0</v>
      </c>
      <c r="D76" s="201">
        <f>+SUMIF('Hypotheses expl'!R131,'Compte résultat prévi'!$D$5,'Hypotheses expl'!S131)+SUMIF('Hypotheses expl'!T131,'Compte résultat prévi'!$D$5,'Hypotheses expl'!U131)+SUMIF('Hypotheses expl'!V131,'Compte résultat prévi'!$D$5,'Hypotheses expl'!W131)+SUMIF('Hypotheses expl'!X131,'Compte résultat prévi'!$D$5,'Hypotheses expl'!Y131)+SUMIF('Hypotheses expl'!Z131,'Compte résultat prévi'!$D$5,'Hypotheses expl'!AA131)+SUMIF('Hypotheses expl'!AB131,'Compte résultat prévi'!$D$5,'Hypotheses expl'!AC131)</f>
        <v>0</v>
      </c>
      <c r="E76" s="201">
        <f>+SUMIF('Hypotheses expl'!R131,'Compte résultat prévi'!$E$5,'Hypotheses expl'!S131)+SUMIF('Hypotheses expl'!T131,'Compte résultat prévi'!$E$5,'Hypotheses expl'!U131)+SUMIF('Hypotheses expl'!V131,'Compte résultat prévi'!$E$5,'Hypotheses expl'!W131)+SUMIF('Hypotheses expl'!X131,'Compte résultat prévi'!$E$5,'Hypotheses expl'!Y131)+SUMIF('Hypotheses expl'!Z131,'Compte résultat prévi'!$E$5,'Hypotheses expl'!AA131)+SUMIF('Hypotheses expl'!AB131,'Compte résultat prévi'!$E$5,'Hypotheses expl'!AC131)</f>
        <v>0</v>
      </c>
      <c r="F76" s="201">
        <f>+SUMIF('Hypotheses expl'!R131,'Compte résultat prévi'!$F$5,'Hypotheses expl'!S131)+SUMIF('Hypotheses expl'!T131,'Compte résultat prévi'!$F$5,'Hypotheses expl'!U131)+SUMIF('Hypotheses expl'!V131,'Compte résultat prévi'!$F$5,'Hypotheses expl'!W131)+SUMIF('Hypotheses expl'!X131,'Compte résultat prévi'!$F$5,'Hypotheses expl'!Y131)+SUMIF('Hypotheses expl'!Z131,'Compte résultat prévi'!$F$5,'Hypotheses expl'!AA131)+SUMIF('Hypotheses expl'!AB131,'Compte résultat prévi'!$F$5,'Hypotheses expl'!AC131)</f>
        <v>0</v>
      </c>
      <c r="G76" s="201">
        <f>+SUMIF('Hypotheses expl'!R131,'Compte résultat prévi'!$G$5,'Hypotheses expl'!S131)+SUMIF('Hypotheses expl'!T131,'Compte résultat prévi'!$G$5,'Hypotheses expl'!U131)+SUMIF('Hypotheses expl'!V131,'Compte résultat prévi'!$G$5,'Hypotheses expl'!W131)+SUMIF('Hypotheses expl'!X131,'Compte résultat prévi'!$G$5,'Hypotheses expl'!Y131)+SUMIF('Hypotheses expl'!Z131,'Compte résultat prévi'!$G$5,'Hypotheses expl'!AA131)+SUMIF('Hypotheses expl'!AB131,'Compte résultat prévi'!$G$5,'Hypotheses expl'!AC131)</f>
        <v>0</v>
      </c>
      <c r="H76" s="202">
        <f>+SUMIF('Hypotheses expl'!R131,'Compte résultat prévi'!$H$5,'Hypotheses expl'!S131)+SUMIF('Hypotheses expl'!T131,'Compte résultat prévi'!$H$5,'Hypotheses expl'!U131)+SUMIF('Hypotheses expl'!V131,'Compte résultat prévi'!$H$5,'Hypotheses expl'!W131)+SUMIF('Hypotheses expl'!X131,'Compte résultat prévi'!$H$5,'Hypotheses expl'!Y131)+SUMIF('Hypotheses expl'!Z131,'Compte résultat prévi'!$H$5,'Hypotheses expl'!AA131)+SUMIF('Hypotheses expl'!AB131,'Compte résultat prévi'!$H$5,'Hypotheses expl'!AC131)</f>
        <v>0</v>
      </c>
      <c r="I76" s="200">
        <f>+'Hypotheses expl (3,)'!O131</f>
        <v>0</v>
      </c>
      <c r="J76" s="201">
        <f>+SUMIF('Hypotheses expl (3,)'!R131,'Compte résultat prévi'!$J$5,'Hypotheses expl (3,)'!S131)+SUMIF('Hypotheses expl (3,)'!T131,'Compte résultat prévi'!$J$5,'Hypotheses expl (3,)'!U131)+SUMIF('Hypotheses expl (3,)'!V131,'Compte résultat prévi'!$J$5,'Hypotheses expl (3,)'!W131)+SUMIF('Hypotheses expl (3,)'!X131,'Compte résultat prévi'!$J$5,'Hypotheses expl (3,)'!Y131)+SUMIF('Hypotheses expl (3,)'!Z131,'Compte résultat prévi'!$J$5,'Hypotheses expl (3,)'!AA131)+SUMIF('Hypotheses expl (3,)'!AB131,'Compte résultat prévi'!$J$5,'Hypotheses expl (3,)'!AC131)</f>
        <v>0</v>
      </c>
      <c r="K76" s="201">
        <f>+SUMIF('Hypotheses expl (3,)'!R131,'Compte résultat prévi'!$K$5,'Hypotheses expl (3,)'!S131)+SUMIF('Hypotheses expl (3,)'!T131,'Compte résultat prévi'!$K$5,'Hypotheses expl (3,)'!U131)+SUMIF('Hypotheses expl (3,)'!V131,'Compte résultat prévi'!$K$5,'Hypotheses expl (3,)'!W131)+SUMIF('Hypotheses expl (3,)'!X131,'Compte résultat prévi'!$K$5,'Hypotheses expl (3,)'!Y131)+SUMIF('Hypotheses expl (3,)'!Z131,'Compte résultat prévi'!$K$5,'Hypotheses expl (3,)'!AA131)+SUMIF('Hypotheses expl (3,)'!AB131,'Compte résultat prévi'!$K$5,'Hypotheses expl (3,)'!AC131)</f>
        <v>0</v>
      </c>
      <c r="L76" s="201">
        <f>+SUMIF('Hypotheses expl (3,)'!R131,'Compte résultat prévi'!$L$5,'Hypotheses expl (3,)'!S131)+SUMIF('Hypotheses expl (3,)'!T131,'Compte résultat prévi'!$L$5,'Hypotheses expl (3,)'!U131)+SUMIF('Hypotheses expl (3,)'!V131,'Compte résultat prévi'!$L$5,'Hypotheses expl (3,)'!W131)+SUMIF('Hypotheses expl (3,)'!X131,'Compte résultat prévi'!$L$5,'Hypotheses expl (3,)'!Y131)+SUMIF('Hypotheses expl (3,)'!Z131,'Compte résultat prévi'!$L$5,'Hypotheses expl (3,)'!AA131)+SUMIF('Hypotheses expl (3,)'!AB131,'Compte résultat prévi'!$L$5,'Hypotheses expl (3,)'!AC131)</f>
        <v>0</v>
      </c>
      <c r="M76" s="201">
        <f>+SUMIF('Hypotheses expl (3,)'!R131,'Compte résultat prévi'!$M$5,'Hypotheses expl (3,)'!S131)+SUMIF('Hypotheses expl (3,)'!T131,'Compte résultat prévi'!$M$5,'Hypotheses expl (3,)'!U131)+SUMIF('Hypotheses expl (3,)'!V131,'Compte résultat prévi'!$M$5,'Hypotheses expl (3,)'!W131)+SUMIF('Hypotheses expl (3,)'!X131,'Compte résultat prévi'!$M$5,'Hypotheses expl (3,)'!Y131)+SUMIF('Hypotheses expl (3,)'!Z131,'Compte résultat prévi'!$M$5,'Hypotheses expl (3,)'!AA131)+SUMIF('Hypotheses expl (3,)'!AB131,'Compte résultat prévi'!$M$5,'Hypotheses expl (3,)'!AC131)</f>
        <v>0</v>
      </c>
      <c r="N76" s="202">
        <f>+SUMIF('Hypotheses expl (3,)'!R131,'Compte résultat prévi'!$N$5,'Hypotheses expl (3,)'!S131)+SUMIF('Hypotheses expl (3,)'!T131,'Compte résultat prévi'!$N$5,'Hypotheses expl (3,)'!U131)+SUMIF('Hypotheses expl (3,)'!V131,'Compte résultat prévi'!$N$5,'Hypotheses expl (3,)'!W131)+SUMIF('Hypotheses expl (3,)'!X131,'Compte résultat prévi'!$N$5,'Hypotheses expl (3,)'!Y131)+SUMIF('Hypotheses expl (3,)'!Z131,'Compte résultat prévi'!$N$5,'Hypotheses expl (3,)'!AA131)+SUMIF('Hypotheses expl (3,)'!AB131,'Compte résultat prévi'!$N$5,'Hypotheses expl (3,)'!AC131)</f>
        <v>0</v>
      </c>
      <c r="O76" s="200">
        <f>+'Hypotheses expl (2)'!O130</f>
        <v>0</v>
      </c>
      <c r="P76" s="201">
        <f>+SUMIF('Hypotheses expl (2)'!R130,'Compte résultat prévi'!$P$5,'Hypotheses expl (2)'!S130)+SUMIF('Hypotheses expl (2)'!T130,'Compte résultat prévi'!$P$5,'Hypotheses expl (2)'!U130)+SUMIF('Hypotheses expl (2)'!V130,'Compte résultat prévi'!$P$5,'Hypotheses expl (2)'!W130)+SUMIF('Hypotheses expl (2)'!X130,'Compte résultat prévi'!$P$5,'Hypotheses expl (2)'!Y130)+SUMIF('Hypotheses expl (2)'!Z130,'Compte résultat prévi'!$P$5,'Hypotheses expl (2)'!AA130)+SUMIF('Hypotheses expl (2)'!AB130,'Compte résultat prévi'!$P$5,'Hypotheses expl (2)'!AC130)</f>
        <v>0</v>
      </c>
      <c r="Q76" s="201">
        <f>+SUMIF('Hypotheses expl (2)'!R130,'Compte résultat prévi'!$Q$5,'Hypotheses expl (2)'!S130)+SUMIF('Hypotheses expl (2)'!T130,'Compte résultat prévi'!$Q$5,'Hypotheses expl (2)'!U130)+SUMIF('Hypotheses expl (2)'!V130,'Compte résultat prévi'!$Q$5,'Hypotheses expl (2)'!W130)+SUMIF('Hypotheses expl (2)'!X130,'Compte résultat prévi'!$Q$5,'Hypotheses expl (2)'!Y130)+SUMIF('Hypotheses expl (2)'!Z130,'Compte résultat prévi'!$Q$5,'Hypotheses expl (2)'!AA130)+SUMIF('Hypotheses expl (2)'!AB130,'Compte résultat prévi'!$Q$5,'Hypotheses expl (2)'!AC130)</f>
        <v>0</v>
      </c>
      <c r="R76" s="201">
        <f>+SUMIF('Hypotheses expl (2)'!R130,'Compte résultat prévi'!$R$5,'Hypotheses expl (2)'!S130)+SUMIF('Hypotheses expl (2)'!T130,'Compte résultat prévi'!$R$5,'Hypotheses expl (2)'!U130)+SUMIF('Hypotheses expl (2)'!V130,'Compte résultat prévi'!$R$5,'Hypotheses expl (2)'!W130)+SUMIF('Hypotheses expl (2)'!X130,'Compte résultat prévi'!$R$5,'Hypotheses expl (2)'!Y130)+SUMIF('Hypotheses expl (2)'!Z130,'Compte résultat prévi'!$R$5,'Hypotheses expl (2)'!AA130)+SUMIF('Hypotheses expl (2)'!AB130,'Compte résultat prévi'!$R$5,'Hypotheses expl (2)'!AC130)</f>
        <v>0</v>
      </c>
      <c r="S76" s="201">
        <f>+SUMIF('Hypotheses expl (2)'!R130,'Compte résultat prévi'!$S$5,'Hypotheses expl (2)'!S130)+SUMIF('Hypotheses expl (2)'!T130,'Compte résultat prévi'!$S$5,'Hypotheses expl (2)'!U130)+SUMIF('Hypotheses expl (2)'!V130,'Compte résultat prévi'!$S$5,'Hypotheses expl (2)'!W130)+SUMIF('Hypotheses expl (2)'!X130,'Compte résultat prévi'!$S$5,'Hypotheses expl (2)'!Y130)+SUMIF('Hypotheses expl (2)'!Z130,'Compte résultat prévi'!$S$5,'Hypotheses expl (2)'!AA130)+SUMIF('Hypotheses expl (2)'!AB130,'Compte résultat prévi'!$S$5,'Hypotheses expl (2)'!AC130)</f>
        <v>0</v>
      </c>
      <c r="T76" s="202">
        <f>+SUMIF('Hypotheses expl (2)'!R130,'Compte résultat prévi'!$T$5,'Hypotheses expl (2)'!S130)+SUMIF('Hypotheses expl (2)'!T130,'Compte résultat prévi'!$T$5,'Hypotheses expl (2)'!U130)+SUMIF('Hypotheses expl (2)'!V130,'Compte résultat prévi'!$T$5,'Hypotheses expl (2)'!W130)+SUMIF('Hypotheses expl (2)'!X130,'Compte résultat prévi'!$T$5,'Hypotheses expl (2)'!Y130)+SUMIF('Hypotheses expl (2)'!Z130,'Compte résultat prévi'!$T$5,'Hypotheses expl (2)'!AA130)+SUMIF('Hypotheses expl (2)'!AB130,'Compte résultat prévi'!$T$5,'Hypotheses expl (2)'!AC130)</f>
        <v>0</v>
      </c>
      <c r="U76" s="203"/>
      <c r="V76" s="204"/>
    </row>
    <row r="77" outlineLevel="1">
      <c r="A77" s="198" t="s">
        <v>294</v>
      </c>
      <c r="B77" s="234"/>
      <c r="C77" s="200"/>
      <c r="D77" s="201">
        <f>+SUMIF('Hypotheses expl'!R132,'Compte résultat prévi'!$D$5,'Hypotheses expl'!S132)+SUMIF('Hypotheses expl'!T132,'Compte résultat prévi'!$D$5,'Hypotheses expl'!U132)+SUMIF('Hypotheses expl'!V132,'Compte résultat prévi'!$D$5,'Hypotheses expl'!W132)+SUMIF('Hypotheses expl'!X132,'Compte résultat prévi'!$D$5,'Hypotheses expl'!Y132)+SUMIF('Hypotheses expl'!Z132,'Compte résultat prévi'!$D$5,'Hypotheses expl'!AA132)+SUMIF('Hypotheses expl'!AB132,'Compte résultat prévi'!$D$5,'Hypotheses expl'!AC132)</f>
        <v>0</v>
      </c>
      <c r="E77" s="201">
        <f>+SUMIF('Hypotheses expl'!R132,'Compte résultat prévi'!$E$5,'Hypotheses expl'!S132)+SUMIF('Hypotheses expl'!T132,'Compte résultat prévi'!$E$5,'Hypotheses expl'!U132)+SUMIF('Hypotheses expl'!V132,'Compte résultat prévi'!$E$5,'Hypotheses expl'!W132)+SUMIF('Hypotheses expl'!X132,'Compte résultat prévi'!$E$5,'Hypotheses expl'!Y132)+SUMIF('Hypotheses expl'!Z132,'Compte résultat prévi'!$E$5,'Hypotheses expl'!AA132)+SUMIF('Hypotheses expl'!AB132,'Compte résultat prévi'!$E$5,'Hypotheses expl'!AC132)</f>
        <v>0</v>
      </c>
      <c r="F77" s="201">
        <f>+SUMIF('Hypotheses expl'!R132,'Compte résultat prévi'!$F$5,'Hypotheses expl'!S132)+SUMIF('Hypotheses expl'!T132,'Compte résultat prévi'!$F$5,'Hypotheses expl'!U132)+SUMIF('Hypotheses expl'!V132,'Compte résultat prévi'!$F$5,'Hypotheses expl'!W132)+SUMIF('Hypotheses expl'!X132,'Compte résultat prévi'!$F$5,'Hypotheses expl'!Y132)+SUMIF('Hypotheses expl'!Z132,'Compte résultat prévi'!$F$5,'Hypotheses expl'!AA132)+SUMIF('Hypotheses expl'!AB132,'Compte résultat prévi'!$F$5,'Hypotheses expl'!AC132)</f>
        <v>0</v>
      </c>
      <c r="G77" s="201">
        <f>+SUMIF('Hypotheses expl'!R132,'Compte résultat prévi'!$G$5,'Hypotheses expl'!S132)+SUMIF('Hypotheses expl'!T132,'Compte résultat prévi'!$G$5,'Hypotheses expl'!U132)+SUMIF('Hypotheses expl'!V132,'Compte résultat prévi'!$G$5,'Hypotheses expl'!W132)+SUMIF('Hypotheses expl'!X132,'Compte résultat prévi'!$G$5,'Hypotheses expl'!Y132)+SUMIF('Hypotheses expl'!Z132,'Compte résultat prévi'!$G$5,'Hypotheses expl'!AA132)+SUMIF('Hypotheses expl'!AB132,'Compte résultat prévi'!$G$5,'Hypotheses expl'!AC132)</f>
        <v>0</v>
      </c>
      <c r="H77" s="202">
        <f>+SUMIF('Hypotheses expl'!R132,'Compte résultat prévi'!$H$5,'Hypotheses expl'!S132)+SUMIF('Hypotheses expl'!T132,'Compte résultat prévi'!$H$5,'Hypotheses expl'!U132)+SUMIF('Hypotheses expl'!V132,'Compte résultat prévi'!$H$5,'Hypotheses expl'!W132)+SUMIF('Hypotheses expl'!X132,'Compte résultat prévi'!$H$5,'Hypotheses expl'!Y132)+SUMIF('Hypotheses expl'!Z132,'Compte résultat prévi'!$H$5,'Hypotheses expl'!AA132)+SUMIF('Hypotheses expl'!AB132,'Compte résultat prévi'!$H$5,'Hypotheses expl'!AC132)</f>
        <v>0</v>
      </c>
      <c r="I77" s="200">
        <v>40000</v>
      </c>
      <c r="J77" s="201">
        <f>+SUMIF('Hypotheses expl (3,)'!R132,'Compte résultat prévi'!$J$5,'Hypotheses expl (3,)'!S132)+SUMIF('Hypotheses expl (3,)'!T132,'Compte résultat prévi'!$J$5,'Hypotheses expl (3,)'!U132)+SUMIF('Hypotheses expl (3,)'!V132,'Compte résultat prévi'!$J$5,'Hypotheses expl (3,)'!W132)+SUMIF('Hypotheses expl (3,)'!X132,'Compte résultat prévi'!$J$5,'Hypotheses expl (3,)'!Y132)+SUMIF('Hypotheses expl (3,)'!Z132,'Compte résultat prévi'!$J$5,'Hypotheses expl (3,)'!AA132)+SUMIF('Hypotheses expl (3,)'!AB132,'Compte résultat prévi'!$J$5,'Hypotheses expl (3,)'!AC132)</f>
        <v>0</v>
      </c>
      <c r="K77" s="201">
        <f>+SUMIF('Hypotheses expl (3,)'!R132,'Compte résultat prévi'!$K$5,'Hypotheses expl (3,)'!S132)+SUMIF('Hypotheses expl (3,)'!T132,'Compte résultat prévi'!$K$5,'Hypotheses expl (3,)'!U132)+SUMIF('Hypotheses expl (3,)'!V132,'Compte résultat prévi'!$K$5,'Hypotheses expl (3,)'!W132)+SUMIF('Hypotheses expl (3,)'!X132,'Compte résultat prévi'!$K$5,'Hypotheses expl (3,)'!Y132)+SUMIF('Hypotheses expl (3,)'!Z132,'Compte résultat prévi'!$K$5,'Hypotheses expl (3,)'!AA132)+SUMIF('Hypotheses expl (3,)'!AB132,'Compte résultat prévi'!$K$5,'Hypotheses expl (3,)'!AC132)</f>
        <v>0</v>
      </c>
      <c r="L77" s="201">
        <f>+SUMIF('Hypotheses expl (3,)'!R132,'Compte résultat prévi'!$L$5,'Hypotheses expl (3,)'!S132)+SUMIF('Hypotheses expl (3,)'!T132,'Compte résultat prévi'!$L$5,'Hypotheses expl (3,)'!U132)+SUMIF('Hypotheses expl (3,)'!V132,'Compte résultat prévi'!$L$5,'Hypotheses expl (3,)'!W132)+SUMIF('Hypotheses expl (3,)'!X132,'Compte résultat prévi'!$L$5,'Hypotheses expl (3,)'!Y132)+SUMIF('Hypotheses expl (3,)'!Z132,'Compte résultat prévi'!$L$5,'Hypotheses expl (3,)'!AA132)+SUMIF('Hypotheses expl (3,)'!AB132,'Compte résultat prévi'!$L$5,'Hypotheses expl (3,)'!AC132)</f>
        <v>0</v>
      </c>
      <c r="M77" s="201">
        <f>+SUMIF('Hypotheses expl (3,)'!R132,'Compte résultat prévi'!$M$5,'Hypotheses expl (3,)'!S132)+SUMIF('Hypotheses expl (3,)'!T132,'Compte résultat prévi'!$M$5,'Hypotheses expl (3,)'!U132)+SUMIF('Hypotheses expl (3,)'!V132,'Compte résultat prévi'!$M$5,'Hypotheses expl (3,)'!W132)+SUMIF('Hypotheses expl (3,)'!X132,'Compte résultat prévi'!$M$5,'Hypotheses expl (3,)'!Y132)+SUMIF('Hypotheses expl (3,)'!Z132,'Compte résultat prévi'!$M$5,'Hypotheses expl (3,)'!AA132)+SUMIF('Hypotheses expl (3,)'!AB132,'Compte résultat prévi'!$M$5,'Hypotheses expl (3,)'!AC132)</f>
        <v>0</v>
      </c>
      <c r="N77" s="202">
        <v>40000</v>
      </c>
      <c r="O77" s="200">
        <v>40000</v>
      </c>
      <c r="P77" s="201">
        <f>+SUMIF('Hypotheses expl (2)'!R131,'Compte résultat prévi'!$P$5,'Hypotheses expl (2)'!S131)+SUMIF('Hypotheses expl (2)'!T131,'Compte résultat prévi'!$P$5,'Hypotheses expl (2)'!U131)+SUMIF('Hypotheses expl (2)'!V131,'Compte résultat prévi'!$P$5,'Hypotheses expl (2)'!W131)+SUMIF('Hypotheses expl (2)'!X131,'Compte résultat prévi'!$P$5,'Hypotheses expl (2)'!Y131)+SUMIF('Hypotheses expl (2)'!Z131,'Compte résultat prévi'!$P$5,'Hypotheses expl (2)'!AA131)+SUMIF('Hypotheses expl (2)'!AB131,'Compte résultat prévi'!$P$5,'Hypotheses expl (2)'!AC131)</f>
        <v>13200</v>
      </c>
      <c r="Q77" s="201">
        <f>+SUMIF('Hypotheses expl (2)'!R131,'Compte résultat prévi'!$Q$5,'Hypotheses expl (2)'!S131)+SUMIF('Hypotheses expl (2)'!T131,'Compte résultat prévi'!$Q$5,'Hypotheses expl (2)'!U131)+SUMIF('Hypotheses expl (2)'!V131,'Compte résultat prévi'!$Q$5,'Hypotheses expl (2)'!W131)+SUMIF('Hypotheses expl (2)'!X131,'Compte résultat prévi'!$Q$5,'Hypotheses expl (2)'!Y131)+SUMIF('Hypotheses expl (2)'!Z131,'Compte résultat prévi'!$Q$5,'Hypotheses expl (2)'!AA131)+SUMIF('Hypotheses expl (2)'!AB131,'Compte résultat prévi'!$Q$5,'Hypotheses expl (2)'!AC131)</f>
        <v>13200</v>
      </c>
      <c r="R77" s="201">
        <f>+SUMIF('Hypotheses expl (2)'!R131,'Compte résultat prévi'!$R$5,'Hypotheses expl (2)'!S131)+SUMIF('Hypotheses expl (2)'!T131,'Compte résultat prévi'!$R$5,'Hypotheses expl (2)'!U131)+SUMIF('Hypotheses expl (2)'!V131,'Compte résultat prévi'!$R$5,'Hypotheses expl (2)'!W131)+SUMIF('Hypotheses expl (2)'!X131,'Compte résultat prévi'!$R$5,'Hypotheses expl (2)'!Y131)+SUMIF('Hypotheses expl (2)'!Z131,'Compte résultat prévi'!$R$5,'Hypotheses expl (2)'!AA131)+SUMIF('Hypotheses expl (2)'!AB131,'Compte résultat prévi'!$R$5,'Hypotheses expl (2)'!AC131)</f>
        <v>0</v>
      </c>
      <c r="S77" s="201">
        <f>+SUMIF('Hypotheses expl (2)'!R131,'Compte résultat prévi'!$S$5,'Hypotheses expl (2)'!S131)+SUMIF('Hypotheses expl (2)'!T131,'Compte résultat prévi'!$S$5,'Hypotheses expl (2)'!U131)+SUMIF('Hypotheses expl (2)'!V131,'Compte résultat prévi'!$S$5,'Hypotheses expl (2)'!W131)+SUMIF('Hypotheses expl (2)'!X131,'Compte résultat prévi'!$S$5,'Hypotheses expl (2)'!Y131)+SUMIF('Hypotheses expl (2)'!Z131,'Compte résultat prévi'!$S$5,'Hypotheses expl (2)'!AA131)+SUMIF('Hypotheses expl (2)'!AB131,'Compte résultat prévi'!$S$5,'Hypotheses expl (2)'!AC131)</f>
        <v>13200</v>
      </c>
      <c r="T77" s="202">
        <v>40000</v>
      </c>
      <c r="U77" s="203"/>
      <c r="V77" s="204"/>
    </row>
    <row r="78" outlineLevel="1">
      <c r="A78" s="198" t="str">
        <f>'Hypotheses expl'!B133</f>
        <v xml:space="preserve">Colloques et formations</v>
      </c>
      <c r="B78" s="234">
        <v>3</v>
      </c>
      <c r="C78" s="200">
        <f>+'Hypotheses expl'!O133</f>
        <v>11250</v>
      </c>
      <c r="D78" s="201">
        <f>+SUMIF('Hypotheses expl'!R133,'Compte résultat prévi'!$D$5,'Hypotheses expl'!S133)+SUMIF('Hypotheses expl'!T133,'Compte résultat prévi'!$D$5,'Hypotheses expl'!U133)+SUMIF('Hypotheses expl'!V133,'Compte résultat prévi'!$D$5,'Hypotheses expl'!W133)+SUMIF('Hypotheses expl'!X133,'Compte résultat prévi'!$D$5,'Hypotheses expl'!Y133)+SUMIF('Hypotheses expl'!Z133,'Compte résultat prévi'!$D$5,'Hypotheses expl'!AA133)+SUMIF('Hypotheses expl'!AB133,'Compte résultat prévi'!$D$5,'Hypotheses expl'!AC133)</f>
        <v>0</v>
      </c>
      <c r="E78" s="201">
        <f>+SUMIF('Hypotheses expl'!R133,'Compte résultat prévi'!$E$5,'Hypotheses expl'!S133)+SUMIF('Hypotheses expl'!T133,'Compte résultat prévi'!$E$5,'Hypotheses expl'!U133)+SUMIF('Hypotheses expl'!V133,'Compte résultat prévi'!$E$5,'Hypotheses expl'!W133)+SUMIF('Hypotheses expl'!X133,'Compte résultat prévi'!$E$5,'Hypotheses expl'!Y133)+SUMIF('Hypotheses expl'!Z133,'Compte résultat prévi'!$E$5,'Hypotheses expl'!AA133)+SUMIF('Hypotheses expl'!AB133,'Compte résultat prévi'!$E$5,'Hypotheses expl'!AC133)</f>
        <v>0</v>
      </c>
      <c r="F78" s="201">
        <f>+SUMIF('Hypotheses expl'!R133,'Compte résultat prévi'!$F$5,'Hypotheses expl'!S133)+SUMIF('Hypotheses expl'!T133,'Compte résultat prévi'!$F$5,'Hypotheses expl'!U133)+SUMIF('Hypotheses expl'!V133,'Compte résultat prévi'!$F$5,'Hypotheses expl'!W133)+SUMIF('Hypotheses expl'!X133,'Compte résultat prévi'!$F$5,'Hypotheses expl'!Y133)+SUMIF('Hypotheses expl'!Z133,'Compte résultat prévi'!$F$5,'Hypotheses expl'!AA133)+SUMIF('Hypotheses expl'!AB133,'Compte résultat prévi'!$F$5,'Hypotheses expl'!AC133)</f>
        <v>0</v>
      </c>
      <c r="G78" s="201">
        <f>+SUMIF('Hypotheses expl'!R133,'Compte résultat prévi'!$G$5,'Hypotheses expl'!S133)+SUMIF('Hypotheses expl'!T133,'Compte résultat prévi'!$G$5,'Hypotheses expl'!U133)+SUMIF('Hypotheses expl'!V133,'Compte résultat prévi'!$G$5,'Hypotheses expl'!W133)+SUMIF('Hypotheses expl'!X133,'Compte résultat prévi'!$G$5,'Hypotheses expl'!Y133)+SUMIF('Hypotheses expl'!Z133,'Compte résultat prévi'!$G$5,'Hypotheses expl'!AA133)+SUMIF('Hypotheses expl'!AB133,'Compte résultat prévi'!$G$5,'Hypotheses expl'!AC133)</f>
        <v>0</v>
      </c>
      <c r="H78" s="202">
        <f>+SUMIF('Hypotheses expl'!R133,'Compte résultat prévi'!$H$5,'Hypotheses expl'!S133)+SUMIF('Hypotheses expl'!T133,'Compte résultat prévi'!$H$5,'Hypotheses expl'!U133)+SUMIF('Hypotheses expl'!V133,'Compte résultat prévi'!$H$5,'Hypotheses expl'!W133)+SUMIF('Hypotheses expl'!X133,'Compte résultat prévi'!$H$5,'Hypotheses expl'!Y133)+SUMIF('Hypotheses expl'!Z133,'Compte résultat prévi'!$H$5,'Hypotheses expl'!AA133)+SUMIF('Hypotheses expl'!AB133,'Compte résultat prévi'!$H$5,'Hypotheses expl'!AC133)</f>
        <v>11250</v>
      </c>
      <c r="I78" s="200">
        <f>+'Hypotheses expl (3,)'!O133</f>
        <v>11250</v>
      </c>
      <c r="J78" s="201">
        <f>+SUMIF('Hypotheses expl (3,)'!R133,'Compte résultat prévi'!$J$5,'Hypotheses expl (3,)'!S133)+SUMIF('Hypotheses expl (3,)'!T133,'Compte résultat prévi'!$J$5,'Hypotheses expl (3,)'!U133)+SUMIF('Hypotheses expl (3,)'!V133,'Compte résultat prévi'!$J$5,'Hypotheses expl (3,)'!W133)+SUMIF('Hypotheses expl (3,)'!X133,'Compte résultat prévi'!$J$5,'Hypotheses expl (3,)'!Y133)+SUMIF('Hypotheses expl (3,)'!Z133,'Compte résultat prévi'!$J$5,'Hypotheses expl (3,)'!AA133)+SUMIF('Hypotheses expl (3,)'!AB133,'Compte résultat prévi'!$J$5,'Hypotheses expl (3,)'!AC133)</f>
        <v>0</v>
      </c>
      <c r="K78" s="201">
        <f>+SUMIF('Hypotheses expl (3,)'!R133,'Compte résultat prévi'!$K$5,'Hypotheses expl (3,)'!S133)+SUMIF('Hypotheses expl (3,)'!T133,'Compte résultat prévi'!$K$5,'Hypotheses expl (3,)'!U133)+SUMIF('Hypotheses expl (3,)'!V133,'Compte résultat prévi'!$K$5,'Hypotheses expl (3,)'!W133)+SUMIF('Hypotheses expl (3,)'!X133,'Compte résultat prévi'!$K$5,'Hypotheses expl (3,)'!Y133)+SUMIF('Hypotheses expl (3,)'!Z133,'Compte résultat prévi'!$K$5,'Hypotheses expl (3,)'!AA133)+SUMIF('Hypotheses expl (3,)'!AB133,'Compte résultat prévi'!$K$5,'Hypotheses expl (3,)'!AC133)</f>
        <v>0</v>
      </c>
      <c r="L78" s="201">
        <f>+SUMIF('Hypotheses expl (3,)'!R133,'Compte résultat prévi'!$L$5,'Hypotheses expl (3,)'!S133)+SUMIF('Hypotheses expl (3,)'!T133,'Compte résultat prévi'!$L$5,'Hypotheses expl (3,)'!U133)+SUMIF('Hypotheses expl (3,)'!V133,'Compte résultat prévi'!$L$5,'Hypotheses expl (3,)'!W133)+SUMIF('Hypotheses expl (3,)'!X133,'Compte résultat prévi'!$L$5,'Hypotheses expl (3,)'!Y133)+SUMIF('Hypotheses expl (3,)'!Z133,'Compte résultat prévi'!$L$5,'Hypotheses expl (3,)'!AA133)+SUMIF('Hypotheses expl (3,)'!AB133,'Compte résultat prévi'!$L$5,'Hypotheses expl (3,)'!AC133)</f>
        <v>0</v>
      </c>
      <c r="M78" s="201">
        <f>+SUMIF('Hypotheses expl (3,)'!R133,'Compte résultat prévi'!$M$5,'Hypotheses expl (3,)'!S133)+SUMIF('Hypotheses expl (3,)'!T133,'Compte résultat prévi'!$M$5,'Hypotheses expl (3,)'!U133)+SUMIF('Hypotheses expl (3,)'!V133,'Compte résultat prévi'!$M$5,'Hypotheses expl (3,)'!W133)+SUMIF('Hypotheses expl (3,)'!X133,'Compte résultat prévi'!$M$5,'Hypotheses expl (3,)'!Y133)+SUMIF('Hypotheses expl (3,)'!Z133,'Compte résultat prévi'!$M$5,'Hypotheses expl (3,)'!AA133)+SUMIF('Hypotheses expl (3,)'!AB133,'Compte résultat prévi'!$M$5,'Hypotheses expl (3,)'!AC133)</f>
        <v>0</v>
      </c>
      <c r="N78" s="202">
        <f>+SUMIF('Hypotheses expl (3,)'!R133,'Compte résultat prévi'!$N$5,'Hypotheses expl (3,)'!S133)+SUMIF('Hypotheses expl (3,)'!T133,'Compte résultat prévi'!$N$5,'Hypotheses expl (3,)'!U133)+SUMIF('Hypotheses expl (3,)'!V133,'Compte résultat prévi'!$N$5,'Hypotheses expl (3,)'!W133)+SUMIF('Hypotheses expl (3,)'!X133,'Compte résultat prévi'!$N$5,'Hypotheses expl (3,)'!Y133)+SUMIF('Hypotheses expl (3,)'!Z133,'Compte résultat prévi'!$N$5,'Hypotheses expl (3,)'!AA133)+SUMIF('Hypotheses expl (3,)'!AB133,'Compte résultat prévi'!$N$5,'Hypotheses expl (3,)'!AC133)</f>
        <v>11250</v>
      </c>
      <c r="O78" s="200">
        <f>+'Hypotheses expl (2)'!O132</f>
        <v>11250</v>
      </c>
      <c r="P78" s="201">
        <f>+SUMIF('Hypotheses expl (2)'!R132,'Compte résultat prévi'!$P$5,'Hypotheses expl (2)'!S132)+SUMIF('Hypotheses expl (2)'!T132,'Compte résultat prévi'!$P$5,'Hypotheses expl (2)'!U132)+SUMIF('Hypotheses expl (2)'!V132,'Compte résultat prévi'!$P$5,'Hypotheses expl (2)'!W132)+SUMIF('Hypotheses expl (2)'!X132,'Compte résultat prévi'!$P$5,'Hypotheses expl (2)'!Y132)+SUMIF('Hypotheses expl (2)'!Z132,'Compte résultat prévi'!$P$5,'Hypotheses expl (2)'!AA132)+SUMIF('Hypotheses expl (2)'!AB132,'Compte résultat prévi'!$P$5,'Hypotheses expl (2)'!AC132)</f>
        <v>0</v>
      </c>
      <c r="Q78" s="201">
        <f>+SUMIF('Hypotheses expl (2)'!R132,'Compte résultat prévi'!$Q$5,'Hypotheses expl (2)'!S132)+SUMIF('Hypotheses expl (2)'!T132,'Compte résultat prévi'!$Q$5,'Hypotheses expl (2)'!U132)+SUMIF('Hypotheses expl (2)'!V132,'Compte résultat prévi'!$Q$5,'Hypotheses expl (2)'!W132)+SUMIF('Hypotheses expl (2)'!X132,'Compte résultat prévi'!$Q$5,'Hypotheses expl (2)'!Y132)+SUMIF('Hypotheses expl (2)'!Z132,'Compte résultat prévi'!$Q$5,'Hypotheses expl (2)'!AA132)+SUMIF('Hypotheses expl (2)'!AB132,'Compte résultat prévi'!$Q$5,'Hypotheses expl (2)'!AC132)</f>
        <v>0</v>
      </c>
      <c r="R78" s="201">
        <f>+SUMIF('Hypotheses expl (2)'!R132,'Compte résultat prévi'!$R$5,'Hypotheses expl (2)'!S132)+SUMIF('Hypotheses expl (2)'!T132,'Compte résultat prévi'!$R$5,'Hypotheses expl (2)'!U132)+SUMIF('Hypotheses expl (2)'!V132,'Compte résultat prévi'!$R$5,'Hypotheses expl (2)'!W132)+SUMIF('Hypotheses expl (2)'!X132,'Compte résultat prévi'!$R$5,'Hypotheses expl (2)'!Y132)+SUMIF('Hypotheses expl (2)'!Z132,'Compte résultat prévi'!$R$5,'Hypotheses expl (2)'!AA132)+SUMIF('Hypotheses expl (2)'!AB132,'Compte résultat prévi'!$R$5,'Hypotheses expl (2)'!AC132)</f>
        <v>0</v>
      </c>
      <c r="S78" s="201">
        <f>+SUMIF('Hypotheses expl (2)'!R132,'Compte résultat prévi'!$S$5,'Hypotheses expl (2)'!S132)+SUMIF('Hypotheses expl (2)'!T132,'Compte résultat prévi'!$S$5,'Hypotheses expl (2)'!U132)+SUMIF('Hypotheses expl (2)'!V132,'Compte résultat prévi'!$S$5,'Hypotheses expl (2)'!W132)+SUMIF('Hypotheses expl (2)'!X132,'Compte résultat prévi'!$S$5,'Hypotheses expl (2)'!Y132)+SUMIF('Hypotheses expl (2)'!Z132,'Compte résultat prévi'!$S$5,'Hypotheses expl (2)'!AA132)+SUMIF('Hypotheses expl (2)'!AB132,'Compte résultat prévi'!$S$5,'Hypotheses expl (2)'!AC132)</f>
        <v>0</v>
      </c>
      <c r="T78" s="202">
        <f>+SUMIF('Hypotheses expl (2)'!R132,'Compte résultat prévi'!$T$5,'Hypotheses expl (2)'!S132)+SUMIF('Hypotheses expl (2)'!T132,'Compte résultat prévi'!$T$5,'Hypotheses expl (2)'!U132)+SUMIF('Hypotheses expl (2)'!V132,'Compte résultat prévi'!$T$5,'Hypotheses expl (2)'!W132)+SUMIF('Hypotheses expl (2)'!X132,'Compte résultat prévi'!$T$5,'Hypotheses expl (2)'!Y132)+SUMIF('Hypotheses expl (2)'!Z132,'Compte résultat prévi'!$T$5,'Hypotheses expl (2)'!AA132)+SUMIF('Hypotheses expl (2)'!AB132,'Compte résultat prévi'!$T$5,'Hypotheses expl (2)'!AC132)</f>
        <v>11250</v>
      </c>
      <c r="U78" s="203"/>
      <c r="V78" s="204"/>
    </row>
    <row r="79" outlineLevel="1">
      <c r="A79" s="198" t="str">
        <f>'Hypotheses expl'!B134</f>
        <v xml:space="preserve">Logiciel de documentation</v>
      </c>
      <c r="B79" s="234">
        <v>4</v>
      </c>
      <c r="C79" s="200">
        <f>+'Hypotheses expl'!O134</f>
        <v>7500</v>
      </c>
      <c r="D79" s="201">
        <f>+SUMIF('Hypotheses expl'!R134,'Compte résultat prévi'!$D$5,'Hypotheses expl'!S134)+SUMIF('Hypotheses expl'!T134,'Compte résultat prévi'!$D$5,'Hypotheses expl'!U134)+SUMIF('Hypotheses expl'!V134,'Compte résultat prévi'!$D$5,'Hypotheses expl'!W134)+SUMIF('Hypotheses expl'!X134,'Compte résultat prévi'!$D$5,'Hypotheses expl'!Y134)+SUMIF('Hypotheses expl'!Z134,'Compte résultat prévi'!$D$5,'Hypotheses expl'!AA134)+SUMIF('Hypotheses expl'!AB134,'Compte résultat prévi'!$D$5,'Hypotheses expl'!AC134)</f>
        <v>0</v>
      </c>
      <c r="E79" s="201">
        <f>+SUMIF('Hypotheses expl'!R134,'Compte résultat prévi'!$E$5,'Hypotheses expl'!S134)+SUMIF('Hypotheses expl'!T134,'Compte résultat prévi'!$E$5,'Hypotheses expl'!U134)+SUMIF('Hypotheses expl'!V134,'Compte résultat prévi'!$E$5,'Hypotheses expl'!W134)+SUMIF('Hypotheses expl'!X134,'Compte résultat prévi'!$E$5,'Hypotheses expl'!Y134)+SUMIF('Hypotheses expl'!Z134,'Compte résultat prévi'!$E$5,'Hypotheses expl'!AA134)+SUMIF('Hypotheses expl'!AB134,'Compte résultat prévi'!$E$5,'Hypotheses expl'!AC134)</f>
        <v>0</v>
      </c>
      <c r="F79" s="201">
        <f>+SUMIF('Hypotheses expl'!R134,'Compte résultat prévi'!$F$5,'Hypotheses expl'!S134)+SUMIF('Hypotheses expl'!T134,'Compte résultat prévi'!$F$5,'Hypotheses expl'!U134)+SUMIF('Hypotheses expl'!V134,'Compte résultat prévi'!$F$5,'Hypotheses expl'!W134)+SUMIF('Hypotheses expl'!X134,'Compte résultat prévi'!$F$5,'Hypotheses expl'!Y134)+SUMIF('Hypotheses expl'!Z134,'Compte résultat prévi'!$F$5,'Hypotheses expl'!AA134)+SUMIF('Hypotheses expl'!AB134,'Compte résultat prévi'!$F$5,'Hypotheses expl'!AC134)</f>
        <v>0</v>
      </c>
      <c r="G79" s="201">
        <f>+SUMIF('Hypotheses expl'!R134,'Compte résultat prévi'!$G$5,'Hypotheses expl'!S134)+SUMIF('Hypotheses expl'!T134,'Compte résultat prévi'!$G$5,'Hypotheses expl'!U134)+SUMIF('Hypotheses expl'!V134,'Compte résultat prévi'!$G$5,'Hypotheses expl'!W134)+SUMIF('Hypotheses expl'!X134,'Compte résultat prévi'!$G$5,'Hypotheses expl'!Y134)+SUMIF('Hypotheses expl'!Z134,'Compte résultat prévi'!$G$5,'Hypotheses expl'!AA134)+SUMIF('Hypotheses expl'!AB134,'Compte résultat prévi'!$G$5,'Hypotheses expl'!AC134)</f>
        <v>0</v>
      </c>
      <c r="H79" s="202">
        <f>+SUMIF('Hypotheses expl'!R134,'Compte résultat prévi'!$H$5,'Hypotheses expl'!S134)+SUMIF('Hypotheses expl'!T134,'Compte résultat prévi'!$H$5,'Hypotheses expl'!U134)+SUMIF('Hypotheses expl'!V134,'Compte résultat prévi'!$H$5,'Hypotheses expl'!W134)+SUMIF('Hypotheses expl'!X134,'Compte résultat prévi'!$H$5,'Hypotheses expl'!Y134)+SUMIF('Hypotheses expl'!Z134,'Compte résultat prévi'!$H$5,'Hypotheses expl'!AA134)+SUMIF('Hypotheses expl'!AB134,'Compte résultat prévi'!$H$5,'Hypotheses expl'!AC134)</f>
        <v>7500</v>
      </c>
      <c r="I79" s="200">
        <f>+'Hypotheses expl (3,)'!O134</f>
        <v>7500</v>
      </c>
      <c r="J79" s="201">
        <f>+SUMIF('Hypotheses expl (3,)'!R134,'Compte résultat prévi'!$J$5,'Hypotheses expl (3,)'!S134)+SUMIF('Hypotheses expl (3,)'!T134,'Compte résultat prévi'!$J$5,'Hypotheses expl (3,)'!U134)+SUMIF('Hypotheses expl (3,)'!V134,'Compte résultat prévi'!$J$5,'Hypotheses expl (3,)'!W134)+SUMIF('Hypotheses expl (3,)'!X134,'Compte résultat prévi'!$J$5,'Hypotheses expl (3,)'!Y134)+SUMIF('Hypotheses expl (3,)'!Z134,'Compte résultat prévi'!$J$5,'Hypotheses expl (3,)'!AA134)+SUMIF('Hypotheses expl (3,)'!AB134,'Compte résultat prévi'!$J$5,'Hypotheses expl (3,)'!AC134)</f>
        <v>0</v>
      </c>
      <c r="K79" s="201">
        <f>+SUMIF('Hypotheses expl (3,)'!R134,'Compte résultat prévi'!$K$5,'Hypotheses expl (3,)'!S134)+SUMIF('Hypotheses expl (3,)'!T134,'Compte résultat prévi'!$K$5,'Hypotheses expl (3,)'!U134)+SUMIF('Hypotheses expl (3,)'!V134,'Compte résultat prévi'!$K$5,'Hypotheses expl (3,)'!W134)+SUMIF('Hypotheses expl (3,)'!X134,'Compte résultat prévi'!$K$5,'Hypotheses expl (3,)'!Y134)+SUMIF('Hypotheses expl (3,)'!Z134,'Compte résultat prévi'!$K$5,'Hypotheses expl (3,)'!AA134)+SUMIF('Hypotheses expl (3,)'!AB134,'Compte résultat prévi'!$K$5,'Hypotheses expl (3,)'!AC134)</f>
        <v>0</v>
      </c>
      <c r="L79" s="201">
        <f>+SUMIF('Hypotheses expl (3,)'!R134,'Compte résultat prévi'!$L$5,'Hypotheses expl (3,)'!S134)+SUMIF('Hypotheses expl (3,)'!T134,'Compte résultat prévi'!$L$5,'Hypotheses expl (3,)'!U134)+SUMIF('Hypotheses expl (3,)'!V134,'Compte résultat prévi'!$L$5,'Hypotheses expl (3,)'!W134)+SUMIF('Hypotheses expl (3,)'!X134,'Compte résultat prévi'!$L$5,'Hypotheses expl (3,)'!Y134)+SUMIF('Hypotheses expl (3,)'!Z134,'Compte résultat prévi'!$L$5,'Hypotheses expl (3,)'!AA134)+SUMIF('Hypotheses expl (3,)'!AB134,'Compte résultat prévi'!$L$5,'Hypotheses expl (3,)'!AC134)</f>
        <v>0</v>
      </c>
      <c r="M79" s="201">
        <f>+SUMIF('Hypotheses expl (3,)'!R134,'Compte résultat prévi'!$M$5,'Hypotheses expl (3,)'!S134)+SUMIF('Hypotheses expl (3,)'!T134,'Compte résultat prévi'!$M$5,'Hypotheses expl (3,)'!U134)+SUMIF('Hypotheses expl (3,)'!V134,'Compte résultat prévi'!$M$5,'Hypotheses expl (3,)'!W134)+SUMIF('Hypotheses expl (3,)'!X134,'Compte résultat prévi'!$M$5,'Hypotheses expl (3,)'!Y134)+SUMIF('Hypotheses expl (3,)'!Z134,'Compte résultat prévi'!$M$5,'Hypotheses expl (3,)'!AA134)+SUMIF('Hypotheses expl (3,)'!AB134,'Compte résultat prévi'!$M$5,'Hypotheses expl (3,)'!AC134)</f>
        <v>0</v>
      </c>
      <c r="N79" s="202">
        <f>+SUMIF('Hypotheses expl (3,)'!R134,'Compte résultat prévi'!$N$5,'Hypotheses expl (3,)'!S134)+SUMIF('Hypotheses expl (3,)'!T134,'Compte résultat prévi'!$N$5,'Hypotheses expl (3,)'!U134)+SUMIF('Hypotheses expl (3,)'!V134,'Compte résultat prévi'!$N$5,'Hypotheses expl (3,)'!W134)+SUMIF('Hypotheses expl (3,)'!X134,'Compte résultat prévi'!$N$5,'Hypotheses expl (3,)'!Y134)+SUMIF('Hypotheses expl (3,)'!Z134,'Compte résultat prévi'!$N$5,'Hypotheses expl (3,)'!AA134)+SUMIF('Hypotheses expl (3,)'!AB134,'Compte résultat prévi'!$N$5,'Hypotheses expl (3,)'!AC134)</f>
        <v>7500</v>
      </c>
      <c r="O79" s="200">
        <f>+'Hypotheses expl (2)'!O133</f>
        <v>23875</v>
      </c>
      <c r="P79" s="201">
        <f>+SUMIF('Hypotheses expl (2)'!R133,'Compte résultat prévi'!$P$5,'Hypotheses expl (2)'!S133)+SUMIF('Hypotheses expl (2)'!T133,'Compte résultat prévi'!$P$5,'Hypotheses expl (2)'!U133)+SUMIF('Hypotheses expl (2)'!V133,'Compte résultat prévi'!$P$5,'Hypotheses expl (2)'!W133)+SUMIF('Hypotheses expl (2)'!X133,'Compte résultat prévi'!$P$5,'Hypotheses expl (2)'!Y133)+SUMIF('Hypotheses expl (2)'!Z133,'Compte résultat prévi'!$P$5,'Hypotheses expl (2)'!AA133)+SUMIF('Hypotheses expl (2)'!AB133,'Compte résultat prévi'!$P$5,'Hypotheses expl (2)'!AC133)</f>
        <v>0</v>
      </c>
      <c r="Q79" s="201">
        <f>+SUMIF('Hypotheses expl (2)'!R133,'Compte résultat prévi'!$Q$5,'Hypotheses expl (2)'!S133)+SUMIF('Hypotheses expl (2)'!T133,'Compte résultat prévi'!$Q$5,'Hypotheses expl (2)'!U133)+SUMIF('Hypotheses expl (2)'!V133,'Compte résultat prévi'!$Q$5,'Hypotheses expl (2)'!W133)+SUMIF('Hypotheses expl (2)'!X133,'Compte résultat prévi'!$Q$5,'Hypotheses expl (2)'!Y133)+SUMIF('Hypotheses expl (2)'!Z133,'Compte résultat prévi'!$Q$5,'Hypotheses expl (2)'!AA133)+SUMIF('Hypotheses expl (2)'!AB133,'Compte résultat prévi'!$Q$5,'Hypotheses expl (2)'!AC133)</f>
        <v>0</v>
      </c>
      <c r="R79" s="201">
        <f>+SUMIF('Hypotheses expl (2)'!R133,'Compte résultat prévi'!$R$5,'Hypotheses expl (2)'!S133)+SUMIF('Hypotheses expl (2)'!T133,'Compte résultat prévi'!$R$5,'Hypotheses expl (2)'!U133)+SUMIF('Hypotheses expl (2)'!V133,'Compte résultat prévi'!$R$5,'Hypotheses expl (2)'!W133)+SUMIF('Hypotheses expl (2)'!X133,'Compte résultat prévi'!$R$5,'Hypotheses expl (2)'!Y133)+SUMIF('Hypotheses expl (2)'!Z133,'Compte résultat prévi'!$R$5,'Hypotheses expl (2)'!AA133)+SUMIF('Hypotheses expl (2)'!AB133,'Compte résultat prévi'!$R$5,'Hypotheses expl (2)'!AC133)</f>
        <v>0</v>
      </c>
      <c r="S79" s="201">
        <f>+SUMIF('Hypotheses expl (2)'!R133,'Compte résultat prévi'!$S$5,'Hypotheses expl (2)'!S133)+SUMIF('Hypotheses expl (2)'!T133,'Compte résultat prévi'!$S$5,'Hypotheses expl (2)'!U133)+SUMIF('Hypotheses expl (2)'!V133,'Compte résultat prévi'!$S$5,'Hypotheses expl (2)'!W133)+SUMIF('Hypotheses expl (2)'!X133,'Compte résultat prévi'!$S$5,'Hypotheses expl (2)'!Y133)+SUMIF('Hypotheses expl (2)'!Z133,'Compte résultat prévi'!$S$5,'Hypotheses expl (2)'!AA133)+SUMIF('Hypotheses expl (2)'!AB133,'Compte résultat prévi'!$S$5,'Hypotheses expl (2)'!AC133)</f>
        <v>0</v>
      </c>
      <c r="T79" s="202">
        <f>+SUMIF('Hypotheses expl (2)'!R133,'Compte résultat prévi'!$T$5,'Hypotheses expl (2)'!S133)+SUMIF('Hypotheses expl (2)'!T133,'Compte résultat prévi'!$T$5,'Hypotheses expl (2)'!U133)+SUMIF('Hypotheses expl (2)'!V133,'Compte résultat prévi'!$T$5,'Hypotheses expl (2)'!W133)+SUMIF('Hypotheses expl (2)'!X133,'Compte résultat prévi'!$T$5,'Hypotheses expl (2)'!Y133)+SUMIF('Hypotheses expl (2)'!Z133,'Compte résultat prévi'!$T$5,'Hypotheses expl (2)'!AA133)+SUMIF('Hypotheses expl (2)'!AB133,'Compte résultat prévi'!$T$5,'Hypotheses expl (2)'!AC133)</f>
        <v>23875</v>
      </c>
      <c r="U79" s="203"/>
      <c r="V79" s="204"/>
    </row>
    <row r="80" outlineLevel="1">
      <c r="A80" s="198" t="s">
        <v>315</v>
      </c>
      <c r="B80" s="234"/>
      <c r="C80" s="200"/>
      <c r="D80" s="201"/>
      <c r="E80" s="201"/>
      <c r="F80" s="201"/>
      <c r="G80" s="201"/>
      <c r="H80" s="202">
        <v>0</v>
      </c>
      <c r="I80" s="200">
        <v>11148</v>
      </c>
      <c r="J80" s="201"/>
      <c r="K80" s="201"/>
      <c r="L80" s="201"/>
      <c r="M80" s="201"/>
      <c r="N80" s="202">
        <f>929*10</f>
        <v>9290</v>
      </c>
      <c r="O80" s="200">
        <v>11148</v>
      </c>
      <c r="P80" s="201"/>
      <c r="Q80" s="201"/>
      <c r="R80" s="201"/>
      <c r="S80" s="201"/>
      <c r="T80" s="202">
        <v>11148</v>
      </c>
      <c r="U80" s="203"/>
      <c r="V80" s="204"/>
    </row>
    <row r="81" ht="15" outlineLevel="1">
      <c r="A81" s="198" t="str">
        <f>'Hypotheses expl'!B135</f>
        <v xml:space="preserve">Charges locatives</v>
      </c>
      <c r="B81" s="234">
        <v>4</v>
      </c>
      <c r="C81" s="200">
        <f>+'Hypotheses expl'!O135</f>
        <v>10000</v>
      </c>
      <c r="D81" s="201">
        <f>+SUMIF('Hypotheses expl'!R135,'Compte résultat prévi'!$D$5,'Hypotheses expl'!S135)+SUMIF('Hypotheses expl'!T135,'Compte résultat prévi'!$D$5,'Hypotheses expl'!U135)+SUMIF('Hypotheses expl'!V135,'Compte résultat prévi'!$D$5,'Hypotheses expl'!W135)+SUMIF('Hypotheses expl'!X135,'Compte résultat prévi'!$D$5,'Hypotheses expl'!Y135)+SUMIF('Hypotheses expl'!Z135,'Compte résultat prévi'!$D$5,'Hypotheses expl'!AA135)+SUMIF('Hypotheses expl'!AB135,'Compte résultat prévi'!$D$5,'Hypotheses expl'!AC135)</f>
        <v>0</v>
      </c>
      <c r="E81" s="201">
        <f>+SUMIF('Hypotheses expl'!R135,'Compte résultat prévi'!$E$5,'Hypotheses expl'!S135)+SUMIF('Hypotheses expl'!T135,'Compte résultat prévi'!$E$5,'Hypotheses expl'!U135)+SUMIF('Hypotheses expl'!V135,'Compte résultat prévi'!$E$5,'Hypotheses expl'!W135)+SUMIF('Hypotheses expl'!X135,'Compte résultat prévi'!$E$5,'Hypotheses expl'!Y135)+SUMIF('Hypotheses expl'!Z135,'Compte résultat prévi'!$E$5,'Hypotheses expl'!AA135)+SUMIF('Hypotheses expl'!AB135,'Compte résultat prévi'!$E$5,'Hypotheses expl'!AC135)</f>
        <v>0</v>
      </c>
      <c r="F81" s="201">
        <f>+SUMIF('Hypotheses expl'!R135,'Compte résultat prévi'!$F$5,'Hypotheses expl'!S135)+SUMIF('Hypotheses expl'!T135,'Compte résultat prévi'!$F$5,'Hypotheses expl'!U135)+SUMIF('Hypotheses expl'!V135,'Compte résultat prévi'!$F$5,'Hypotheses expl'!W135)+SUMIF('Hypotheses expl'!X135,'Compte résultat prévi'!$F$5,'Hypotheses expl'!Y135)+SUMIF('Hypotheses expl'!Z135,'Compte résultat prévi'!$F$5,'Hypotheses expl'!AA135)+SUMIF('Hypotheses expl'!AB135,'Compte résultat prévi'!$F$5,'Hypotheses expl'!AC135)</f>
        <v>0</v>
      </c>
      <c r="G81" s="201">
        <f>+SUMIF('Hypotheses expl'!R135,'Compte résultat prévi'!$G$5,'Hypotheses expl'!S135)+SUMIF('Hypotheses expl'!T135,'Compte résultat prévi'!$G$5,'Hypotheses expl'!U135)+SUMIF('Hypotheses expl'!V135,'Compte résultat prévi'!$G$5,'Hypotheses expl'!W135)+SUMIF('Hypotheses expl'!X135,'Compte résultat prévi'!$G$5,'Hypotheses expl'!Y135)+SUMIF('Hypotheses expl'!Z135,'Compte résultat prévi'!$G$5,'Hypotheses expl'!AA135)+SUMIF('Hypotheses expl'!AB135,'Compte résultat prévi'!$G$5,'Hypotheses expl'!AC135)</f>
        <v>0</v>
      </c>
      <c r="H81" s="202">
        <f>+SUMIF('Hypotheses expl'!R135,'Compte résultat prévi'!$H$5,'Hypotheses expl'!S135)+SUMIF('Hypotheses expl'!T135,'Compte résultat prévi'!$H$5,'Hypotheses expl'!U135)+SUMIF('Hypotheses expl'!V135,'Compte résultat prévi'!$H$5,'Hypotheses expl'!W135)+SUMIF('Hypotheses expl'!X135,'Compte résultat prévi'!$H$5,'Hypotheses expl'!Y135)+SUMIF('Hypotheses expl'!Z135,'Compte résultat prévi'!$H$5,'Hypotheses expl'!AA135)+SUMIF('Hypotheses expl'!AB135,'Compte résultat prévi'!$H$5,'Hypotheses expl'!AC135)</f>
        <v>10000</v>
      </c>
      <c r="I81" s="200">
        <f>+'Hypotheses expl (3,)'!O135</f>
        <v>10000</v>
      </c>
      <c r="J81" s="201">
        <f>+SUMIF('Hypotheses expl (3,)'!R135,'Compte résultat prévi'!$J$5,'Hypotheses expl (3,)'!S135)+SUMIF('Hypotheses expl (3,)'!T135,'Compte résultat prévi'!$J$5,'Hypotheses expl (3,)'!U135)+SUMIF('Hypotheses expl (3,)'!V135,'Compte résultat prévi'!$J$5,'Hypotheses expl (3,)'!W135)+SUMIF('Hypotheses expl (3,)'!X135,'Compte résultat prévi'!$J$5,'Hypotheses expl (3,)'!Y135)+SUMIF('Hypotheses expl (3,)'!Z135,'Compte résultat prévi'!$J$5,'Hypotheses expl (3,)'!AA135)+SUMIF('Hypotheses expl (3,)'!AB135,'Compte résultat prévi'!$J$5,'Hypotheses expl (3,)'!AC135)</f>
        <v>0</v>
      </c>
      <c r="K81" s="201">
        <f>+SUMIF('Hypotheses expl (3,)'!R135,'Compte résultat prévi'!$K$5,'Hypotheses expl (3,)'!S135)+SUMIF('Hypotheses expl (3,)'!T135,'Compte résultat prévi'!$K$5,'Hypotheses expl (3,)'!U135)+SUMIF('Hypotheses expl (3,)'!V135,'Compte résultat prévi'!$K$5,'Hypotheses expl (3,)'!W135)+SUMIF('Hypotheses expl (3,)'!X135,'Compte résultat prévi'!$K$5,'Hypotheses expl (3,)'!Y135)+SUMIF('Hypotheses expl (3,)'!Z135,'Compte résultat prévi'!$K$5,'Hypotheses expl (3,)'!AA135)+SUMIF('Hypotheses expl (3,)'!AB135,'Compte résultat prévi'!$K$5,'Hypotheses expl (3,)'!AC135)</f>
        <v>0</v>
      </c>
      <c r="L81" s="201">
        <f>+SUMIF('Hypotheses expl (3,)'!R135,'Compte résultat prévi'!$L$5,'Hypotheses expl (3,)'!S135)+SUMIF('Hypotheses expl (3,)'!T135,'Compte résultat prévi'!$L$5,'Hypotheses expl (3,)'!U135)+SUMIF('Hypotheses expl (3,)'!V135,'Compte résultat prévi'!$L$5,'Hypotheses expl (3,)'!W135)+SUMIF('Hypotheses expl (3,)'!X135,'Compte résultat prévi'!$L$5,'Hypotheses expl (3,)'!Y135)+SUMIF('Hypotheses expl (3,)'!Z135,'Compte résultat prévi'!$L$5,'Hypotheses expl (3,)'!AA135)+SUMIF('Hypotheses expl (3,)'!AB135,'Compte résultat prévi'!$L$5,'Hypotheses expl (3,)'!AC135)</f>
        <v>0</v>
      </c>
      <c r="M81" s="201">
        <f>+SUMIF('Hypotheses expl (3,)'!R135,'Compte résultat prévi'!$M$5,'Hypotheses expl (3,)'!S135)+SUMIF('Hypotheses expl (3,)'!T135,'Compte résultat prévi'!$M$5,'Hypotheses expl (3,)'!U135)+SUMIF('Hypotheses expl (3,)'!V135,'Compte résultat prévi'!$M$5,'Hypotheses expl (3,)'!W135)+SUMIF('Hypotheses expl (3,)'!X135,'Compte résultat prévi'!$M$5,'Hypotheses expl (3,)'!Y135)+SUMIF('Hypotheses expl (3,)'!Z135,'Compte résultat prévi'!$M$5,'Hypotheses expl (3,)'!AA135)+SUMIF('Hypotheses expl (3,)'!AB135,'Compte résultat prévi'!$M$5,'Hypotheses expl (3,)'!AC135)</f>
        <v>0</v>
      </c>
      <c r="N81" s="202">
        <f>+SUMIF('Hypotheses expl (3,)'!R135,'Compte résultat prévi'!$N$5,'Hypotheses expl (3,)'!S135)+SUMIF('Hypotheses expl (3,)'!T135,'Compte résultat prévi'!$N$5,'Hypotheses expl (3,)'!U135)+SUMIF('Hypotheses expl (3,)'!V135,'Compte résultat prévi'!$N$5,'Hypotheses expl (3,)'!W135)+SUMIF('Hypotheses expl (3,)'!X135,'Compte résultat prévi'!$N$5,'Hypotheses expl (3,)'!Y135)+SUMIF('Hypotheses expl (3,)'!Z135,'Compte résultat prévi'!$N$5,'Hypotheses expl (3,)'!AA135)+SUMIF('Hypotheses expl (3,)'!AB135,'Compte résultat prévi'!$N$5,'Hypotheses expl (3,)'!AC135)</f>
        <v>10000</v>
      </c>
      <c r="O81" s="200">
        <f>+'Hypotheses expl (2)'!O134</f>
        <v>10000</v>
      </c>
      <c r="P81" s="201">
        <f>+SUMIF('Hypotheses expl (2)'!R134,'Compte résultat prévi'!$P$5,'Hypotheses expl (2)'!S134)+SUMIF('Hypotheses expl (2)'!T134,'Compte résultat prévi'!$P$5,'Hypotheses expl (2)'!U134)+SUMIF('Hypotheses expl (2)'!V134,'Compte résultat prévi'!$P$5,'Hypotheses expl (2)'!W134)+SUMIF('Hypotheses expl (2)'!X134,'Compte résultat prévi'!$P$5,'Hypotheses expl (2)'!Y134)+SUMIF('Hypotheses expl (2)'!Z134,'Compte résultat prévi'!$P$5,'Hypotheses expl (2)'!AA134)+SUMIF('Hypotheses expl (2)'!AB134,'Compte résultat prévi'!$P$5,'Hypotheses expl (2)'!AC134)</f>
        <v>0</v>
      </c>
      <c r="Q81" s="201">
        <f>+SUMIF('Hypotheses expl (2)'!R134,'Compte résultat prévi'!$Q$5,'Hypotheses expl (2)'!S134)+SUMIF('Hypotheses expl (2)'!T134,'Compte résultat prévi'!$Q$5,'Hypotheses expl (2)'!U134)+SUMIF('Hypotheses expl (2)'!V134,'Compte résultat prévi'!$Q$5,'Hypotheses expl (2)'!W134)+SUMIF('Hypotheses expl (2)'!X134,'Compte résultat prévi'!$Q$5,'Hypotheses expl (2)'!Y134)+SUMIF('Hypotheses expl (2)'!Z134,'Compte résultat prévi'!$Q$5,'Hypotheses expl (2)'!AA134)+SUMIF('Hypotheses expl (2)'!AB134,'Compte résultat prévi'!$Q$5,'Hypotheses expl (2)'!AC134)</f>
        <v>0</v>
      </c>
      <c r="R81" s="201">
        <f>+SUMIF('Hypotheses expl (2)'!R134,'Compte résultat prévi'!$R$5,'Hypotheses expl (2)'!S134)+SUMIF('Hypotheses expl (2)'!T134,'Compte résultat prévi'!$R$5,'Hypotheses expl (2)'!U134)+SUMIF('Hypotheses expl (2)'!V134,'Compte résultat prévi'!$R$5,'Hypotheses expl (2)'!W134)+SUMIF('Hypotheses expl (2)'!X134,'Compte résultat prévi'!$R$5,'Hypotheses expl (2)'!Y134)+SUMIF('Hypotheses expl (2)'!Z134,'Compte résultat prévi'!$R$5,'Hypotheses expl (2)'!AA134)+SUMIF('Hypotheses expl (2)'!AB134,'Compte résultat prévi'!$R$5,'Hypotheses expl (2)'!AC134)</f>
        <v>0</v>
      </c>
      <c r="S81" s="201">
        <f>+SUMIF('Hypotheses expl (2)'!R134,'Compte résultat prévi'!$S$5,'Hypotheses expl (2)'!S134)+SUMIF('Hypotheses expl (2)'!T134,'Compte résultat prévi'!$S$5,'Hypotheses expl (2)'!U134)+SUMIF('Hypotheses expl (2)'!V134,'Compte résultat prévi'!$S$5,'Hypotheses expl (2)'!W134)+SUMIF('Hypotheses expl (2)'!X134,'Compte résultat prévi'!$S$5,'Hypotheses expl (2)'!Y134)+SUMIF('Hypotheses expl (2)'!Z134,'Compte résultat prévi'!$S$5,'Hypotheses expl (2)'!AA134)+SUMIF('Hypotheses expl (2)'!AB134,'Compte résultat prévi'!$S$5,'Hypotheses expl (2)'!AC134)</f>
        <v>0</v>
      </c>
      <c r="T81" s="202">
        <f>+SUMIF('Hypotheses expl (2)'!R134,'Compte résultat prévi'!$T$5,'Hypotheses expl (2)'!S134)+SUMIF('Hypotheses expl (2)'!T134,'Compte résultat prévi'!$T$5,'Hypotheses expl (2)'!U134)+SUMIF('Hypotheses expl (2)'!V134,'Compte résultat prévi'!$T$5,'Hypotheses expl (2)'!W134)+SUMIF('Hypotheses expl (2)'!X134,'Compte résultat prévi'!$T$5,'Hypotheses expl (2)'!Y134)+SUMIF('Hypotheses expl (2)'!Z134,'Compte résultat prévi'!$T$5,'Hypotheses expl (2)'!AA134)+SUMIF('Hypotheses expl (2)'!AB134,'Compte résultat prévi'!$T$5,'Hypotheses expl (2)'!AC134)</f>
        <v>10000</v>
      </c>
      <c r="U81" s="203"/>
      <c r="V81" s="204"/>
    </row>
    <row r="82" ht="15" hidden="1" outlineLevel="1">
      <c r="A82" s="198">
        <f>'Hypotheses expl'!B136</f>
        <v>0</v>
      </c>
      <c r="B82" s="234"/>
      <c r="C82" s="200">
        <f>+'Hypotheses expl'!O136</f>
        <v>0</v>
      </c>
      <c r="D82" s="201">
        <f>+SUMIF('Hypotheses expl'!R136,'Compte résultat prévi'!$D$5,'Hypotheses expl'!S136)+SUMIF('Hypotheses expl'!T136,'Compte résultat prévi'!$D$5,'Hypotheses expl'!U136)+SUMIF('Hypotheses expl'!V136,'Compte résultat prévi'!$D$5,'Hypotheses expl'!W136)+SUMIF('Hypotheses expl'!X136,'Compte résultat prévi'!$D$5,'Hypotheses expl'!Y136)+SUMIF('Hypotheses expl'!Z136,'Compte résultat prévi'!$D$5,'Hypotheses expl'!AA136)+SUMIF('Hypotheses expl'!AB136,'Compte résultat prévi'!$D$5,'Hypotheses expl'!AC136)</f>
        <v>0</v>
      </c>
      <c r="E82" s="201">
        <f>+SUMIF('Hypotheses expl'!R136,'Compte résultat prévi'!$E$5,'Hypotheses expl'!S136)+SUMIF('Hypotheses expl'!T136,'Compte résultat prévi'!$E$5,'Hypotheses expl'!U136)+SUMIF('Hypotheses expl'!V136,'Compte résultat prévi'!$E$5,'Hypotheses expl'!W136)+SUMIF('Hypotheses expl'!X136,'Compte résultat prévi'!$E$5,'Hypotheses expl'!Y136)+SUMIF('Hypotheses expl'!Z136,'Compte résultat prévi'!$E$5,'Hypotheses expl'!AA136)+SUMIF('Hypotheses expl'!AB136,'Compte résultat prévi'!$E$5,'Hypotheses expl'!AC136)</f>
        <v>0</v>
      </c>
      <c r="F82" s="201">
        <f>+SUMIF('Hypotheses expl'!R136,'Compte résultat prévi'!$F$5,'Hypotheses expl'!S136)+SUMIF('Hypotheses expl'!T136,'Compte résultat prévi'!$F$5,'Hypotheses expl'!U136)+SUMIF('Hypotheses expl'!V136,'Compte résultat prévi'!$F$5,'Hypotheses expl'!W136)+SUMIF('Hypotheses expl'!X136,'Compte résultat prévi'!$F$5,'Hypotheses expl'!Y136)+SUMIF('Hypotheses expl'!Z136,'Compte résultat prévi'!$F$5,'Hypotheses expl'!AA136)+SUMIF('Hypotheses expl'!AB136,'Compte résultat prévi'!$F$5,'Hypotheses expl'!AC136)</f>
        <v>0</v>
      </c>
      <c r="G82" s="201">
        <f>+SUMIF('Hypotheses expl'!R136,'Compte résultat prévi'!$G$5,'Hypotheses expl'!S136)+SUMIF('Hypotheses expl'!T136,'Compte résultat prévi'!$G$5,'Hypotheses expl'!U136)+SUMIF('Hypotheses expl'!V136,'Compte résultat prévi'!$G$5,'Hypotheses expl'!W136)+SUMIF('Hypotheses expl'!X136,'Compte résultat prévi'!$G$5,'Hypotheses expl'!Y136)+SUMIF('Hypotheses expl'!Z136,'Compte résultat prévi'!$G$5,'Hypotheses expl'!AA136)+SUMIF('Hypotheses expl'!AB136,'Compte résultat prévi'!$G$5,'Hypotheses expl'!AC136)</f>
        <v>0</v>
      </c>
      <c r="H82" s="202">
        <f>+SUMIF('Hypotheses expl'!R136,'Compte résultat prévi'!$H$5,'Hypotheses expl'!S136)+SUMIF('Hypotheses expl'!T136,'Compte résultat prévi'!$H$5,'Hypotheses expl'!U136)+SUMIF('Hypotheses expl'!V136,'Compte résultat prévi'!$H$5,'Hypotheses expl'!W136)+SUMIF('Hypotheses expl'!X136,'Compte résultat prévi'!$H$5,'Hypotheses expl'!Y136)+SUMIF('Hypotheses expl'!Z136,'Compte résultat prévi'!$H$5,'Hypotheses expl'!AA136)+SUMIF('Hypotheses expl'!AB136,'Compte résultat prévi'!$H$5,'Hypotheses expl'!AC136)</f>
        <v>0</v>
      </c>
      <c r="I82" s="200">
        <f>+'Hypotheses expl (3,)'!O136</f>
        <v>0</v>
      </c>
      <c r="J82" s="201">
        <f>+SUMIF('Hypotheses expl (3,)'!R136,'Compte résultat prévi'!$J$5,'Hypotheses expl (3,)'!S136)+SUMIF('Hypotheses expl (3,)'!T136,'Compte résultat prévi'!$J$5,'Hypotheses expl (3,)'!U136)+SUMIF('Hypotheses expl (3,)'!V136,'Compte résultat prévi'!$J$5,'Hypotheses expl (3,)'!W136)+SUMIF('Hypotheses expl (3,)'!X136,'Compte résultat prévi'!$J$5,'Hypotheses expl (3,)'!Y136)+SUMIF('Hypotheses expl (3,)'!Z136,'Compte résultat prévi'!$J$5,'Hypotheses expl (3,)'!AA136)+SUMIF('Hypotheses expl (3,)'!AB136,'Compte résultat prévi'!$J$5,'Hypotheses expl (3,)'!AC136)</f>
        <v>0</v>
      </c>
      <c r="K82" s="201">
        <f>+SUMIF('Hypotheses expl (3,)'!R136,'Compte résultat prévi'!$K$5,'Hypotheses expl (3,)'!S136)+SUMIF('Hypotheses expl (3,)'!T136,'Compte résultat prévi'!$K$5,'Hypotheses expl (3,)'!U136)+SUMIF('Hypotheses expl (3,)'!V136,'Compte résultat prévi'!$K$5,'Hypotheses expl (3,)'!W136)+SUMIF('Hypotheses expl (3,)'!X136,'Compte résultat prévi'!$K$5,'Hypotheses expl (3,)'!Y136)+SUMIF('Hypotheses expl (3,)'!Z136,'Compte résultat prévi'!$K$5,'Hypotheses expl (3,)'!AA136)+SUMIF('Hypotheses expl (3,)'!AB136,'Compte résultat prévi'!$K$5,'Hypotheses expl (3,)'!AC136)</f>
        <v>0</v>
      </c>
      <c r="L82" s="201">
        <f>+SUMIF('Hypotheses expl (3,)'!R136,'Compte résultat prévi'!$L$5,'Hypotheses expl (3,)'!S136)+SUMIF('Hypotheses expl (3,)'!T136,'Compte résultat prévi'!$L$5,'Hypotheses expl (3,)'!U136)+SUMIF('Hypotheses expl (3,)'!V136,'Compte résultat prévi'!$L$5,'Hypotheses expl (3,)'!W136)+SUMIF('Hypotheses expl (3,)'!X136,'Compte résultat prévi'!$L$5,'Hypotheses expl (3,)'!Y136)+SUMIF('Hypotheses expl (3,)'!Z136,'Compte résultat prévi'!$L$5,'Hypotheses expl (3,)'!AA136)+SUMIF('Hypotheses expl (3,)'!AB136,'Compte résultat prévi'!$L$5,'Hypotheses expl (3,)'!AC136)</f>
        <v>0</v>
      </c>
      <c r="M82" s="201">
        <f>+SUMIF('Hypotheses expl (3,)'!R136,'Compte résultat prévi'!$M$5,'Hypotheses expl (3,)'!S136)+SUMIF('Hypotheses expl (3,)'!T136,'Compte résultat prévi'!$M$5,'Hypotheses expl (3,)'!U136)+SUMIF('Hypotheses expl (3,)'!V136,'Compte résultat prévi'!$M$5,'Hypotheses expl (3,)'!W136)+SUMIF('Hypotheses expl (3,)'!X136,'Compte résultat prévi'!$M$5,'Hypotheses expl (3,)'!Y136)+SUMIF('Hypotheses expl (3,)'!Z136,'Compte résultat prévi'!$M$5,'Hypotheses expl (3,)'!AA136)+SUMIF('Hypotheses expl (3,)'!AB136,'Compte résultat prévi'!$M$5,'Hypotheses expl (3,)'!AC136)</f>
        <v>0</v>
      </c>
      <c r="N82" s="202">
        <f>+SUMIF('Hypotheses expl (3,)'!R136,'Compte résultat prévi'!$N$5,'Hypotheses expl (3,)'!S136)+SUMIF('Hypotheses expl (3,)'!T136,'Compte résultat prévi'!$N$5,'Hypotheses expl (3,)'!U136)+SUMIF('Hypotheses expl (3,)'!V136,'Compte résultat prévi'!$N$5,'Hypotheses expl (3,)'!W136)+SUMIF('Hypotheses expl (3,)'!X136,'Compte résultat prévi'!$N$5,'Hypotheses expl (3,)'!Y136)+SUMIF('Hypotheses expl (3,)'!Z136,'Compte résultat prévi'!$N$5,'Hypotheses expl (3,)'!AA136)+SUMIF('Hypotheses expl (3,)'!AB136,'Compte résultat prévi'!$N$5,'Hypotheses expl (3,)'!AC136)</f>
        <v>0</v>
      </c>
      <c r="O82" s="200">
        <f>+'Hypotheses expl (2)'!O136</f>
        <v>0</v>
      </c>
      <c r="P82" s="201">
        <f>+SUMIF('Hypotheses expl (2)'!R136,'Compte résultat prévi'!$P$5,'Hypotheses expl (2)'!S136)+SUMIF('Hypotheses expl (2)'!T136,'Compte résultat prévi'!$P$5,'Hypotheses expl (2)'!U136)+SUMIF('Hypotheses expl (2)'!V136,'Compte résultat prévi'!$P$5,'Hypotheses expl (2)'!W136)+SUMIF('Hypotheses expl (2)'!X136,'Compte résultat prévi'!$P$5,'Hypotheses expl (2)'!Y136)+SUMIF('Hypotheses expl (2)'!Z136,'Compte résultat prévi'!$P$5,'Hypotheses expl (2)'!AA136)+SUMIF('Hypotheses expl (2)'!AB136,'Compte résultat prévi'!$P$5,'Hypotheses expl (2)'!AC136)</f>
        <v>0</v>
      </c>
      <c r="Q82" s="201">
        <f>+SUMIF('Hypotheses expl (2)'!R136,'Compte résultat prévi'!$Q$5,'Hypotheses expl (2)'!S136)+SUMIF('Hypotheses expl (2)'!T136,'Compte résultat prévi'!$Q$5,'Hypotheses expl (2)'!U136)+SUMIF('Hypotheses expl (2)'!V136,'Compte résultat prévi'!$Q$5,'Hypotheses expl (2)'!W136)+SUMIF('Hypotheses expl (2)'!X136,'Compte résultat prévi'!$Q$5,'Hypotheses expl (2)'!Y136)+SUMIF('Hypotheses expl (2)'!Z136,'Compte résultat prévi'!$Q$5,'Hypotheses expl (2)'!AA136)+SUMIF('Hypotheses expl (2)'!AB136,'Compte résultat prévi'!$Q$5,'Hypotheses expl (2)'!AC136)</f>
        <v>0</v>
      </c>
      <c r="R82" s="201">
        <f>+SUMIF('Hypotheses expl (2)'!R136,'Compte résultat prévi'!$R$5,'Hypotheses expl (2)'!S136)+SUMIF('Hypotheses expl (2)'!T136,'Compte résultat prévi'!$R$5,'Hypotheses expl (2)'!U136)+SUMIF('Hypotheses expl (2)'!V136,'Compte résultat prévi'!$R$5,'Hypotheses expl (2)'!W136)+SUMIF('Hypotheses expl (2)'!X136,'Compte résultat prévi'!$R$5,'Hypotheses expl (2)'!Y136)+SUMIF('Hypotheses expl (2)'!Z136,'Compte résultat prévi'!$R$5,'Hypotheses expl (2)'!AA136)+SUMIF('Hypotheses expl (2)'!AB136,'Compte résultat prévi'!$R$5,'Hypotheses expl (2)'!AC136)</f>
        <v>0</v>
      </c>
      <c r="S82" s="201">
        <f>+SUMIF('Hypotheses expl (2)'!R136,'Compte résultat prévi'!$S$5,'Hypotheses expl (2)'!S136)+SUMIF('Hypotheses expl (2)'!T136,'Compte résultat prévi'!$S$5,'Hypotheses expl (2)'!U136)+SUMIF('Hypotheses expl (2)'!V136,'Compte résultat prévi'!$S$5,'Hypotheses expl (2)'!W136)+SUMIF('Hypotheses expl (2)'!X136,'Compte résultat prévi'!$S$5,'Hypotheses expl (2)'!Y136)+SUMIF('Hypotheses expl (2)'!Z136,'Compte résultat prévi'!$S$5,'Hypotheses expl (2)'!AA136)+SUMIF('Hypotheses expl (2)'!AB136,'Compte résultat prévi'!$S$5,'Hypotheses expl (2)'!AC136)</f>
        <v>0</v>
      </c>
      <c r="T82" s="202">
        <f>+SUMIF('Hypotheses expl (2)'!R136,'Compte résultat prévi'!$T$5,'Hypotheses expl (2)'!S136)+SUMIF('Hypotheses expl (2)'!T136,'Compte résultat prévi'!$T$5,'Hypotheses expl (2)'!U136)+SUMIF('Hypotheses expl (2)'!V136,'Compte résultat prévi'!$T$5,'Hypotheses expl (2)'!W136)+SUMIF('Hypotheses expl (2)'!X136,'Compte résultat prévi'!$T$5,'Hypotheses expl (2)'!Y136)+SUMIF('Hypotheses expl (2)'!Z136,'Compte résultat prévi'!$T$5,'Hypotheses expl (2)'!AA136)+SUMIF('Hypotheses expl (2)'!AB136,'Compte résultat prévi'!$T$5,'Hypotheses expl (2)'!AC136)</f>
        <v>0</v>
      </c>
      <c r="U82" s="203"/>
      <c r="V82" s="204"/>
    </row>
    <row r="83" ht="18">
      <c r="A83" s="229" t="s">
        <v>316</v>
      </c>
      <c r="B83" s="230"/>
      <c r="C83" s="231">
        <f>+SUM(C84:C89)</f>
        <v>80555.659829280019</v>
      </c>
      <c r="D83" s="232">
        <f t="shared" ref="D83:V83" si="216">+SUM(D84:D89)</f>
        <v>23587.131918895535</v>
      </c>
      <c r="E83" s="232">
        <f t="shared" si="216"/>
        <v>19131.673206626874</v>
      </c>
      <c r="F83" s="232">
        <f t="shared" si="216"/>
        <v>8730.1028178806009</v>
      </c>
      <c r="G83" s="232">
        <f t="shared" si="216"/>
        <v>11483.329580597019</v>
      </c>
      <c r="H83" s="233">
        <f t="shared" si="216"/>
        <v>23604.115392000011</v>
      </c>
      <c r="I83" s="231">
        <f>+SUM(I84:I89)</f>
        <v>89068.743899279987</v>
      </c>
      <c r="J83" s="232">
        <f t="shared" ref="J83:M83" si="217">+SUM(J84:J89)</f>
        <v>23587.131918895531</v>
      </c>
      <c r="K83" s="232">
        <f t="shared" si="217"/>
        <v>19131.673206626871</v>
      </c>
      <c r="L83" s="232">
        <f t="shared" si="217"/>
        <v>8730.1028178805991</v>
      </c>
      <c r="M83" s="232">
        <f t="shared" si="217"/>
        <v>11483.329580597017</v>
      </c>
      <c r="N83" s="233">
        <f>+SUM(N84:N89)</f>
        <v>23604.115392000007</v>
      </c>
      <c r="O83" s="231">
        <f>+SUM(O84:O89)</f>
        <v>86018.275799280003</v>
      </c>
      <c r="P83" s="232">
        <f t="shared" ref="P83:T83" si="218">+SUM(P84:P89)</f>
        <v>23893.131918895531</v>
      </c>
      <c r="Q83" s="232">
        <f t="shared" si="218"/>
        <v>18263.605548626871</v>
      </c>
      <c r="R83" s="232">
        <f t="shared" si="218"/>
        <v>10248.002281880601</v>
      </c>
      <c r="S83" s="232">
        <f t="shared" si="218"/>
        <v>15269.459999999999</v>
      </c>
      <c r="T83" s="233">
        <f t="shared" si="218"/>
        <v>16665.599999999999</v>
      </c>
      <c r="U83" s="231">
        <f t="shared" si="216"/>
        <v>0</v>
      </c>
      <c r="V83" s="233">
        <f t="shared" si="216"/>
        <v>0</v>
      </c>
    </row>
    <row r="84" outlineLevel="1">
      <c r="A84" s="198" t="str">
        <f>'Hypotheses expl'!B137</f>
        <v xml:space="preserve">Taxe sur les salaires</v>
      </c>
      <c r="B84" s="234">
        <v>3</v>
      </c>
      <c r="C84" s="200">
        <f>+'Hypotheses expl'!O137</f>
        <v>62654.402089440009</v>
      </c>
      <c r="D84" s="201">
        <f>+SUMIF('Hypotheses expl'!R137,'Compte résultat prévi'!$D$5,'Hypotheses expl'!S137)+SUMIF('Hypotheses expl'!T137,'Compte résultat prévi'!$D$5,'Hypotheses expl'!U137)+SUMIF('Hypotheses expl'!V137,'Compte résultat prévi'!$D$5,'Hypotheses expl'!W137)+SUMIF('Hypotheses expl'!X137,'Compte résultat prévi'!$D$5,'Hypotheses expl'!Y137)+SUMIF('Hypotheses expl'!Z137,'Compte résultat prévi'!$D$5,'Hypotheses expl'!AA137)+SUMIF('Hypotheses expl'!AB137,'Compte résultat prévi'!$D$5,'Hypotheses expl'!AC137)</f>
        <v>18345.547048029861</v>
      </c>
      <c r="E84" s="201">
        <f>+SUMIF('Hypotheses expl'!R137,'Compte résultat prévi'!$E$5,'Hypotheses expl'!S137)+SUMIF('Hypotheses expl'!T137,'Compte résultat prévi'!$E$5,'Hypotheses expl'!U137)+SUMIF('Hypotheses expl'!V137,'Compte résultat prévi'!$E$5,'Hypotheses expl'!W137)+SUMIF('Hypotheses expl'!X137,'Compte résultat prévi'!$E$5,'Hypotheses expl'!Y137)+SUMIF('Hypotheses expl'!Z137,'Compte résultat prévi'!$E$5,'Hypotheses expl'!AA137)+SUMIF('Hypotheses expl'!AB137,'Compte résultat prévi'!$E$5,'Hypotheses expl'!AC137)</f>
        <v>14880.190271820902</v>
      </c>
      <c r="F84" s="201">
        <f>+SUMIF('Hypotheses expl'!R137,'Compte résultat prévi'!$F$5,'Hypotheses expl'!S137)+SUMIF('Hypotheses expl'!T137,'Compte résultat prévi'!$F$5,'Hypotheses expl'!U137)+SUMIF('Hypotheses expl'!V137,'Compte résultat prévi'!$F$5,'Hypotheses expl'!W137)+SUMIF('Hypotheses expl'!X137,'Compte résultat prévi'!$F$5,'Hypotheses expl'!Y137)+SUMIF('Hypotheses expl'!Z137,'Compte résultat prévi'!$F$5,'Hypotheses expl'!AA137)+SUMIF('Hypotheses expl'!AB137,'Compte résultat prévi'!$F$5,'Hypotheses expl'!AC137)</f>
        <v>6790.0799694626894</v>
      </c>
      <c r="G84" s="201">
        <f>+SUMIF('Hypotheses expl'!R137,'Compte résultat prévi'!$G$5,'Hypotheses expl'!S137)+SUMIF('Hypotheses expl'!T137,'Compte résultat prévi'!$G$5,'Hypotheses expl'!U137)+SUMIF('Hypotheses expl'!V137,'Compte résultat prévi'!$G$5,'Hypotheses expl'!W137)+SUMIF('Hypotheses expl'!X137,'Compte résultat prévi'!$G$5,'Hypotheses expl'!Y137)+SUMIF('Hypotheses expl'!Z137,'Compte résultat prévi'!$G$5,'Hypotheses expl'!AA137)+SUMIF('Hypotheses expl'!AB137,'Compte résultat prévi'!$G$5,'Hypotheses expl'!AC137)</f>
        <v>8931.4785626865705</v>
      </c>
      <c r="H84" s="202">
        <f>+SUMIF('Hypotheses expl'!R137,'Compte résultat prévi'!$H$5,'Hypotheses expl'!S137)+SUMIF('Hypotheses expl'!T137,'Compte résultat prévi'!$H$5,'Hypotheses expl'!U137)+SUMIF('Hypotheses expl'!V137,'Compte résultat prévi'!$H$5,'Hypotheses expl'!W137)+SUMIF('Hypotheses expl'!X137,'Compte résultat prévi'!$H$5,'Hypotheses expl'!Y137)+SUMIF('Hypotheses expl'!Z137,'Compte résultat prévi'!$H$5,'Hypotheses expl'!AA137)+SUMIF('Hypotheses expl'!AB137,'Compte résultat prévi'!$H$5,'Hypotheses expl'!AC137)</f>
        <v>18358.756416000007</v>
      </c>
      <c r="I84" s="200">
        <f>+'Hypotheses expl (3,)'!O137</f>
        <v>69275.689699439987</v>
      </c>
      <c r="J84" s="201">
        <f>+SUMIF('Hypotheses expl (3,)'!R137,'Compte résultat prévi'!$J$5,'Hypotheses expl (3,)'!S137)+SUMIF('Hypotheses expl (3,)'!T137,'Compte résultat prévi'!$J$5,'Hypotheses expl (3,)'!U137)+SUMIF('Hypotheses expl (3,)'!V137,'Compte résultat prévi'!$J$5,'Hypotheses expl (3,)'!W137)+SUMIF('Hypotheses expl (3,)'!X137,'Compte résultat prévi'!$J$5,'Hypotheses expl (3,)'!Y137)+SUMIF('Hypotheses expl (3,)'!Z137,'Compte résultat prévi'!$J$5,'Hypotheses expl (3,)'!AA137)+SUMIF('Hypotheses expl (3,)'!AB137,'Compte résultat prévi'!$J$5,'Hypotheses expl (3,)'!AC137)</f>
        <v>18345.547048029857</v>
      </c>
      <c r="K84" s="201">
        <f>+SUMIF('Hypotheses expl (3,)'!R137,'Compte résultat prévi'!$K$5,'Hypotheses expl (3,)'!S137)+SUMIF('Hypotheses expl (3,)'!T137,'Compte résultat prévi'!$K$5,'Hypotheses expl (3,)'!U137)+SUMIF('Hypotheses expl (3,)'!V137,'Compte résultat prévi'!$K$5,'Hypotheses expl (3,)'!W137)+SUMIF('Hypotheses expl (3,)'!X137,'Compte résultat prévi'!$K$5,'Hypotheses expl (3,)'!Y137)+SUMIF('Hypotheses expl (3,)'!Z137,'Compte résultat prévi'!$K$5,'Hypotheses expl (3,)'!AA137)+SUMIF('Hypotheses expl (3,)'!AB137,'Compte résultat prévi'!$K$5,'Hypotheses expl (3,)'!AC137)</f>
        <v>14880.190271820898</v>
      </c>
      <c r="L84" s="201">
        <f>+SUMIF('Hypotheses expl (3,)'!R137,'Compte résultat prévi'!$L$5,'Hypotheses expl (3,)'!S137)+SUMIF('Hypotheses expl (3,)'!T137,'Compte résultat prévi'!$L$5,'Hypotheses expl (3,)'!U137)+SUMIF('Hypotheses expl (3,)'!V137,'Compte résultat prévi'!$L$5,'Hypotheses expl (3,)'!W137)+SUMIF('Hypotheses expl (3,)'!X137,'Compte résultat prévi'!$L$5,'Hypotheses expl (3,)'!Y137)+SUMIF('Hypotheses expl (3,)'!Z137,'Compte résultat prévi'!$L$5,'Hypotheses expl (3,)'!AA137)+SUMIF('Hypotheses expl (3,)'!AB137,'Compte résultat prévi'!$L$5,'Hypotheses expl (3,)'!AC137)</f>
        <v>6790.0799694626885</v>
      </c>
      <c r="M84" s="201">
        <f>+SUMIF('Hypotheses expl (3,)'!R137,'Compte résultat prévi'!$M$5,'Hypotheses expl (3,)'!S137)+SUMIF('Hypotheses expl (3,)'!T137,'Compte résultat prévi'!$M$5,'Hypotheses expl (3,)'!U137)+SUMIF('Hypotheses expl (3,)'!V137,'Compte résultat prévi'!$M$5,'Hypotheses expl (3,)'!W137)+SUMIF('Hypotheses expl (3,)'!X137,'Compte résultat prévi'!$M$5,'Hypotheses expl (3,)'!Y137)+SUMIF('Hypotheses expl (3,)'!Z137,'Compte résultat prévi'!$M$5,'Hypotheses expl (3,)'!AA137)+SUMIF('Hypotheses expl (3,)'!AB137,'Compte résultat prévi'!$M$5,'Hypotheses expl (3,)'!AC137)</f>
        <v>8931.4785626865687</v>
      </c>
      <c r="N84" s="202">
        <f>+SUMIF('Hypotheses expl (3,)'!R137,'Compte résultat prévi'!$N$5,'Hypotheses expl (3,)'!S137)+SUMIF('Hypotheses expl (3,)'!T137,'Compte résultat prévi'!$N$5,'Hypotheses expl (3,)'!U137)+SUMIF('Hypotheses expl (3,)'!V137,'Compte résultat prévi'!$N$5,'Hypotheses expl (3,)'!W137)+SUMIF('Hypotheses expl (3,)'!X137,'Compte résultat prévi'!$N$5,'Hypotheses expl (3,)'!Y137)+SUMIF('Hypotheses expl (3,)'!Z137,'Compte résultat prévi'!$N$5,'Hypotheses expl (3,)'!AA137)+SUMIF('Hypotheses expl (3,)'!AB137,'Compte résultat prévi'!$N$5,'Hypotheses expl (3,)'!AC137)</f>
        <v>18358.756416000004</v>
      </c>
      <c r="O84" s="200">
        <f>+'Hypotheses expl (2)'!O137</f>
        <v>66903.103399440006</v>
      </c>
      <c r="P84" s="201">
        <f>+SUMIF('Hypotheses expl (2)'!R137,'Compte résultat prévi'!$P$5,'Hypotheses expl (2)'!S137)+SUMIF('Hypotheses expl (2)'!T137,'Compte résultat prévi'!$P$5,'Hypotheses expl (2)'!U137)+SUMIF('Hypotheses expl (2)'!V137,'Compte résultat prévi'!$P$5,'Hypotheses expl (2)'!W137)+SUMIF('Hypotheses expl (2)'!X137,'Compte résultat prévi'!$P$5,'Hypotheses expl (2)'!Y137)+SUMIF('Hypotheses expl (2)'!Z137,'Compte résultat prévi'!$P$5,'Hypotheses expl (2)'!AA137)+SUMIF('Hypotheses expl (2)'!AB137,'Compte résultat prévi'!$P$5,'Hypotheses expl (2)'!AC137)</f>
        <v>18583.547048029857</v>
      </c>
      <c r="Q84" s="201">
        <f>+SUMIF('Hypotheses expl (2)'!R137,'Compte résultat prévi'!$Q$5,'Hypotheses expl (2)'!S137)+SUMIF('Hypotheses expl (2)'!T137,'Compte résultat prévi'!$Q$5,'Hypotheses expl (2)'!U137)+SUMIF('Hypotheses expl (2)'!V137,'Compte résultat prévi'!$Q$5,'Hypotheses expl (2)'!W137)+SUMIF('Hypotheses expl (2)'!X137,'Compte résultat prévi'!$Q$5,'Hypotheses expl (2)'!Y137)+SUMIF('Hypotheses expl (2)'!Z137,'Compte résultat prévi'!$Q$5,'Hypotheses expl (2)'!AA137)+SUMIF('Hypotheses expl (2)'!AB137,'Compte résultat prévi'!$Q$5,'Hypotheses expl (2)'!AC137)</f>
        <v>14205.026537820901</v>
      </c>
      <c r="R84" s="201">
        <f>+SUMIF('Hypotheses expl (2)'!R137,'Compte résultat prévi'!$R$5,'Hypotheses expl (2)'!S137)+SUMIF('Hypotheses expl (2)'!T137,'Compte résultat prévi'!$R$5,'Hypotheses expl (2)'!U137)+SUMIF('Hypotheses expl (2)'!V137,'Compte résultat prévi'!$R$5,'Hypotheses expl (2)'!W137)+SUMIF('Hypotheses expl (2)'!X137,'Compte résultat prévi'!$R$5,'Hypotheses expl (2)'!Y137)+SUMIF('Hypotheses expl (2)'!Z137,'Compte résultat prévi'!$R$5,'Hypotheses expl (2)'!AA137)+SUMIF('Hypotheses expl (2)'!AB137,'Compte résultat prévi'!$R$5,'Hypotheses expl (2)'!AC137)</f>
        <v>7970.6684414626898</v>
      </c>
      <c r="S84" s="201">
        <f>+SUMIF('Hypotheses expl (2)'!R137,'Compte résultat prévi'!$S$5,'Hypotheses expl (2)'!S137)+SUMIF('Hypotheses expl (2)'!T137,'Compte résultat prévi'!$S$5,'Hypotheses expl (2)'!U137)+SUMIF('Hypotheses expl (2)'!V137,'Compte résultat prévi'!$S$5,'Hypotheses expl (2)'!W137)+SUMIF('Hypotheses expl (2)'!X137,'Compte résultat prévi'!$S$5,'Hypotheses expl (2)'!Y137)+SUMIF('Hypotheses expl (2)'!Z137,'Compte résultat prévi'!$S$5,'Hypotheses expl (2)'!AA137)+SUMIF('Hypotheses expl (2)'!AB137,'Compte résultat prévi'!$S$5,'Hypotheses expl (2)'!AC137)</f>
        <v>11876.459999999999</v>
      </c>
      <c r="T84" s="202">
        <f>+SUMIF('Hypotheses expl (2)'!R137,'Compte résultat prévi'!$T$5,'Hypotheses expl (2)'!S137)+SUMIF('Hypotheses expl (2)'!T137,'Compte résultat prévi'!$T$5,'Hypotheses expl (2)'!U137)+SUMIF('Hypotheses expl (2)'!V137,'Compte résultat prévi'!$T$5,'Hypotheses expl (2)'!W137)+SUMIF('Hypotheses expl (2)'!X137,'Compte résultat prévi'!$T$5,'Hypotheses expl (2)'!Y137)+SUMIF('Hypotheses expl (2)'!Z137,'Compte résultat prévi'!$T$5,'Hypotheses expl (2)'!AA137)+SUMIF('Hypotheses expl (2)'!AB137,'Compte résultat prévi'!$T$5,'Hypotheses expl (2)'!AC137)</f>
        <v>12961.6</v>
      </c>
      <c r="U84" s="203"/>
      <c r="V84" s="204"/>
    </row>
    <row r="85" outlineLevel="1">
      <c r="A85" s="198" t="str">
        <f>'Hypotheses expl'!B138</f>
        <v xml:space="preserve">Participation à la formation pro</v>
      </c>
      <c r="B85" s="234">
        <v>3</v>
      </c>
      <c r="C85" s="200">
        <f>+'Hypotheses expl'!O138</f>
        <v>17901.257739840003</v>
      </c>
      <c r="D85" s="201">
        <f>+SUMIF('Hypotheses expl'!R138,'Compte résultat prévi'!$D$5,'Hypotheses expl'!S138)+SUMIF('Hypotheses expl'!T138,'Compte résultat prévi'!$D$5,'Hypotheses expl'!U138)+SUMIF('Hypotheses expl'!V138,'Compte résultat prévi'!$D$5,'Hypotheses expl'!W138)+SUMIF('Hypotheses expl'!X138,'Compte résultat prévi'!$D$5,'Hypotheses expl'!Y138)+SUMIF('Hypotheses expl'!Z138,'Compte résultat prévi'!$D$5,'Hypotheses expl'!AA138)+SUMIF('Hypotheses expl'!AB138,'Compte résultat prévi'!$D$5,'Hypotheses expl'!AC138)</f>
        <v>5241.5848708656731</v>
      </c>
      <c r="E85" s="201">
        <f>+SUMIF('Hypotheses expl'!R138,'Compte résultat prévi'!$E$5,'Hypotheses expl'!S138)+SUMIF('Hypotheses expl'!T138,'Compte résultat prévi'!$E$5,'Hypotheses expl'!U138)+SUMIF('Hypotheses expl'!V138,'Compte résultat prévi'!$E$5,'Hypotheses expl'!W138)+SUMIF('Hypotheses expl'!X138,'Compte résultat prévi'!$E$5,'Hypotheses expl'!Y138)+SUMIF('Hypotheses expl'!Z138,'Compte résultat prévi'!$E$5,'Hypotheses expl'!AA138)+SUMIF('Hypotheses expl'!AB138,'Compte résultat prévi'!$E$5,'Hypotheses expl'!AC138)</f>
        <v>4251.482934805972</v>
      </c>
      <c r="F85" s="201">
        <f>+SUMIF('Hypotheses expl'!R138,'Compte résultat prévi'!$F$5,'Hypotheses expl'!S138)+SUMIF('Hypotheses expl'!T138,'Compte résultat prévi'!$F$5,'Hypotheses expl'!U138)+SUMIF('Hypotheses expl'!V138,'Compte résultat prévi'!$F$5,'Hypotheses expl'!W138)+SUMIF('Hypotheses expl'!X138,'Compte résultat prévi'!$F$5,'Hypotheses expl'!Y138)+SUMIF('Hypotheses expl'!Z138,'Compte résultat prévi'!$F$5,'Hypotheses expl'!AA138)+SUMIF('Hypotheses expl'!AB138,'Compte résultat prévi'!$F$5,'Hypotheses expl'!AC138)</f>
        <v>1940.0228484179113</v>
      </c>
      <c r="G85" s="201">
        <f>+SUMIF('Hypotheses expl'!R138,'Compte résultat prévi'!$G$5,'Hypotheses expl'!S138)+SUMIF('Hypotheses expl'!T138,'Compte résultat prévi'!$G$5,'Hypotheses expl'!U138)+SUMIF('Hypotheses expl'!V138,'Compte résultat prévi'!$G$5,'Hypotheses expl'!W138)+SUMIF('Hypotheses expl'!X138,'Compte résultat prévi'!$G$5,'Hypotheses expl'!Y138)+SUMIF('Hypotheses expl'!Z138,'Compte résultat prévi'!$G$5,'Hypotheses expl'!AA138)+SUMIF('Hypotheses expl'!AB138,'Compte résultat prévi'!$G$5,'Hypotheses expl'!AC138)</f>
        <v>2551.8510179104487</v>
      </c>
      <c r="H85" s="202">
        <f>+SUMIF('Hypotheses expl'!R138,'Compte résultat prévi'!$H$5,'Hypotheses expl'!S138)+SUMIF('Hypotheses expl'!T138,'Compte résultat prévi'!$H$5,'Hypotheses expl'!U138)+SUMIF('Hypotheses expl'!V138,'Compte résultat prévi'!$H$5,'Hypotheses expl'!W138)+SUMIF('Hypotheses expl'!X138,'Compte résultat prévi'!$H$5,'Hypotheses expl'!Y138)+SUMIF('Hypotheses expl'!Z138,'Compte résultat prévi'!$H$5,'Hypotheses expl'!AA138)+SUMIF('Hypotheses expl'!AB138,'Compte résultat prévi'!$H$5,'Hypotheses expl'!AC138)</f>
        <v>5245.3589760000023</v>
      </c>
      <c r="I85" s="200">
        <f>+'Hypotheses expl (3,)'!O138</f>
        <v>19793.05419984</v>
      </c>
      <c r="J85" s="201">
        <f>+SUMIF('Hypotheses expl (3,)'!R138,'Compte résultat prévi'!$J$5,'Hypotheses expl (3,)'!S138)+SUMIF('Hypotheses expl (3,)'!T138,'Compte résultat prévi'!$J$5,'Hypotheses expl (3,)'!U138)+SUMIF('Hypotheses expl (3,)'!V138,'Compte résultat prévi'!$J$5,'Hypotheses expl (3,)'!W138)+SUMIF('Hypotheses expl (3,)'!X138,'Compte résultat prévi'!$J$5,'Hypotheses expl (3,)'!Y138)+SUMIF('Hypotheses expl (3,)'!Z138,'Compte résultat prévi'!$J$5,'Hypotheses expl (3,)'!AA138)+SUMIF('Hypotheses expl (3,)'!AB138,'Compte résultat prévi'!$J$5,'Hypotheses expl (3,)'!AC138)</f>
        <v>5241.584870865674</v>
      </c>
      <c r="K85" s="201">
        <f>+SUMIF('Hypotheses expl (3,)'!R138,'Compte résultat prévi'!$K$5,'Hypotheses expl (3,)'!S138)+SUMIF('Hypotheses expl (3,)'!T138,'Compte résultat prévi'!$K$5,'Hypotheses expl (3,)'!U138)+SUMIF('Hypotheses expl (3,)'!V138,'Compte résultat prévi'!$K$5,'Hypotheses expl (3,)'!W138)+SUMIF('Hypotheses expl (3,)'!X138,'Compte résultat prévi'!$K$5,'Hypotheses expl (3,)'!Y138)+SUMIF('Hypotheses expl (3,)'!Z138,'Compte résultat prévi'!$K$5,'Hypotheses expl (3,)'!AA138)+SUMIF('Hypotheses expl (3,)'!AB138,'Compte résultat prévi'!$K$5,'Hypotheses expl (3,)'!AC138)</f>
        <v>4251.482934805972</v>
      </c>
      <c r="L85" s="201">
        <f>+SUMIF('Hypotheses expl (3,)'!R138,'Compte résultat prévi'!$L$5,'Hypotheses expl (3,)'!S138)+SUMIF('Hypotheses expl (3,)'!T138,'Compte résultat prévi'!$L$5,'Hypotheses expl (3,)'!U138)+SUMIF('Hypotheses expl (3,)'!V138,'Compte résultat prévi'!$L$5,'Hypotheses expl (3,)'!W138)+SUMIF('Hypotheses expl (3,)'!X138,'Compte résultat prévi'!$L$5,'Hypotheses expl (3,)'!Y138)+SUMIF('Hypotheses expl (3,)'!Z138,'Compte résultat prévi'!$L$5,'Hypotheses expl (3,)'!AA138)+SUMIF('Hypotheses expl (3,)'!AB138,'Compte résultat prévi'!$L$5,'Hypotheses expl (3,)'!AC138)</f>
        <v>1940.0228484179113</v>
      </c>
      <c r="M85" s="201">
        <f>+SUMIF('Hypotheses expl (3,)'!R138,'Compte résultat prévi'!$M$5,'Hypotheses expl (3,)'!S138)+SUMIF('Hypotheses expl (3,)'!T138,'Compte résultat prévi'!$M$5,'Hypotheses expl (3,)'!U138)+SUMIF('Hypotheses expl (3,)'!V138,'Compte résultat prévi'!$M$5,'Hypotheses expl (3,)'!W138)+SUMIF('Hypotheses expl (3,)'!X138,'Compte résultat prévi'!$M$5,'Hypotheses expl (3,)'!Y138)+SUMIF('Hypotheses expl (3,)'!Z138,'Compte résultat prévi'!$M$5,'Hypotheses expl (3,)'!AA138)+SUMIF('Hypotheses expl (3,)'!AB138,'Compte résultat prévi'!$M$5,'Hypotheses expl (3,)'!AC138)</f>
        <v>2551.8510179104487</v>
      </c>
      <c r="N85" s="202">
        <f>+SUMIF('Hypotheses expl (3,)'!R138,'Compte résultat prévi'!$N$5,'Hypotheses expl (3,)'!S138)+SUMIF('Hypotheses expl (3,)'!T138,'Compte résultat prévi'!$N$5,'Hypotheses expl (3,)'!U138)+SUMIF('Hypotheses expl (3,)'!V138,'Compte résultat prévi'!$N$5,'Hypotheses expl (3,)'!W138)+SUMIF('Hypotheses expl (3,)'!X138,'Compte résultat prévi'!$N$5,'Hypotheses expl (3,)'!Y138)+SUMIF('Hypotheses expl (3,)'!Z138,'Compte résultat prévi'!$N$5,'Hypotheses expl (3,)'!AA138)+SUMIF('Hypotheses expl (3,)'!AB138,'Compte résultat prévi'!$N$5,'Hypotheses expl (3,)'!AC138)</f>
        <v>5245.3589760000023</v>
      </c>
      <c r="O85" s="200">
        <f>+'Hypotheses expl (2)'!O138</f>
        <v>19115.172399840001</v>
      </c>
      <c r="P85" s="201">
        <f>+SUMIF('Hypotheses expl (2)'!R138,'Compte résultat prévi'!$P$5,'Hypotheses expl (2)'!S138)+SUMIF('Hypotheses expl (2)'!T138,'Compte résultat prévi'!$P$5,'Hypotheses expl (2)'!U138)+SUMIF('Hypotheses expl (2)'!V138,'Compte résultat prévi'!$P$5,'Hypotheses expl (2)'!W138)+SUMIF('Hypotheses expl (2)'!X138,'Compte résultat prévi'!$P$5,'Hypotheses expl (2)'!Y138)+SUMIF('Hypotheses expl (2)'!Z138,'Compte résultat prévi'!$P$5,'Hypotheses expl (2)'!AA138)+SUMIF('Hypotheses expl (2)'!AB138,'Compte résultat prévi'!$P$5,'Hypotheses expl (2)'!AC138)</f>
        <v>5309.5848708656731</v>
      </c>
      <c r="Q85" s="201">
        <f>+SUMIF('Hypotheses expl (2)'!R138,'Compte résultat prévi'!$Q$5,'Hypotheses expl (2)'!S138)+SUMIF('Hypotheses expl (2)'!T138,'Compte résultat prévi'!$Q$5,'Hypotheses expl (2)'!U138)+SUMIF('Hypotheses expl (2)'!V138,'Compte résultat prévi'!$Q$5,'Hypotheses expl (2)'!W138)+SUMIF('Hypotheses expl (2)'!X138,'Compte résultat prévi'!$Q$5,'Hypotheses expl (2)'!Y138)+SUMIF('Hypotheses expl (2)'!Z138,'Compte résultat prévi'!$Q$5,'Hypotheses expl (2)'!AA138)+SUMIF('Hypotheses expl (2)'!AB138,'Compte résultat prévi'!$Q$5,'Hypotheses expl (2)'!AC138)</f>
        <v>4058.5790108059714</v>
      </c>
      <c r="R85" s="201">
        <f>+SUMIF('Hypotheses expl (2)'!R138,'Compte résultat prévi'!$R$5,'Hypotheses expl (2)'!S138)+SUMIF('Hypotheses expl (2)'!T138,'Compte résultat prévi'!$R$5,'Hypotheses expl (2)'!U138)+SUMIF('Hypotheses expl (2)'!V138,'Compte résultat prévi'!$R$5,'Hypotheses expl (2)'!W138)+SUMIF('Hypotheses expl (2)'!X138,'Compte résultat prévi'!$R$5,'Hypotheses expl (2)'!Y138)+SUMIF('Hypotheses expl (2)'!Z138,'Compte résultat prévi'!$R$5,'Hypotheses expl (2)'!AA138)+SUMIF('Hypotheses expl (2)'!AB138,'Compte résultat prévi'!$R$5,'Hypotheses expl (2)'!AC138)</f>
        <v>2277.3338404179108</v>
      </c>
      <c r="S85" s="201">
        <f>+SUMIF('Hypotheses expl (2)'!R138,'Compte résultat prévi'!$S$5,'Hypotheses expl (2)'!S138)+SUMIF('Hypotheses expl (2)'!T138,'Compte résultat prévi'!$S$5,'Hypotheses expl (2)'!U138)+SUMIF('Hypotheses expl (2)'!V138,'Compte résultat prévi'!$S$5,'Hypotheses expl (2)'!W138)+SUMIF('Hypotheses expl (2)'!X138,'Compte résultat prévi'!$S$5,'Hypotheses expl (2)'!Y138)+SUMIF('Hypotheses expl (2)'!Z138,'Compte résultat prévi'!$S$5,'Hypotheses expl (2)'!AA138)+SUMIF('Hypotheses expl (2)'!AB138,'Compte résultat prévi'!$S$5,'Hypotheses expl (2)'!AC138)</f>
        <v>3393</v>
      </c>
      <c r="T85" s="202">
        <f>+SUMIF('Hypotheses expl (2)'!R138,'Compte résultat prévi'!$T$5,'Hypotheses expl (2)'!S138)+SUMIF('Hypotheses expl (2)'!T138,'Compte résultat prévi'!$T$5,'Hypotheses expl (2)'!U138)+SUMIF('Hypotheses expl (2)'!V138,'Compte résultat prévi'!$T$5,'Hypotheses expl (2)'!W138)+SUMIF('Hypotheses expl (2)'!X138,'Compte résultat prévi'!$T$5,'Hypotheses expl (2)'!Y138)+SUMIF('Hypotheses expl (2)'!Z138,'Compte résultat prévi'!$T$5,'Hypotheses expl (2)'!AA138)+SUMIF('Hypotheses expl (2)'!AB138,'Compte résultat prévi'!$T$5,'Hypotheses expl (2)'!AC138)</f>
        <v>3704</v>
      </c>
      <c r="U85" s="203"/>
      <c r="V85" s="204"/>
    </row>
    <row r="86" ht="15" outlineLevel="1">
      <c r="A86" s="198" t="str">
        <f>'Hypotheses expl'!B139</f>
        <v xml:space="preserve">Redevance TV</v>
      </c>
      <c r="B86" s="234"/>
      <c r="C86" s="200">
        <f>+'Hypotheses expl'!O139</f>
        <v>0</v>
      </c>
      <c r="D86" s="201">
        <f>+SUMIF('Hypotheses expl'!R139,'Compte résultat prévi'!$D$5,'Hypotheses expl'!S139)+SUMIF('Hypotheses expl'!T139,'Compte résultat prévi'!$D$5,'Hypotheses expl'!U139)+SUMIF('Hypotheses expl'!V139,'Compte résultat prévi'!$D$5,'Hypotheses expl'!W139)+SUMIF('Hypotheses expl'!X139,'Compte résultat prévi'!$D$5,'Hypotheses expl'!Y139)+SUMIF('Hypotheses expl'!Z139,'Compte résultat prévi'!$D$5,'Hypotheses expl'!AA139)+SUMIF('Hypotheses expl'!AB139,'Compte résultat prévi'!$D$5,'Hypotheses expl'!AC139)</f>
        <v>0</v>
      </c>
      <c r="E86" s="201">
        <f>+SUMIF('Hypotheses expl'!R139,'Compte résultat prévi'!$E$5,'Hypotheses expl'!S139)+SUMIF('Hypotheses expl'!T139,'Compte résultat prévi'!$E$5,'Hypotheses expl'!U139)+SUMIF('Hypotheses expl'!V139,'Compte résultat prévi'!$E$5,'Hypotheses expl'!W139)+SUMIF('Hypotheses expl'!X139,'Compte résultat prévi'!$E$5,'Hypotheses expl'!Y139)+SUMIF('Hypotheses expl'!Z139,'Compte résultat prévi'!$E$5,'Hypotheses expl'!AA139)+SUMIF('Hypotheses expl'!AB139,'Compte résultat prévi'!$E$5,'Hypotheses expl'!AC139)</f>
        <v>0</v>
      </c>
      <c r="F86" s="201">
        <f>+SUMIF('Hypotheses expl'!R139,'Compte résultat prévi'!$F$5,'Hypotheses expl'!S139)+SUMIF('Hypotheses expl'!T139,'Compte résultat prévi'!$F$5,'Hypotheses expl'!U139)+SUMIF('Hypotheses expl'!V139,'Compte résultat prévi'!$F$5,'Hypotheses expl'!W139)+SUMIF('Hypotheses expl'!X139,'Compte résultat prévi'!$F$5,'Hypotheses expl'!Y139)+SUMIF('Hypotheses expl'!Z139,'Compte résultat prévi'!$F$5,'Hypotheses expl'!AA139)+SUMIF('Hypotheses expl'!AB139,'Compte résultat prévi'!$F$5,'Hypotheses expl'!AC139)</f>
        <v>0</v>
      </c>
      <c r="G86" s="201">
        <f>+SUMIF('Hypotheses expl'!R139,'Compte résultat prévi'!$G$5,'Hypotheses expl'!S139)+SUMIF('Hypotheses expl'!T139,'Compte résultat prévi'!$G$5,'Hypotheses expl'!U139)+SUMIF('Hypotheses expl'!V139,'Compte résultat prévi'!$G$5,'Hypotheses expl'!W139)+SUMIF('Hypotheses expl'!X139,'Compte résultat prévi'!$G$5,'Hypotheses expl'!Y139)+SUMIF('Hypotheses expl'!Z139,'Compte résultat prévi'!$G$5,'Hypotheses expl'!AA139)+SUMIF('Hypotheses expl'!AB139,'Compte résultat prévi'!$G$5,'Hypotheses expl'!AC139)</f>
        <v>0</v>
      </c>
      <c r="H86" s="202">
        <f>+SUMIF('Hypotheses expl'!R139,'Compte résultat prévi'!$H$5,'Hypotheses expl'!S139)+SUMIF('Hypotheses expl'!T139,'Compte résultat prévi'!$H$5,'Hypotheses expl'!U139)+SUMIF('Hypotheses expl'!V139,'Compte résultat prévi'!$H$5,'Hypotheses expl'!W139)+SUMIF('Hypotheses expl'!X139,'Compte résultat prévi'!$H$5,'Hypotheses expl'!Y139)+SUMIF('Hypotheses expl'!Z139,'Compte résultat prévi'!$H$5,'Hypotheses expl'!AA139)+SUMIF('Hypotheses expl'!AB139,'Compte résultat prévi'!$H$5,'Hypotheses expl'!AC139)</f>
        <v>0</v>
      </c>
      <c r="I86" s="200">
        <f>+'Hypotheses expl (3,)'!O139</f>
        <v>0</v>
      </c>
      <c r="J86" s="201">
        <f>+SUMIF('Hypotheses expl (3,)'!R139,'Compte résultat prévi'!$J$5,'Hypotheses expl (3,)'!S139)+SUMIF('Hypotheses expl (3,)'!T139,'Compte résultat prévi'!$J$5,'Hypotheses expl (3,)'!U139)+SUMIF('Hypotheses expl (3,)'!V139,'Compte résultat prévi'!$J$5,'Hypotheses expl (3,)'!W139)+SUMIF('Hypotheses expl (3,)'!X139,'Compte résultat prévi'!$J$5,'Hypotheses expl (3,)'!Y139)+SUMIF('Hypotheses expl (3,)'!Z139,'Compte résultat prévi'!$J$5,'Hypotheses expl (3,)'!AA139)+SUMIF('Hypotheses expl (3,)'!AB139,'Compte résultat prévi'!$J$5,'Hypotheses expl (3,)'!AC139)</f>
        <v>0</v>
      </c>
      <c r="K86" s="201">
        <f>+SUMIF('Hypotheses expl (3,)'!R139,'Compte résultat prévi'!$K$5,'Hypotheses expl (3,)'!S139)+SUMIF('Hypotheses expl (3,)'!T139,'Compte résultat prévi'!$K$5,'Hypotheses expl (3,)'!U139)+SUMIF('Hypotheses expl (3,)'!V139,'Compte résultat prévi'!$K$5,'Hypotheses expl (3,)'!W139)+SUMIF('Hypotheses expl (3,)'!X139,'Compte résultat prévi'!$K$5,'Hypotheses expl (3,)'!Y139)+SUMIF('Hypotheses expl (3,)'!Z139,'Compte résultat prévi'!$K$5,'Hypotheses expl (3,)'!AA139)+SUMIF('Hypotheses expl (3,)'!AB139,'Compte résultat prévi'!$K$5,'Hypotheses expl (3,)'!AC139)</f>
        <v>0</v>
      </c>
      <c r="L86" s="201">
        <f>+SUMIF('Hypotheses expl (3,)'!R139,'Compte résultat prévi'!$L$5,'Hypotheses expl (3,)'!S139)+SUMIF('Hypotheses expl (3,)'!T139,'Compte résultat prévi'!$L$5,'Hypotheses expl (3,)'!U139)+SUMIF('Hypotheses expl (3,)'!V139,'Compte résultat prévi'!$L$5,'Hypotheses expl (3,)'!W139)+SUMIF('Hypotheses expl (3,)'!X139,'Compte résultat prévi'!$L$5,'Hypotheses expl (3,)'!Y139)+SUMIF('Hypotheses expl (3,)'!Z139,'Compte résultat prévi'!$L$5,'Hypotheses expl (3,)'!AA139)+SUMIF('Hypotheses expl (3,)'!AB139,'Compte résultat prévi'!$L$5,'Hypotheses expl (3,)'!AC139)</f>
        <v>0</v>
      </c>
      <c r="M86" s="201">
        <f>+SUMIF('Hypotheses expl (3,)'!R139,'Compte résultat prévi'!$M$5,'Hypotheses expl (3,)'!S139)+SUMIF('Hypotheses expl (3,)'!T139,'Compte résultat prévi'!$M$5,'Hypotheses expl (3,)'!U139)+SUMIF('Hypotheses expl (3,)'!V139,'Compte résultat prévi'!$M$5,'Hypotheses expl (3,)'!W139)+SUMIF('Hypotheses expl (3,)'!X139,'Compte résultat prévi'!$M$5,'Hypotheses expl (3,)'!Y139)+SUMIF('Hypotheses expl (3,)'!Z139,'Compte résultat prévi'!$M$5,'Hypotheses expl (3,)'!AA139)+SUMIF('Hypotheses expl (3,)'!AB139,'Compte résultat prévi'!$M$5,'Hypotheses expl (3,)'!AC139)</f>
        <v>0</v>
      </c>
      <c r="N86" s="202">
        <f>+SUMIF('Hypotheses expl (3,)'!R139,'Compte résultat prévi'!$N$5,'Hypotheses expl (3,)'!S139)+SUMIF('Hypotheses expl (3,)'!T139,'Compte résultat prévi'!$N$5,'Hypotheses expl (3,)'!U139)+SUMIF('Hypotheses expl (3,)'!V139,'Compte résultat prévi'!$N$5,'Hypotheses expl (3,)'!W139)+SUMIF('Hypotheses expl (3,)'!X139,'Compte résultat prévi'!$N$5,'Hypotheses expl (3,)'!Y139)+SUMIF('Hypotheses expl (3,)'!Z139,'Compte résultat prévi'!$N$5,'Hypotheses expl (3,)'!AA139)+SUMIF('Hypotheses expl (3,)'!AB139,'Compte résultat prévi'!$N$5,'Hypotheses expl (3,)'!AC139)</f>
        <v>0</v>
      </c>
      <c r="O86" s="200">
        <f>+'Hypotheses expl (2)'!O139</f>
        <v>0</v>
      </c>
      <c r="P86" s="201">
        <f>+SUMIF('Hypotheses expl (2)'!R139,'Compte résultat prévi'!$P$5,'Hypotheses expl (2)'!S139)+SUMIF('Hypotheses expl (2)'!T139,'Compte résultat prévi'!$P$5,'Hypotheses expl (2)'!U139)+SUMIF('Hypotheses expl (2)'!V139,'Compte résultat prévi'!$P$5,'Hypotheses expl (2)'!W139)+SUMIF('Hypotheses expl (2)'!X139,'Compte résultat prévi'!$P$5,'Hypotheses expl (2)'!Y139)+SUMIF('Hypotheses expl (2)'!Z139,'Compte résultat prévi'!$P$5,'Hypotheses expl (2)'!AA139)+SUMIF('Hypotheses expl (2)'!AB139,'Compte résultat prévi'!$P$5,'Hypotheses expl (2)'!AC139)</f>
        <v>0</v>
      </c>
      <c r="Q86" s="201">
        <f>+SUMIF('Hypotheses expl (2)'!R139,'Compte résultat prévi'!$Q$5,'Hypotheses expl (2)'!S139)+SUMIF('Hypotheses expl (2)'!T139,'Compte résultat prévi'!$Q$5,'Hypotheses expl (2)'!U139)+SUMIF('Hypotheses expl (2)'!V139,'Compte résultat prévi'!$Q$5,'Hypotheses expl (2)'!W139)+SUMIF('Hypotheses expl (2)'!X139,'Compte résultat prévi'!$Q$5,'Hypotheses expl (2)'!Y139)+SUMIF('Hypotheses expl (2)'!Z139,'Compte résultat prévi'!$Q$5,'Hypotheses expl (2)'!AA139)+SUMIF('Hypotheses expl (2)'!AB139,'Compte résultat prévi'!$Q$5,'Hypotheses expl (2)'!AC139)</f>
        <v>0</v>
      </c>
      <c r="R86" s="201">
        <f>+SUMIF('Hypotheses expl (2)'!R139,'Compte résultat prévi'!$R$5,'Hypotheses expl (2)'!S139)+SUMIF('Hypotheses expl (2)'!T139,'Compte résultat prévi'!$R$5,'Hypotheses expl (2)'!U139)+SUMIF('Hypotheses expl (2)'!V139,'Compte résultat prévi'!$R$5,'Hypotheses expl (2)'!W139)+SUMIF('Hypotheses expl (2)'!X139,'Compte résultat prévi'!$R$5,'Hypotheses expl (2)'!Y139)+SUMIF('Hypotheses expl (2)'!Z139,'Compte résultat prévi'!$R$5,'Hypotheses expl (2)'!AA139)+SUMIF('Hypotheses expl (2)'!AB139,'Compte résultat prévi'!$R$5,'Hypotheses expl (2)'!AC139)</f>
        <v>0</v>
      </c>
      <c r="S86" s="201">
        <f>+SUMIF('Hypotheses expl (2)'!R139,'Compte résultat prévi'!$S$5,'Hypotheses expl (2)'!S139)+SUMIF('Hypotheses expl (2)'!T139,'Compte résultat prévi'!$S$5,'Hypotheses expl (2)'!U139)+SUMIF('Hypotheses expl (2)'!V139,'Compte résultat prévi'!$S$5,'Hypotheses expl (2)'!W139)+SUMIF('Hypotheses expl (2)'!X139,'Compte résultat prévi'!$S$5,'Hypotheses expl (2)'!Y139)+SUMIF('Hypotheses expl (2)'!Z139,'Compte résultat prévi'!$S$5,'Hypotheses expl (2)'!AA139)+SUMIF('Hypotheses expl (2)'!AB139,'Compte résultat prévi'!$S$5,'Hypotheses expl (2)'!AC139)</f>
        <v>0</v>
      </c>
      <c r="T86" s="202">
        <f>+SUMIF('Hypotheses expl (2)'!R139,'Compte résultat prévi'!$T$5,'Hypotheses expl (2)'!S139)+SUMIF('Hypotheses expl (2)'!T139,'Compte résultat prévi'!$T$5,'Hypotheses expl (2)'!U139)+SUMIF('Hypotheses expl (2)'!V139,'Compte résultat prévi'!$T$5,'Hypotheses expl (2)'!W139)+SUMIF('Hypotheses expl (2)'!X139,'Compte résultat prévi'!$T$5,'Hypotheses expl (2)'!Y139)+SUMIF('Hypotheses expl (2)'!Z139,'Compte résultat prévi'!$T$5,'Hypotheses expl (2)'!AA139)+SUMIF('Hypotheses expl (2)'!AB139,'Compte résultat prévi'!$T$5,'Hypotheses expl (2)'!AC139)</f>
        <v>0</v>
      </c>
      <c r="U86" s="203"/>
      <c r="V86" s="204"/>
    </row>
    <row r="87" hidden="1" outlineLevel="1">
      <c r="A87" s="198">
        <f>'Hypotheses expl'!B140</f>
        <v>0</v>
      </c>
      <c r="B87" s="234"/>
      <c r="C87" s="200">
        <f>+'Hypotheses expl'!O140</f>
        <v>0</v>
      </c>
      <c r="D87" s="201">
        <f>+SUMIF('Hypotheses expl'!R140,'Compte résultat prévi'!$D$5,'Hypotheses expl'!S140)+SUMIF('Hypotheses expl'!T140,'Compte résultat prévi'!$D$5,'Hypotheses expl'!U140)+SUMIF('Hypotheses expl'!V140,'Compte résultat prévi'!$D$5,'Hypotheses expl'!W140)+SUMIF('Hypotheses expl'!X140,'Compte résultat prévi'!$D$5,'Hypotheses expl'!Y140)+SUMIF('Hypotheses expl'!Z140,'Compte résultat prévi'!$D$5,'Hypotheses expl'!AA140)+SUMIF('Hypotheses expl'!AB140,'Compte résultat prévi'!$D$5,'Hypotheses expl'!AC140)</f>
        <v>0</v>
      </c>
      <c r="E87" s="201">
        <f>+SUMIF('Hypotheses expl'!R140,'Compte résultat prévi'!$E$5,'Hypotheses expl'!S140)+SUMIF('Hypotheses expl'!T140,'Compte résultat prévi'!$E$5,'Hypotheses expl'!U140)+SUMIF('Hypotheses expl'!V140,'Compte résultat prévi'!$E$5,'Hypotheses expl'!W140)+SUMIF('Hypotheses expl'!X140,'Compte résultat prévi'!$E$5,'Hypotheses expl'!Y140)+SUMIF('Hypotheses expl'!Z140,'Compte résultat prévi'!$E$5,'Hypotheses expl'!AA140)+SUMIF('Hypotheses expl'!AB140,'Compte résultat prévi'!$E$5,'Hypotheses expl'!AC140)</f>
        <v>0</v>
      </c>
      <c r="F87" s="201">
        <f>+SUMIF('Hypotheses expl'!R140,'Compte résultat prévi'!$F$5,'Hypotheses expl'!S140)+SUMIF('Hypotheses expl'!T140,'Compte résultat prévi'!$F$5,'Hypotheses expl'!U140)+SUMIF('Hypotheses expl'!V140,'Compte résultat prévi'!$F$5,'Hypotheses expl'!W140)+SUMIF('Hypotheses expl'!X140,'Compte résultat prévi'!$F$5,'Hypotheses expl'!Y140)+SUMIF('Hypotheses expl'!Z140,'Compte résultat prévi'!$F$5,'Hypotheses expl'!AA140)+SUMIF('Hypotheses expl'!AB140,'Compte résultat prévi'!$F$5,'Hypotheses expl'!AC140)</f>
        <v>0</v>
      </c>
      <c r="G87" s="201">
        <f>+SUMIF('Hypotheses expl'!R140,'Compte résultat prévi'!$G$5,'Hypotheses expl'!S140)+SUMIF('Hypotheses expl'!T140,'Compte résultat prévi'!$G$5,'Hypotheses expl'!U140)+SUMIF('Hypotheses expl'!V140,'Compte résultat prévi'!$G$5,'Hypotheses expl'!W140)+SUMIF('Hypotheses expl'!X140,'Compte résultat prévi'!$G$5,'Hypotheses expl'!Y140)+SUMIF('Hypotheses expl'!Z140,'Compte résultat prévi'!$G$5,'Hypotheses expl'!AA140)+SUMIF('Hypotheses expl'!AB140,'Compte résultat prévi'!$G$5,'Hypotheses expl'!AC140)</f>
        <v>0</v>
      </c>
      <c r="H87" s="202">
        <f>+SUMIF('Hypotheses expl'!R140,'Compte résultat prévi'!$H$5,'Hypotheses expl'!S140)+SUMIF('Hypotheses expl'!T140,'Compte résultat prévi'!$H$5,'Hypotheses expl'!U140)+SUMIF('Hypotheses expl'!V140,'Compte résultat prévi'!$H$5,'Hypotheses expl'!W140)+SUMIF('Hypotheses expl'!X140,'Compte résultat prévi'!$H$5,'Hypotheses expl'!Y140)+SUMIF('Hypotheses expl'!Z140,'Compte résultat prévi'!$H$5,'Hypotheses expl'!AA140)+SUMIF('Hypotheses expl'!AB140,'Compte résultat prévi'!$H$5,'Hypotheses expl'!AC140)</f>
        <v>0</v>
      </c>
      <c r="I87" s="200">
        <f>+'Hypotheses expl (3,)'!O140</f>
        <v>0</v>
      </c>
      <c r="J87" s="201">
        <f>+SUMIF('Hypotheses expl (3,)'!R140,'Compte résultat prévi'!$J$5,'Hypotheses expl (3,)'!S140)+SUMIF('Hypotheses expl (3,)'!T140,'Compte résultat prévi'!$J$5,'Hypotheses expl (3,)'!U140)+SUMIF('Hypotheses expl (3,)'!V140,'Compte résultat prévi'!$J$5,'Hypotheses expl (3,)'!W140)+SUMIF('Hypotheses expl (3,)'!X140,'Compte résultat prévi'!$J$5,'Hypotheses expl (3,)'!Y140)+SUMIF('Hypotheses expl (3,)'!Z140,'Compte résultat prévi'!$J$5,'Hypotheses expl (3,)'!AA140)+SUMIF('Hypotheses expl (3,)'!AB140,'Compte résultat prévi'!$J$5,'Hypotheses expl (3,)'!AC140)</f>
        <v>0</v>
      </c>
      <c r="K87" s="201">
        <f>+SUMIF('Hypotheses expl (3,)'!R140,'Compte résultat prévi'!$K$5,'Hypotheses expl (3,)'!S140)+SUMIF('Hypotheses expl (3,)'!T140,'Compte résultat prévi'!$K$5,'Hypotheses expl (3,)'!U140)+SUMIF('Hypotheses expl (3,)'!V140,'Compte résultat prévi'!$K$5,'Hypotheses expl (3,)'!W140)+SUMIF('Hypotheses expl (3,)'!X140,'Compte résultat prévi'!$K$5,'Hypotheses expl (3,)'!Y140)+SUMIF('Hypotheses expl (3,)'!Z140,'Compte résultat prévi'!$K$5,'Hypotheses expl (3,)'!AA140)+SUMIF('Hypotheses expl (3,)'!AB140,'Compte résultat prévi'!$K$5,'Hypotheses expl (3,)'!AC140)</f>
        <v>0</v>
      </c>
      <c r="L87" s="201">
        <f>+SUMIF('Hypotheses expl (3,)'!R140,'Compte résultat prévi'!$L$5,'Hypotheses expl (3,)'!S140)+SUMIF('Hypotheses expl (3,)'!T140,'Compte résultat prévi'!$L$5,'Hypotheses expl (3,)'!U140)+SUMIF('Hypotheses expl (3,)'!V140,'Compte résultat prévi'!$L$5,'Hypotheses expl (3,)'!W140)+SUMIF('Hypotheses expl (3,)'!X140,'Compte résultat prévi'!$L$5,'Hypotheses expl (3,)'!Y140)+SUMIF('Hypotheses expl (3,)'!Z140,'Compte résultat prévi'!$L$5,'Hypotheses expl (3,)'!AA140)+SUMIF('Hypotheses expl (3,)'!AB140,'Compte résultat prévi'!$L$5,'Hypotheses expl (3,)'!AC140)</f>
        <v>0</v>
      </c>
      <c r="M87" s="201">
        <f>+SUMIF('Hypotheses expl (3,)'!R140,'Compte résultat prévi'!$M$5,'Hypotheses expl (3,)'!S140)+SUMIF('Hypotheses expl (3,)'!T140,'Compte résultat prévi'!$M$5,'Hypotheses expl (3,)'!U140)+SUMIF('Hypotheses expl (3,)'!V140,'Compte résultat prévi'!$M$5,'Hypotheses expl (3,)'!W140)+SUMIF('Hypotheses expl (3,)'!X140,'Compte résultat prévi'!$M$5,'Hypotheses expl (3,)'!Y140)+SUMIF('Hypotheses expl (3,)'!Z140,'Compte résultat prévi'!$M$5,'Hypotheses expl (3,)'!AA140)+SUMIF('Hypotheses expl (3,)'!AB140,'Compte résultat prévi'!$M$5,'Hypotheses expl (3,)'!AC140)</f>
        <v>0</v>
      </c>
      <c r="N87" s="202">
        <f>+SUMIF('Hypotheses expl (3,)'!R140,'Compte résultat prévi'!$N$5,'Hypotheses expl (3,)'!S140)+SUMIF('Hypotheses expl (3,)'!T140,'Compte résultat prévi'!$N$5,'Hypotheses expl (3,)'!U140)+SUMIF('Hypotheses expl (3,)'!V140,'Compte résultat prévi'!$N$5,'Hypotheses expl (3,)'!W140)+SUMIF('Hypotheses expl (3,)'!X140,'Compte résultat prévi'!$N$5,'Hypotheses expl (3,)'!Y140)+SUMIF('Hypotheses expl (3,)'!Z140,'Compte résultat prévi'!$N$5,'Hypotheses expl (3,)'!AA140)+SUMIF('Hypotheses expl (3,)'!AB140,'Compte résultat prévi'!$N$5,'Hypotheses expl (3,)'!AC140)</f>
        <v>0</v>
      </c>
      <c r="O87" s="200">
        <f>+'Hypotheses expl (2)'!O140</f>
        <v>0</v>
      </c>
      <c r="P87" s="201">
        <f>+SUMIF('Hypotheses expl (2)'!R140,'Compte résultat prévi'!$P$5,'Hypotheses expl (2)'!S140)+SUMIF('Hypotheses expl (2)'!T140,'Compte résultat prévi'!$P$5,'Hypotheses expl (2)'!U140)+SUMIF('Hypotheses expl (2)'!V140,'Compte résultat prévi'!$P$5,'Hypotheses expl (2)'!W140)+SUMIF('Hypotheses expl (2)'!X140,'Compte résultat prévi'!$P$5,'Hypotheses expl (2)'!Y140)+SUMIF('Hypotheses expl (2)'!Z140,'Compte résultat prévi'!$P$5,'Hypotheses expl (2)'!AA140)+SUMIF('Hypotheses expl (2)'!AB140,'Compte résultat prévi'!$P$5,'Hypotheses expl (2)'!AC140)</f>
        <v>0</v>
      </c>
      <c r="Q87" s="201">
        <f>+SUMIF('Hypotheses expl (2)'!R140,'Compte résultat prévi'!$Q$5,'Hypotheses expl (2)'!S140)+SUMIF('Hypotheses expl (2)'!T140,'Compte résultat prévi'!$Q$5,'Hypotheses expl (2)'!U140)+SUMIF('Hypotheses expl (2)'!V140,'Compte résultat prévi'!$Q$5,'Hypotheses expl (2)'!W140)+SUMIF('Hypotheses expl (2)'!X140,'Compte résultat prévi'!$Q$5,'Hypotheses expl (2)'!Y140)+SUMIF('Hypotheses expl (2)'!Z140,'Compte résultat prévi'!$Q$5,'Hypotheses expl (2)'!AA140)+SUMIF('Hypotheses expl (2)'!AB140,'Compte résultat prévi'!$Q$5,'Hypotheses expl (2)'!AC140)</f>
        <v>0</v>
      </c>
      <c r="R87" s="201">
        <f>+SUMIF('Hypotheses expl (2)'!R140,'Compte résultat prévi'!$R$5,'Hypotheses expl (2)'!S140)+SUMIF('Hypotheses expl (2)'!T140,'Compte résultat prévi'!$R$5,'Hypotheses expl (2)'!U140)+SUMIF('Hypotheses expl (2)'!V140,'Compte résultat prévi'!$R$5,'Hypotheses expl (2)'!W140)+SUMIF('Hypotheses expl (2)'!X140,'Compte résultat prévi'!$R$5,'Hypotheses expl (2)'!Y140)+SUMIF('Hypotheses expl (2)'!Z140,'Compte résultat prévi'!$R$5,'Hypotheses expl (2)'!AA140)+SUMIF('Hypotheses expl (2)'!AB140,'Compte résultat prévi'!$R$5,'Hypotheses expl (2)'!AC140)</f>
        <v>0</v>
      </c>
      <c r="S87" s="201">
        <f>+SUMIF('Hypotheses expl (2)'!R140,'Compte résultat prévi'!$S$5,'Hypotheses expl (2)'!S140)+SUMIF('Hypotheses expl (2)'!T140,'Compte résultat prévi'!$S$5,'Hypotheses expl (2)'!U140)+SUMIF('Hypotheses expl (2)'!V140,'Compte résultat prévi'!$S$5,'Hypotheses expl (2)'!W140)+SUMIF('Hypotheses expl (2)'!X140,'Compte résultat prévi'!$S$5,'Hypotheses expl (2)'!Y140)+SUMIF('Hypotheses expl (2)'!Z140,'Compte résultat prévi'!$S$5,'Hypotheses expl (2)'!AA140)+SUMIF('Hypotheses expl (2)'!AB140,'Compte résultat prévi'!$S$5,'Hypotheses expl (2)'!AC140)</f>
        <v>0</v>
      </c>
      <c r="T87" s="202">
        <f>+SUMIF('Hypotheses expl (2)'!R140,'Compte résultat prévi'!$T$5,'Hypotheses expl (2)'!S140)+SUMIF('Hypotheses expl (2)'!T140,'Compte résultat prévi'!$T$5,'Hypotheses expl (2)'!U140)+SUMIF('Hypotheses expl (2)'!V140,'Compte résultat prévi'!$T$5,'Hypotheses expl (2)'!W140)+SUMIF('Hypotheses expl (2)'!X140,'Compte résultat prévi'!$T$5,'Hypotheses expl (2)'!Y140)+SUMIF('Hypotheses expl (2)'!Z140,'Compte résultat prévi'!$T$5,'Hypotheses expl (2)'!AA140)+SUMIF('Hypotheses expl (2)'!AB140,'Compte résultat prévi'!$T$5,'Hypotheses expl (2)'!AC140)</f>
        <v>0</v>
      </c>
      <c r="U87" s="203"/>
      <c r="V87" s="204"/>
    </row>
    <row r="88" hidden="1" outlineLevel="1">
      <c r="A88" s="198">
        <f>'Hypotheses expl'!B141</f>
        <v>0</v>
      </c>
      <c r="B88" s="234"/>
      <c r="C88" s="200">
        <f>+'Hypotheses expl'!O141</f>
        <v>0</v>
      </c>
      <c r="D88" s="201">
        <f>+SUMIF('Hypotheses expl'!R141,'Compte résultat prévi'!$D$5,'Hypotheses expl'!S141)+SUMIF('Hypotheses expl'!T141,'Compte résultat prévi'!$D$5,'Hypotheses expl'!U141)+SUMIF('Hypotheses expl'!V141,'Compte résultat prévi'!$D$5,'Hypotheses expl'!W141)+SUMIF('Hypotheses expl'!X141,'Compte résultat prévi'!$D$5,'Hypotheses expl'!Y141)+SUMIF('Hypotheses expl'!Z141,'Compte résultat prévi'!$D$5,'Hypotheses expl'!AA141)+SUMIF('Hypotheses expl'!AB141,'Compte résultat prévi'!$D$5,'Hypotheses expl'!AC141)</f>
        <v>0</v>
      </c>
      <c r="E88" s="201">
        <f>+SUMIF('Hypotheses expl'!R141,'Compte résultat prévi'!$E$5,'Hypotheses expl'!S141)+SUMIF('Hypotheses expl'!T141,'Compte résultat prévi'!$E$5,'Hypotheses expl'!U141)+SUMIF('Hypotheses expl'!V141,'Compte résultat prévi'!$E$5,'Hypotheses expl'!W141)+SUMIF('Hypotheses expl'!X141,'Compte résultat prévi'!$E$5,'Hypotheses expl'!Y141)+SUMIF('Hypotheses expl'!Z141,'Compte résultat prévi'!$E$5,'Hypotheses expl'!AA141)+SUMIF('Hypotheses expl'!AB141,'Compte résultat prévi'!$E$5,'Hypotheses expl'!AC141)</f>
        <v>0</v>
      </c>
      <c r="F88" s="201">
        <f>+SUMIF('Hypotheses expl'!R141,'Compte résultat prévi'!$F$5,'Hypotheses expl'!S141)+SUMIF('Hypotheses expl'!T141,'Compte résultat prévi'!$F$5,'Hypotheses expl'!U141)+SUMIF('Hypotheses expl'!V141,'Compte résultat prévi'!$F$5,'Hypotheses expl'!W141)+SUMIF('Hypotheses expl'!X141,'Compte résultat prévi'!$F$5,'Hypotheses expl'!Y141)+SUMIF('Hypotheses expl'!Z141,'Compte résultat prévi'!$F$5,'Hypotheses expl'!AA141)+SUMIF('Hypotheses expl'!AB141,'Compte résultat prévi'!$F$5,'Hypotheses expl'!AC141)</f>
        <v>0</v>
      </c>
      <c r="G88" s="201">
        <f>+SUMIF('Hypotheses expl'!R141,'Compte résultat prévi'!$G$5,'Hypotheses expl'!S141)+SUMIF('Hypotheses expl'!T141,'Compte résultat prévi'!$G$5,'Hypotheses expl'!U141)+SUMIF('Hypotheses expl'!V141,'Compte résultat prévi'!$G$5,'Hypotheses expl'!W141)+SUMIF('Hypotheses expl'!X141,'Compte résultat prévi'!$G$5,'Hypotheses expl'!Y141)+SUMIF('Hypotheses expl'!Z141,'Compte résultat prévi'!$G$5,'Hypotheses expl'!AA141)+SUMIF('Hypotheses expl'!AB141,'Compte résultat prévi'!$G$5,'Hypotheses expl'!AC141)</f>
        <v>0</v>
      </c>
      <c r="H88" s="202">
        <f>+SUMIF('Hypotheses expl'!R141,'Compte résultat prévi'!$H$5,'Hypotheses expl'!S141)+SUMIF('Hypotheses expl'!T141,'Compte résultat prévi'!$H$5,'Hypotheses expl'!U141)+SUMIF('Hypotheses expl'!V141,'Compte résultat prévi'!$H$5,'Hypotheses expl'!W141)+SUMIF('Hypotheses expl'!X141,'Compte résultat prévi'!$H$5,'Hypotheses expl'!Y141)+SUMIF('Hypotheses expl'!Z141,'Compte résultat prévi'!$H$5,'Hypotheses expl'!AA141)+SUMIF('Hypotheses expl'!AB141,'Compte résultat prévi'!$H$5,'Hypotheses expl'!AC141)</f>
        <v>0</v>
      </c>
      <c r="I88" s="200">
        <f>+'Hypotheses expl (3,)'!O141</f>
        <v>0</v>
      </c>
      <c r="J88" s="201">
        <f>+SUMIF('Hypotheses expl (3,)'!R141,'Compte résultat prévi'!$J$5,'Hypotheses expl (3,)'!S141)+SUMIF('Hypotheses expl (3,)'!T141,'Compte résultat prévi'!$J$5,'Hypotheses expl (3,)'!U141)+SUMIF('Hypotheses expl (3,)'!V141,'Compte résultat prévi'!$J$5,'Hypotheses expl (3,)'!W141)+SUMIF('Hypotheses expl (3,)'!X141,'Compte résultat prévi'!$J$5,'Hypotheses expl (3,)'!Y141)+SUMIF('Hypotheses expl (3,)'!Z141,'Compte résultat prévi'!$J$5,'Hypotheses expl (3,)'!AA141)+SUMIF('Hypotheses expl (3,)'!AB141,'Compte résultat prévi'!$J$5,'Hypotheses expl (3,)'!AC141)</f>
        <v>0</v>
      </c>
      <c r="K88" s="201">
        <f>+SUMIF('Hypotheses expl (3,)'!R141,'Compte résultat prévi'!$K$5,'Hypotheses expl (3,)'!S141)+SUMIF('Hypotheses expl (3,)'!T141,'Compte résultat prévi'!$K$5,'Hypotheses expl (3,)'!U141)+SUMIF('Hypotheses expl (3,)'!V141,'Compte résultat prévi'!$K$5,'Hypotheses expl (3,)'!W141)+SUMIF('Hypotheses expl (3,)'!X141,'Compte résultat prévi'!$K$5,'Hypotheses expl (3,)'!Y141)+SUMIF('Hypotheses expl (3,)'!Z141,'Compte résultat prévi'!$K$5,'Hypotheses expl (3,)'!AA141)+SUMIF('Hypotheses expl (3,)'!AB141,'Compte résultat prévi'!$K$5,'Hypotheses expl (3,)'!AC141)</f>
        <v>0</v>
      </c>
      <c r="L88" s="201">
        <f>+SUMIF('Hypotheses expl (3,)'!R141,'Compte résultat prévi'!$L$5,'Hypotheses expl (3,)'!S141)+SUMIF('Hypotheses expl (3,)'!T141,'Compte résultat prévi'!$L$5,'Hypotheses expl (3,)'!U141)+SUMIF('Hypotheses expl (3,)'!V141,'Compte résultat prévi'!$L$5,'Hypotheses expl (3,)'!W141)+SUMIF('Hypotheses expl (3,)'!X141,'Compte résultat prévi'!$L$5,'Hypotheses expl (3,)'!Y141)+SUMIF('Hypotheses expl (3,)'!Z141,'Compte résultat prévi'!$L$5,'Hypotheses expl (3,)'!AA141)+SUMIF('Hypotheses expl (3,)'!AB141,'Compte résultat prévi'!$L$5,'Hypotheses expl (3,)'!AC141)</f>
        <v>0</v>
      </c>
      <c r="M88" s="201">
        <f>+SUMIF('Hypotheses expl (3,)'!R141,'Compte résultat prévi'!$M$5,'Hypotheses expl (3,)'!S141)+SUMIF('Hypotheses expl (3,)'!T141,'Compte résultat prévi'!$M$5,'Hypotheses expl (3,)'!U141)+SUMIF('Hypotheses expl (3,)'!V141,'Compte résultat prévi'!$M$5,'Hypotheses expl (3,)'!W141)+SUMIF('Hypotheses expl (3,)'!X141,'Compte résultat prévi'!$M$5,'Hypotheses expl (3,)'!Y141)+SUMIF('Hypotheses expl (3,)'!Z141,'Compte résultat prévi'!$M$5,'Hypotheses expl (3,)'!AA141)+SUMIF('Hypotheses expl (3,)'!AB141,'Compte résultat prévi'!$M$5,'Hypotheses expl (3,)'!AC141)</f>
        <v>0</v>
      </c>
      <c r="N88" s="202">
        <f>+SUMIF('Hypotheses expl (3,)'!R141,'Compte résultat prévi'!$N$5,'Hypotheses expl (3,)'!S141)+SUMIF('Hypotheses expl (3,)'!T141,'Compte résultat prévi'!$N$5,'Hypotheses expl (3,)'!U141)+SUMIF('Hypotheses expl (3,)'!V141,'Compte résultat prévi'!$N$5,'Hypotheses expl (3,)'!W141)+SUMIF('Hypotheses expl (3,)'!X141,'Compte résultat prévi'!$N$5,'Hypotheses expl (3,)'!Y141)+SUMIF('Hypotheses expl (3,)'!Z141,'Compte résultat prévi'!$N$5,'Hypotheses expl (3,)'!AA141)+SUMIF('Hypotheses expl (3,)'!AB141,'Compte résultat prévi'!$N$5,'Hypotheses expl (3,)'!AC141)</f>
        <v>0</v>
      </c>
      <c r="O88" s="200">
        <f>+'Hypotheses expl (2)'!O141</f>
        <v>0</v>
      </c>
      <c r="P88" s="201">
        <f>+SUMIF('Hypotheses expl (2)'!R141,'Compte résultat prévi'!$P$5,'Hypotheses expl (2)'!S141)+SUMIF('Hypotheses expl (2)'!T141,'Compte résultat prévi'!$P$5,'Hypotheses expl (2)'!U141)+SUMIF('Hypotheses expl (2)'!V141,'Compte résultat prévi'!$P$5,'Hypotheses expl (2)'!W141)+SUMIF('Hypotheses expl (2)'!X141,'Compte résultat prévi'!$P$5,'Hypotheses expl (2)'!Y141)+SUMIF('Hypotheses expl (2)'!Z141,'Compte résultat prévi'!$P$5,'Hypotheses expl (2)'!AA141)+SUMIF('Hypotheses expl (2)'!AB141,'Compte résultat prévi'!$P$5,'Hypotheses expl (2)'!AC141)</f>
        <v>0</v>
      </c>
      <c r="Q88" s="201">
        <f>+SUMIF('Hypotheses expl (2)'!R141,'Compte résultat prévi'!$Q$5,'Hypotheses expl (2)'!S141)+SUMIF('Hypotheses expl (2)'!T141,'Compte résultat prévi'!$Q$5,'Hypotheses expl (2)'!U141)+SUMIF('Hypotheses expl (2)'!V141,'Compte résultat prévi'!$Q$5,'Hypotheses expl (2)'!W141)+SUMIF('Hypotheses expl (2)'!X141,'Compte résultat prévi'!$Q$5,'Hypotheses expl (2)'!Y141)+SUMIF('Hypotheses expl (2)'!Z141,'Compte résultat prévi'!$Q$5,'Hypotheses expl (2)'!AA141)+SUMIF('Hypotheses expl (2)'!AB141,'Compte résultat prévi'!$Q$5,'Hypotheses expl (2)'!AC141)</f>
        <v>0</v>
      </c>
      <c r="R88" s="201">
        <f>+SUMIF('Hypotheses expl (2)'!R141,'Compte résultat prévi'!$R$5,'Hypotheses expl (2)'!S141)+SUMIF('Hypotheses expl (2)'!T141,'Compte résultat prévi'!$R$5,'Hypotheses expl (2)'!U141)+SUMIF('Hypotheses expl (2)'!V141,'Compte résultat prévi'!$R$5,'Hypotheses expl (2)'!W141)+SUMIF('Hypotheses expl (2)'!X141,'Compte résultat prévi'!$R$5,'Hypotheses expl (2)'!Y141)+SUMIF('Hypotheses expl (2)'!Z141,'Compte résultat prévi'!$R$5,'Hypotheses expl (2)'!AA141)+SUMIF('Hypotheses expl (2)'!AB141,'Compte résultat prévi'!$R$5,'Hypotheses expl (2)'!AC141)</f>
        <v>0</v>
      </c>
      <c r="S88" s="201">
        <f>+SUMIF('Hypotheses expl (2)'!R141,'Compte résultat prévi'!$S$5,'Hypotheses expl (2)'!S141)+SUMIF('Hypotheses expl (2)'!T141,'Compte résultat prévi'!$S$5,'Hypotheses expl (2)'!U141)+SUMIF('Hypotheses expl (2)'!V141,'Compte résultat prévi'!$S$5,'Hypotheses expl (2)'!W141)+SUMIF('Hypotheses expl (2)'!X141,'Compte résultat prévi'!$S$5,'Hypotheses expl (2)'!Y141)+SUMIF('Hypotheses expl (2)'!Z141,'Compte résultat prévi'!$S$5,'Hypotheses expl (2)'!AA141)+SUMIF('Hypotheses expl (2)'!AB141,'Compte résultat prévi'!$S$5,'Hypotheses expl (2)'!AC141)</f>
        <v>0</v>
      </c>
      <c r="T88" s="202">
        <f>+SUMIF('Hypotheses expl (2)'!R141,'Compte résultat prévi'!$T$5,'Hypotheses expl (2)'!S141)+SUMIF('Hypotheses expl (2)'!T141,'Compte résultat prévi'!$T$5,'Hypotheses expl (2)'!U141)+SUMIF('Hypotheses expl (2)'!V141,'Compte résultat prévi'!$T$5,'Hypotheses expl (2)'!W141)+SUMIF('Hypotheses expl (2)'!X141,'Compte résultat prévi'!$T$5,'Hypotheses expl (2)'!Y141)+SUMIF('Hypotheses expl (2)'!Z141,'Compte résultat prévi'!$T$5,'Hypotheses expl (2)'!AA141)+SUMIF('Hypotheses expl (2)'!AB141,'Compte résultat prévi'!$T$5,'Hypotheses expl (2)'!AC141)</f>
        <v>0</v>
      </c>
      <c r="U88" s="203"/>
      <c r="V88" s="204"/>
    </row>
    <row r="89" ht="15" hidden="1" outlineLevel="1">
      <c r="A89" s="198">
        <f>'Hypotheses expl'!B142</f>
        <v>0</v>
      </c>
      <c r="B89" s="235"/>
      <c r="C89" s="200">
        <f>+'Hypotheses expl'!O142</f>
        <v>0</v>
      </c>
      <c r="D89" s="201">
        <f>+SUMIF('Hypotheses expl'!R142,'Compte résultat prévi'!$D$5,'Hypotheses expl'!S142)+SUMIF('Hypotheses expl'!T142,'Compte résultat prévi'!$D$5,'Hypotheses expl'!U142)+SUMIF('Hypotheses expl'!V142,'Compte résultat prévi'!$D$5,'Hypotheses expl'!W142)+SUMIF('Hypotheses expl'!X142,'Compte résultat prévi'!$D$5,'Hypotheses expl'!Y142)+SUMIF('Hypotheses expl'!Z142,'Compte résultat prévi'!$D$5,'Hypotheses expl'!AA142)+SUMIF('Hypotheses expl'!AB142,'Compte résultat prévi'!$D$5,'Hypotheses expl'!AC142)</f>
        <v>0</v>
      </c>
      <c r="E89" s="201">
        <f>+SUMIF('Hypotheses expl'!R142,'Compte résultat prévi'!$E$5,'Hypotheses expl'!S142)+SUMIF('Hypotheses expl'!T142,'Compte résultat prévi'!$E$5,'Hypotheses expl'!U142)+SUMIF('Hypotheses expl'!V142,'Compte résultat prévi'!$E$5,'Hypotheses expl'!W142)+SUMIF('Hypotheses expl'!X142,'Compte résultat prévi'!$E$5,'Hypotheses expl'!Y142)+SUMIF('Hypotheses expl'!Z142,'Compte résultat prévi'!$E$5,'Hypotheses expl'!AA142)+SUMIF('Hypotheses expl'!AB142,'Compte résultat prévi'!$E$5,'Hypotheses expl'!AC142)</f>
        <v>0</v>
      </c>
      <c r="F89" s="201">
        <f>+SUMIF('Hypotheses expl'!R142,'Compte résultat prévi'!$F$5,'Hypotheses expl'!S142)+SUMIF('Hypotheses expl'!T142,'Compte résultat prévi'!$F$5,'Hypotheses expl'!U142)+SUMIF('Hypotheses expl'!V142,'Compte résultat prévi'!$F$5,'Hypotheses expl'!W142)+SUMIF('Hypotheses expl'!X142,'Compte résultat prévi'!$F$5,'Hypotheses expl'!Y142)+SUMIF('Hypotheses expl'!Z142,'Compte résultat prévi'!$F$5,'Hypotheses expl'!AA142)+SUMIF('Hypotheses expl'!AB142,'Compte résultat prévi'!$F$5,'Hypotheses expl'!AC142)</f>
        <v>0</v>
      </c>
      <c r="G89" s="201">
        <f>+SUMIF('Hypotheses expl'!R142,'Compte résultat prévi'!$G$5,'Hypotheses expl'!S142)+SUMIF('Hypotheses expl'!T142,'Compte résultat prévi'!$G$5,'Hypotheses expl'!U142)+SUMIF('Hypotheses expl'!V142,'Compte résultat prévi'!$G$5,'Hypotheses expl'!W142)+SUMIF('Hypotheses expl'!X142,'Compte résultat prévi'!$G$5,'Hypotheses expl'!Y142)+SUMIF('Hypotheses expl'!Z142,'Compte résultat prévi'!$G$5,'Hypotheses expl'!AA142)+SUMIF('Hypotheses expl'!AB142,'Compte résultat prévi'!$G$5,'Hypotheses expl'!AC142)</f>
        <v>0</v>
      </c>
      <c r="H89" s="202">
        <f>+SUMIF('Hypotheses expl'!R142,'Compte résultat prévi'!$H$5,'Hypotheses expl'!S142)+SUMIF('Hypotheses expl'!T142,'Compte résultat prévi'!$H$5,'Hypotheses expl'!U142)+SUMIF('Hypotheses expl'!V142,'Compte résultat prévi'!$H$5,'Hypotheses expl'!W142)+SUMIF('Hypotheses expl'!X142,'Compte résultat prévi'!$H$5,'Hypotheses expl'!Y142)+SUMIF('Hypotheses expl'!Z142,'Compte résultat prévi'!$H$5,'Hypotheses expl'!AA142)+SUMIF('Hypotheses expl'!AB142,'Compte résultat prévi'!$H$5,'Hypotheses expl'!AC142)</f>
        <v>0</v>
      </c>
      <c r="I89" s="200">
        <f>+'Hypotheses expl (3,)'!O142</f>
        <v>0</v>
      </c>
      <c r="J89" s="201">
        <f>+SUMIF('Hypotheses expl (3,)'!R142,'Compte résultat prévi'!$J$5,'Hypotheses expl (3,)'!S142)+SUMIF('Hypotheses expl (3,)'!T142,'Compte résultat prévi'!$J$5,'Hypotheses expl (3,)'!U142)+SUMIF('Hypotheses expl (3,)'!V142,'Compte résultat prévi'!$J$5,'Hypotheses expl (3,)'!W142)+SUMIF('Hypotheses expl (3,)'!X142,'Compte résultat prévi'!$J$5,'Hypotheses expl (3,)'!Y142)+SUMIF('Hypotheses expl (3,)'!Z142,'Compte résultat prévi'!$J$5,'Hypotheses expl (3,)'!AA142)+SUMIF('Hypotheses expl (3,)'!AB142,'Compte résultat prévi'!$J$5,'Hypotheses expl (3,)'!AC142)</f>
        <v>0</v>
      </c>
      <c r="K89" s="201">
        <f>+SUMIF('Hypotheses expl (3,)'!R142,'Compte résultat prévi'!$K$5,'Hypotheses expl (3,)'!S142)+SUMIF('Hypotheses expl (3,)'!T142,'Compte résultat prévi'!$K$5,'Hypotheses expl (3,)'!U142)+SUMIF('Hypotheses expl (3,)'!V142,'Compte résultat prévi'!$K$5,'Hypotheses expl (3,)'!W142)+SUMIF('Hypotheses expl (3,)'!X142,'Compte résultat prévi'!$K$5,'Hypotheses expl (3,)'!Y142)+SUMIF('Hypotheses expl (3,)'!Z142,'Compte résultat prévi'!$K$5,'Hypotheses expl (3,)'!AA142)+SUMIF('Hypotheses expl (3,)'!AB142,'Compte résultat prévi'!$K$5,'Hypotheses expl (3,)'!AC142)</f>
        <v>0</v>
      </c>
      <c r="L89" s="201">
        <f>+SUMIF('Hypotheses expl (3,)'!R142,'Compte résultat prévi'!$L$5,'Hypotheses expl (3,)'!S142)+SUMIF('Hypotheses expl (3,)'!T142,'Compte résultat prévi'!$L$5,'Hypotheses expl (3,)'!U142)+SUMIF('Hypotheses expl (3,)'!V142,'Compte résultat prévi'!$L$5,'Hypotheses expl (3,)'!W142)+SUMIF('Hypotheses expl (3,)'!X142,'Compte résultat prévi'!$L$5,'Hypotheses expl (3,)'!Y142)+SUMIF('Hypotheses expl (3,)'!Z142,'Compte résultat prévi'!$L$5,'Hypotheses expl (3,)'!AA142)+SUMIF('Hypotheses expl (3,)'!AB142,'Compte résultat prévi'!$L$5,'Hypotheses expl (3,)'!AC142)</f>
        <v>0</v>
      </c>
      <c r="M89" s="201">
        <f>+SUMIF('Hypotheses expl (3,)'!R142,'Compte résultat prévi'!$M$5,'Hypotheses expl (3,)'!S142)+SUMIF('Hypotheses expl (3,)'!T142,'Compte résultat prévi'!$M$5,'Hypotheses expl (3,)'!U142)+SUMIF('Hypotheses expl (3,)'!V142,'Compte résultat prévi'!$M$5,'Hypotheses expl (3,)'!W142)+SUMIF('Hypotheses expl (3,)'!X142,'Compte résultat prévi'!$M$5,'Hypotheses expl (3,)'!Y142)+SUMIF('Hypotheses expl (3,)'!Z142,'Compte résultat prévi'!$M$5,'Hypotheses expl (3,)'!AA142)+SUMIF('Hypotheses expl (3,)'!AB142,'Compte résultat prévi'!$M$5,'Hypotheses expl (3,)'!AC142)</f>
        <v>0</v>
      </c>
      <c r="N89" s="202">
        <f>+SUMIF('Hypotheses expl (3,)'!R142,'Compte résultat prévi'!$N$5,'Hypotheses expl (3,)'!S142)+SUMIF('Hypotheses expl (3,)'!T142,'Compte résultat prévi'!$N$5,'Hypotheses expl (3,)'!U142)+SUMIF('Hypotheses expl (3,)'!V142,'Compte résultat prévi'!$N$5,'Hypotheses expl (3,)'!W142)+SUMIF('Hypotheses expl (3,)'!X142,'Compte résultat prévi'!$N$5,'Hypotheses expl (3,)'!Y142)+SUMIF('Hypotheses expl (3,)'!Z142,'Compte résultat prévi'!$N$5,'Hypotheses expl (3,)'!AA142)+SUMIF('Hypotheses expl (3,)'!AB142,'Compte résultat prévi'!$N$5,'Hypotheses expl (3,)'!AC142)</f>
        <v>0</v>
      </c>
      <c r="O89" s="200">
        <f>+'Hypotheses expl (2)'!O142</f>
        <v>0</v>
      </c>
      <c r="P89" s="201">
        <f>+SUMIF('Hypotheses expl (2)'!R142,'Compte résultat prévi'!$P$5,'Hypotheses expl (2)'!S142)+SUMIF('Hypotheses expl (2)'!T142,'Compte résultat prévi'!$P$5,'Hypotheses expl (2)'!U142)+SUMIF('Hypotheses expl (2)'!V142,'Compte résultat prévi'!$P$5,'Hypotheses expl (2)'!W142)+SUMIF('Hypotheses expl (2)'!X142,'Compte résultat prévi'!$P$5,'Hypotheses expl (2)'!Y142)+SUMIF('Hypotheses expl (2)'!Z142,'Compte résultat prévi'!$P$5,'Hypotheses expl (2)'!AA142)+SUMIF('Hypotheses expl (2)'!AB142,'Compte résultat prévi'!$P$5,'Hypotheses expl (2)'!AC142)</f>
        <v>0</v>
      </c>
      <c r="Q89" s="201">
        <f>+SUMIF('Hypotheses expl (2)'!R142,'Compte résultat prévi'!$Q$5,'Hypotheses expl (2)'!S142)+SUMIF('Hypotheses expl (2)'!T142,'Compte résultat prévi'!$Q$5,'Hypotheses expl (2)'!U142)+SUMIF('Hypotheses expl (2)'!V142,'Compte résultat prévi'!$Q$5,'Hypotheses expl (2)'!W142)+SUMIF('Hypotheses expl (2)'!X142,'Compte résultat prévi'!$Q$5,'Hypotheses expl (2)'!Y142)+SUMIF('Hypotheses expl (2)'!Z142,'Compte résultat prévi'!$Q$5,'Hypotheses expl (2)'!AA142)+SUMIF('Hypotheses expl (2)'!AB142,'Compte résultat prévi'!$Q$5,'Hypotheses expl (2)'!AC142)</f>
        <v>0</v>
      </c>
      <c r="R89" s="201">
        <f>+SUMIF('Hypotheses expl (2)'!R142,'Compte résultat prévi'!$R$5,'Hypotheses expl (2)'!S142)+SUMIF('Hypotheses expl (2)'!T142,'Compte résultat prévi'!$R$5,'Hypotheses expl (2)'!U142)+SUMIF('Hypotheses expl (2)'!V142,'Compte résultat prévi'!$R$5,'Hypotheses expl (2)'!W142)+SUMIF('Hypotheses expl (2)'!X142,'Compte résultat prévi'!$R$5,'Hypotheses expl (2)'!Y142)+SUMIF('Hypotheses expl (2)'!Z142,'Compte résultat prévi'!$R$5,'Hypotheses expl (2)'!AA142)+SUMIF('Hypotheses expl (2)'!AB142,'Compte résultat prévi'!$R$5,'Hypotheses expl (2)'!AC142)</f>
        <v>0</v>
      </c>
      <c r="S89" s="201">
        <f>+SUMIF('Hypotheses expl (2)'!R142,'Compte résultat prévi'!$S$5,'Hypotheses expl (2)'!S142)+SUMIF('Hypotheses expl (2)'!T142,'Compte résultat prévi'!$S$5,'Hypotheses expl (2)'!U142)+SUMIF('Hypotheses expl (2)'!V142,'Compte résultat prévi'!$S$5,'Hypotheses expl (2)'!W142)+SUMIF('Hypotheses expl (2)'!X142,'Compte résultat prévi'!$S$5,'Hypotheses expl (2)'!Y142)+SUMIF('Hypotheses expl (2)'!Z142,'Compte résultat prévi'!$S$5,'Hypotheses expl (2)'!AA142)+SUMIF('Hypotheses expl (2)'!AB142,'Compte résultat prévi'!$S$5,'Hypotheses expl (2)'!AC142)</f>
        <v>0</v>
      </c>
      <c r="T89" s="202">
        <f>+SUMIF('Hypotheses expl (2)'!R142,'Compte résultat prévi'!$T$5,'Hypotheses expl (2)'!S142)+SUMIF('Hypotheses expl (2)'!T142,'Compte résultat prévi'!$T$5,'Hypotheses expl (2)'!U142)+SUMIF('Hypotheses expl (2)'!V142,'Compte résultat prévi'!$T$5,'Hypotheses expl (2)'!W142)+SUMIF('Hypotheses expl (2)'!X142,'Compte résultat prévi'!$T$5,'Hypotheses expl (2)'!Y142)+SUMIF('Hypotheses expl (2)'!Z142,'Compte résultat prévi'!$T$5,'Hypotheses expl (2)'!AA142)+SUMIF('Hypotheses expl (2)'!AB142,'Compte résultat prévi'!$T$5,'Hypotheses expl (2)'!AC142)</f>
        <v>0</v>
      </c>
      <c r="U89" s="203"/>
      <c r="V89" s="204"/>
    </row>
    <row r="90" ht="18">
      <c r="A90" s="229" t="s">
        <v>317</v>
      </c>
      <c r="B90" s="230"/>
      <c r="C90" s="231">
        <f t="shared" ref="C90:H90" si="219">+SUM(C91:C101)</f>
        <v>1297955.804203683</v>
      </c>
      <c r="D90" s="232">
        <f t="shared" si="219"/>
        <v>350594.88178837916</v>
      </c>
      <c r="E90" s="232">
        <f t="shared" si="219"/>
        <v>283121.43360226811</v>
      </c>
      <c r="F90" s="232">
        <f t="shared" si="219"/>
        <v>148900.43128128099</v>
      </c>
      <c r="G90" s="232">
        <f t="shared" si="219"/>
        <v>168247.51843058923</v>
      </c>
      <c r="H90" s="233">
        <f t="shared" si="219"/>
        <v>438741.08318267076</v>
      </c>
      <c r="I90" s="231">
        <f t="shared" ref="I90:M90" si="220">+SUM(I91:I101)</f>
        <v>1485273.3420407528</v>
      </c>
      <c r="J90" s="232">
        <f t="shared" si="220"/>
        <v>350594.88178837916</v>
      </c>
      <c r="K90" s="232">
        <f t="shared" si="220"/>
        <v>283121.43360226811</v>
      </c>
      <c r="L90" s="232">
        <f t="shared" si="220"/>
        <v>128341.43128128099</v>
      </c>
      <c r="M90" s="232">
        <f t="shared" si="220"/>
        <v>168247.51843058923</v>
      </c>
      <c r="N90" s="233">
        <f>+SUM(N91:N101)</f>
        <v>522794.08318267076</v>
      </c>
      <c r="O90" s="231">
        <f t="shared" ref="O90:T90" si="221">+SUM(O91:O101)</f>
        <v>1440829.2124237071</v>
      </c>
      <c r="P90" s="232" t="e">
        <f t="shared" si="221"/>
        <v>#REF!</v>
      </c>
      <c r="Q90" s="232" t="e">
        <f t="shared" si="221"/>
        <v>#REF!</v>
      </c>
      <c r="R90" s="232" t="e">
        <f t="shared" si="221"/>
        <v>#REF!</v>
      </c>
      <c r="S90" s="232" t="e">
        <f t="shared" si="221"/>
        <v>#REF!</v>
      </c>
      <c r="T90" s="233" t="e">
        <f t="shared" si="221"/>
        <v>#REF!</v>
      </c>
      <c r="U90" s="231">
        <f>+SUM(U91:U101)</f>
        <v>0</v>
      </c>
      <c r="V90" s="233">
        <f>+SUM(V91:V101)</f>
        <v>0</v>
      </c>
    </row>
    <row r="91" outlineLevel="1">
      <c r="A91" s="198" t="str">
        <f>'Hypotheses expl'!B143</f>
        <v xml:space="preserve">Salaires bruts formateurs permanents/documentation</v>
      </c>
      <c r="B91" s="234">
        <v>1</v>
      </c>
      <c r="C91" s="200">
        <f>+'Hypotheses expl'!O143</f>
        <v>547092.82159199985</v>
      </c>
      <c r="D91" s="201">
        <f>+SUMIF('Hypotheses expl'!R143,'Compte résultat prévi'!$D$5,'Hypotheses expl'!S143)+SUMIF('Hypotheses expl'!T143,'Compte résultat prévi'!$D$5,'Hypotheses expl'!U143)+SUMIF('Hypotheses expl'!V143,'Compte résultat prévi'!$D$5,'Hypotheses expl'!W143)+SUMIF('Hypotheses expl'!X143,'Compte résultat prévi'!$D$5,'Hypotheses expl'!Y143)+SUMIF('Hypotheses expl'!Z143,'Compte résultat prévi'!$D$5,'Hypotheses expl'!AA143)+SUMIF('Hypotheses expl'!AB143,'Compte résultat prévi'!$D$5,'Hypotheses expl'!AC143)</f>
        <v>184002</v>
      </c>
      <c r="E91" s="201">
        <f>+SUMIF('Hypotheses expl'!R143,'Compte résultat prévi'!$E$5,'Hypotheses expl'!S143)+SUMIF('Hypotheses expl'!T143,'Compte résultat prévi'!$E$5,'Hypotheses expl'!U143)+SUMIF('Hypotheses expl'!V143,'Compte résultat prévi'!$E$5,'Hypotheses expl'!W143)+SUMIF('Hypotheses expl'!X143,'Compte résultat prévi'!$E$5,'Hypotheses expl'!Y143)+SUMIF('Hypotheses expl'!Z143,'Compte résultat prévi'!$E$5,'Hypotheses expl'!AA143)+SUMIF('Hypotheses expl'!AB143,'Compte résultat prévi'!$E$5,'Hypotheses expl'!AC143)</f>
        <v>163908.16560000001</v>
      </c>
      <c r="F91" s="201">
        <f>+SUMIF('Hypotheses expl'!R143,'Compte résultat prévi'!$F$5,'Hypotheses expl'!S143)+SUMIF('Hypotheses expl'!T143,'Compte résultat prévi'!$F$5,'Hypotheses expl'!U143)+SUMIF('Hypotheses expl'!V143,'Compte résultat prévi'!$F$5,'Hypotheses expl'!W143)+SUMIF('Hypotheses expl'!X143,'Compte résultat prévi'!$F$5,'Hypotheses expl'!Y143)+SUMIF('Hypotheses expl'!Z143,'Compte résultat prévi'!$F$5,'Hypotheses expl'!AA143)+SUMIF('Hypotheses expl'!AB143,'Compte résultat prévi'!$F$5,'Hypotheses expl'!AC143)</f>
        <v>82616.450400000002</v>
      </c>
      <c r="G91" s="201">
        <f>+SUMIF('Hypotheses expl'!R143,'Compte résultat prévi'!$G$5,'Hypotheses expl'!S143)+SUMIF('Hypotheses expl'!T143,'Compte résultat prévi'!$G$5,'Hypotheses expl'!U143)+SUMIF('Hypotheses expl'!V143,'Compte résultat prévi'!$G$5,'Hypotheses expl'!W143)+SUMIF('Hypotheses expl'!X143,'Compte résultat prévi'!$G$5,'Hypotheses expl'!Y143)+SUMIF('Hypotheses expl'!Z143,'Compte résultat prévi'!$G$5,'Hypotheses expl'!AA143)+SUMIF('Hypotheses expl'!AB143,'Compte résultat prévi'!$G$5,'Hypotheses expl'!AC143)</f>
        <v>114974.40000000001</v>
      </c>
      <c r="H91" s="202">
        <f>+SUMIF('Hypotheses expl'!R143,'Compte résultat prévi'!$H$5,'Hypotheses expl'!S143)+SUMIF('Hypotheses expl'!T143,'Compte résultat prévi'!$H$5,'Hypotheses expl'!U143)+SUMIF('Hypotheses expl'!V143,'Compte résultat prévi'!$H$5,'Hypotheses expl'!W143)+SUMIF('Hypotheses expl'!X143,'Compte résultat prévi'!$H$5,'Hypotheses expl'!Y143)+SUMIF('Hypotheses expl'!Z143,'Compte résultat prévi'!$H$5,'Hypotheses expl'!AA143)+SUMIF('Hypotheses expl'!AB143,'Compte résultat prévi'!$H$5,'Hypotheses expl'!AC143)</f>
        <v>22825.151999999998</v>
      </c>
      <c r="I91" s="200">
        <f>+'Hypotheses expl (3,)'!O143</f>
        <v>642278.74159199977</v>
      </c>
      <c r="J91" s="201">
        <f>+SUMIF('Hypotheses expl (3,)'!R143,'Compte résultat prévi'!$J$5,'Hypotheses expl (3,)'!S143)+SUMIF('Hypotheses expl (3,)'!T143,'Compte résultat prévi'!$J$5,'Hypotheses expl (3,)'!U143)+SUMIF('Hypotheses expl (3,)'!V143,'Compte résultat prévi'!$J$5,'Hypotheses expl (3,)'!W143)+SUMIF('Hypotheses expl (3,)'!X143,'Compte résultat prévi'!$J$5,'Hypotheses expl (3,)'!Y143)+SUMIF('Hypotheses expl (3,)'!Z143,'Compte résultat prévi'!$J$5,'Hypotheses expl (3,)'!AA143)+SUMIF('Hypotheses expl (3,)'!AB143,'Compte résultat prévi'!$J$5,'Hypotheses expl (3,)'!AC143)</f>
        <v>184002</v>
      </c>
      <c r="K91" s="201">
        <f>+SUMIF('Hypotheses expl (3,)'!R143,'Compte résultat prévi'!$K$5,'Hypotheses expl (3,)'!S143)+SUMIF('Hypotheses expl (3,)'!T143,'Compte résultat prévi'!$K$5,'Hypotheses expl (3,)'!U143)+SUMIF('Hypotheses expl (3,)'!V143,'Compte résultat prévi'!$K$5,'Hypotheses expl (3,)'!W143)+SUMIF('Hypotheses expl (3,)'!X143,'Compte résultat prévi'!$K$5,'Hypotheses expl (3,)'!Y143)+SUMIF('Hypotheses expl (3,)'!Z143,'Compte résultat prévi'!$K$5,'Hypotheses expl (3,)'!AA143)+SUMIF('Hypotheses expl (3,)'!AB143,'Compte résultat prévi'!$K$5,'Hypotheses expl (3,)'!AC143)</f>
        <v>163908.16560000001</v>
      </c>
      <c r="L91" s="201">
        <f>+SUMIF('Hypotheses expl (3,)'!R143,'Compte résultat prévi'!$L$5,'Hypotheses expl (3,)'!S143)+SUMIF('Hypotheses expl (3,)'!T143,'Compte résultat prévi'!$L$5,'Hypotheses expl (3,)'!U143)+SUMIF('Hypotheses expl (3,)'!V143,'Compte résultat prévi'!$L$5,'Hypotheses expl (3,)'!W143)+SUMIF('Hypotheses expl (3,)'!X143,'Compte résultat prévi'!$L$5,'Hypotheses expl (3,)'!Y143)+SUMIF('Hypotheses expl (3,)'!Z143,'Compte résultat prévi'!$L$5,'Hypotheses expl (3,)'!AA143)+SUMIF('Hypotheses expl (3,)'!AB143,'Compte résultat prévi'!$L$5,'Hypotheses expl (3,)'!AC143)</f>
        <v>82616.450400000002</v>
      </c>
      <c r="M91" s="201">
        <f>+SUMIF('Hypotheses expl (3,)'!R143,'Compte résultat prévi'!$M$5,'Hypotheses expl (3,)'!S143)+SUMIF('Hypotheses expl (3,)'!T143,'Compte résultat prévi'!$M$5,'Hypotheses expl (3,)'!U143)+SUMIF('Hypotheses expl (3,)'!V143,'Compte résultat prévi'!$M$5,'Hypotheses expl (3,)'!W143)+SUMIF('Hypotheses expl (3,)'!X143,'Compte résultat prévi'!$M$5,'Hypotheses expl (3,)'!Y143)+SUMIF('Hypotheses expl (3,)'!Z143,'Compte résultat prévi'!$M$5,'Hypotheses expl (3,)'!AA143)+SUMIF('Hypotheses expl (3,)'!AB143,'Compte résultat prévi'!$M$5,'Hypotheses expl (3,)'!AC143)</f>
        <v>114974.40000000001</v>
      </c>
      <c r="N91" s="202">
        <f>+SUMIF('Hypotheses expl (3,)'!R143,'Compte résultat prévi'!$N$5,'Hypotheses expl (3,)'!S143)+SUMIF('Hypotheses expl (3,)'!T143,'Compte résultat prévi'!$N$5,'Hypotheses expl (3,)'!U143)+SUMIF('Hypotheses expl (3,)'!V143,'Compte résultat prévi'!$N$5,'Hypotheses expl (3,)'!W143)+SUMIF('Hypotheses expl (3,)'!X143,'Compte résultat prévi'!$N$5,'Hypotheses expl (3,)'!Y143)+SUMIF('Hypotheses expl (3,)'!Z143,'Compte résultat prévi'!$N$5,'Hypotheses expl (3,)'!AA143)+SUMIF('Hypotheses expl (3,)'!AB143,'Compte résultat prévi'!$N$5,'Hypotheses expl (3,)'!AC143)</f>
        <v>22825.151999999998</v>
      </c>
      <c r="O91" s="200">
        <f>+'Hypotheses expl (2)'!O143</f>
        <v>608384.65159199992</v>
      </c>
      <c r="P91" s="201" t="e">
        <f>+SUMIF('Hypotheses expl (2)'!R143,'Compte résultat prévi'!$P$5,'Hypotheses expl (2)'!S143)+SUMIF('Hypotheses expl (2)'!T143,'Compte résultat prévi'!$P$5,'Hypotheses expl (2)'!U143)+SUMIF('Hypotheses expl (2)'!V143,'Compte résultat prévi'!$P$5,'Hypotheses expl (2)'!W143)+SUMIF('Hypotheses expl (2)'!X143,'Compte résultat prévi'!$P$5,'Hypotheses expl (2)'!Y143)+SUMIF('Hypotheses expl (2)'!Z143,'Compte résultat prévi'!$P$5,'Hypotheses expl (2)'!AA143)+SUMIF('Hypotheses expl (2)'!#REF!,'Compte résultat prévi'!$P$5,'Hypotheses expl (2)'!AC143)</f>
        <v>#REF!</v>
      </c>
      <c r="Q91" s="201" t="e">
        <f>+SUMIF('Hypotheses expl (2)'!R143,'Compte résultat prévi'!$Q$5,'Hypotheses expl (2)'!S143)+SUMIF('Hypotheses expl (2)'!T143,'Compte résultat prévi'!$Q$5,'Hypotheses expl (2)'!U143)+SUMIF('Hypotheses expl (2)'!V143,'Compte résultat prévi'!$Q$5,'Hypotheses expl (2)'!W143)+SUMIF('Hypotheses expl (2)'!X143,'Compte résultat prévi'!$Q$5,'Hypotheses expl (2)'!Y143)+SUMIF('Hypotheses expl (2)'!Z143,'Compte résultat prévi'!$Q$5,'Hypotheses expl (2)'!AA143)+SUMIF('Hypotheses expl (2)'!#REF!,'Compte résultat prévi'!$Q$5,'Hypotheses expl (2)'!AC143)</f>
        <v>#REF!</v>
      </c>
      <c r="R91" s="201" t="e">
        <f>+SUMIF('Hypotheses expl (2)'!R143,'Compte résultat prévi'!$R$5,'Hypotheses expl (2)'!S143)+SUMIF('Hypotheses expl (2)'!T143,'Compte résultat prévi'!$R$5,'Hypotheses expl (2)'!U143)+SUMIF('Hypotheses expl (2)'!V143,'Compte résultat prévi'!$R$5,'Hypotheses expl (2)'!W143)+SUMIF('Hypotheses expl (2)'!X143,'Compte résultat prévi'!$R$5,'Hypotheses expl (2)'!Y143)+SUMIF('Hypotheses expl (2)'!Z143,'Compte résultat prévi'!$R$5,'Hypotheses expl (2)'!AA143)+SUMIF('Hypotheses expl (2)'!#REF!,'Compte résultat prévi'!$R$5,'Hypotheses expl (2)'!AC143)</f>
        <v>#REF!</v>
      </c>
      <c r="S91" s="201" t="e">
        <f>+SUMIF('Hypotheses expl (2)'!R143,'Compte résultat prévi'!$S$5,'Hypotheses expl (2)'!S143)+SUMIF('Hypotheses expl (2)'!T143,'Compte résultat prévi'!$S$5,'Hypotheses expl (2)'!U143)+SUMIF('Hypotheses expl (2)'!V143,'Compte résultat prévi'!$S$5,'Hypotheses expl (2)'!W143)+SUMIF('Hypotheses expl (2)'!X143,'Compte résultat prévi'!$S$5,'Hypotheses expl (2)'!Y143)+SUMIF('Hypotheses expl (2)'!Z143,'Compte résultat prévi'!$S$5,'Hypotheses expl (2)'!AA143)+SUMIF('Hypotheses expl (2)'!#REF!,'Compte résultat prévi'!$S$5,'Hypotheses expl (2)'!AC143)</f>
        <v>#REF!</v>
      </c>
      <c r="T91" s="202" t="e">
        <f>+SUMIF('Hypotheses expl (2)'!R143,'Compte résultat prévi'!$T$5,'Hypotheses expl (2)'!S143)+SUMIF('Hypotheses expl (2)'!T143,'Compte résultat prévi'!$T$5,'Hypotheses expl (2)'!U143)+SUMIF('Hypotheses expl (2)'!V143,'Compte résultat prévi'!$T$5,'Hypotheses expl (2)'!W143)+SUMIF('Hypotheses expl (2)'!X143,'Compte résultat prévi'!$T$5,'Hypotheses expl (2)'!Y143)+SUMIF('Hypotheses expl (2)'!Z143,'Compte résultat prévi'!$T$5,'Hypotheses expl (2)'!AA143)+SUMIF('Hypotheses expl (2)'!#REF!,'Compte résultat prévi'!$T$5,'Hypotheses expl (2)'!AC143)</f>
        <v>#REF!</v>
      </c>
      <c r="U91" s="203"/>
      <c r="V91" s="204"/>
    </row>
    <row r="92" outlineLevel="1">
      <c r="A92" s="198" t="str">
        <f>'Hypotheses expl'!B144</f>
        <v xml:space="preserve">Salaires bruts direction et administratif</v>
      </c>
      <c r="B92" s="234">
        <v>3</v>
      </c>
      <c r="C92" s="200">
        <f>+'Hypotheses expl'!O144</f>
        <v>246520.13219999996</v>
      </c>
      <c r="D92" s="201">
        <f>+SUMIF('Hypotheses expl'!R144,'Compte résultat prévi'!$D$5,'Hypotheses expl'!S144)+SUMIF('Hypotheses expl'!T144,'Compte résultat prévi'!$D$5,'Hypotheses expl'!U144)+SUMIF('Hypotheses expl'!V144,'Compte résultat prévi'!$D$5,'Hypotheses expl'!W144)+SUMIF('Hypotheses expl'!X144,'Compte résultat prévi'!$D$5,'Hypotheses expl'!Y144)+SUMIF('Hypotheses expl'!Z144,'Compte résultat prévi'!$D$5,'Hypotheses expl'!AA144)+SUMIF('Hypotheses expl'!AB144,'Compte résultat prévi'!$D$5,'Hypotheses expl'!AC144)</f>
        <v>25333.372800000001</v>
      </c>
      <c r="E92" s="201">
        <f>+SUMIF('Hypotheses expl'!R144,'Compte résultat prévi'!$E$5,'Hypotheses expl'!S144)+SUMIF('Hypotheses expl'!T144,'Compte résultat prévi'!$E$5,'Hypotheses expl'!U144)+SUMIF('Hypotheses expl'!V144,'Compte résultat prévi'!$E$5,'Hypotheses expl'!W144)+SUMIF('Hypotheses expl'!X144,'Compte résultat prévi'!$E$5,'Hypotheses expl'!Y144)+SUMIF('Hypotheses expl'!Z144,'Compte résultat prévi'!$E$5,'Hypotheses expl'!AA144)+SUMIF('Hypotheses expl'!AB144,'Compte résultat prévi'!$E$5,'Hypotheses expl'!AC144)</f>
        <v>26962.761600000002</v>
      </c>
      <c r="F92" s="201">
        <f>+SUMIF('Hypotheses expl'!R144,'Compte résultat prévi'!$F$5,'Hypotheses expl'!S144)+SUMIF('Hypotheses expl'!T144,'Compte résultat prévi'!$F$5,'Hypotheses expl'!U144)+SUMIF('Hypotheses expl'!V144,'Compte résultat prévi'!$F$5,'Hypotheses expl'!W144)+SUMIF('Hypotheses expl'!X144,'Compte résultat prévi'!$F$5,'Hypotheses expl'!Y144)+SUMIF('Hypotheses expl'!Z144,'Compte résultat prévi'!$F$5,'Hypotheses expl'!AA144)+SUMIF('Hypotheses expl'!AB144,'Compte résultat prévi'!$F$5,'Hypotheses expl'!AC144)</f>
        <v>0</v>
      </c>
      <c r="G92" s="201">
        <f>+SUMIF('Hypotheses expl'!R144,'Compte résultat prévi'!$G$5,'Hypotheses expl'!S144)+SUMIF('Hypotheses expl'!T144,'Compte résultat prévi'!$G$5,'Hypotheses expl'!U144)+SUMIF('Hypotheses expl'!V144,'Compte résultat prévi'!$G$5,'Hypotheses expl'!W144)+SUMIF('Hypotheses expl'!X144,'Compte résultat prévi'!$G$5,'Hypotheses expl'!Y144)+SUMIF('Hypotheses expl'!Z144,'Compte résultat prévi'!$G$5,'Hypotheses expl'!AA144)+SUMIF('Hypotheses expl'!AB144,'Compte résultat prévi'!$G$5,'Hypotheses expl'!AC144)</f>
        <v>0</v>
      </c>
      <c r="H92" s="202">
        <f>+SUMIF('Hypotheses expl'!R144,'Compte résultat prévi'!$H$5,'Hypotheses expl'!S144)+SUMIF('Hypotheses expl'!T144,'Compte résultat prévi'!$H$5,'Hypotheses expl'!U144)+SUMIF('Hypotheses expl'!V144,'Compte résultat prévi'!$H$5,'Hypotheses expl'!W144)+SUMIF('Hypotheses expl'!X144,'Compte résultat prévi'!$H$5,'Hypotheses expl'!Y144)+SUMIF('Hypotheses expl'!Z144,'Compte résultat prévi'!$H$5,'Hypotheses expl'!AA144)+SUMIF('Hypotheses expl'!AB144,'Compte résultat prévi'!$H$5,'Hypotheses expl'!AC144)</f>
        <v>239442.79680000001</v>
      </c>
      <c r="I92" s="200">
        <f>+'Hypotheses expl (3,)'!O144</f>
        <v>245924.03519999995</v>
      </c>
      <c r="J92" s="201">
        <f>+SUMIF('Hypotheses expl (3,)'!R144,'Compte résultat prévi'!$J$5,'Hypotheses expl (3,)'!S144)+SUMIF('Hypotheses expl (3,)'!T144,'Compte résultat prévi'!$J$5,'Hypotheses expl (3,)'!U144)+SUMIF('Hypotheses expl (3,)'!V144,'Compte résultat prévi'!$J$5,'Hypotheses expl (3,)'!W144)+SUMIF('Hypotheses expl (3,)'!X144,'Compte résultat prévi'!$J$5,'Hypotheses expl (3,)'!Y144)+SUMIF('Hypotheses expl (3,)'!Z144,'Compte résultat prévi'!$J$5,'Hypotheses expl (3,)'!AA144)+SUMIF('Hypotheses expl (3,)'!AB144,'Compte résultat prévi'!$J$5,'Hypotheses expl (3,)'!AC144)</f>
        <v>25333.372800000001</v>
      </c>
      <c r="K92" s="201">
        <f>+SUMIF('Hypotheses expl (3,)'!R144,'Compte résultat prévi'!$K$5,'Hypotheses expl (3,)'!S144)+SUMIF('Hypotheses expl (3,)'!T144,'Compte résultat prévi'!$K$5,'Hypotheses expl (3,)'!U144)+SUMIF('Hypotheses expl (3,)'!V144,'Compte résultat prévi'!$K$5,'Hypotheses expl (3,)'!W144)+SUMIF('Hypotheses expl (3,)'!X144,'Compte résultat prévi'!$K$5,'Hypotheses expl (3,)'!Y144)+SUMIF('Hypotheses expl (3,)'!Z144,'Compte résultat prévi'!$K$5,'Hypotheses expl (3,)'!AA144)+SUMIF('Hypotheses expl (3,)'!AB144,'Compte résultat prévi'!$K$5,'Hypotheses expl (3,)'!AC144)</f>
        <v>26962.761600000002</v>
      </c>
      <c r="L92" s="201">
        <f>+SUMIF('Hypotheses expl (3,)'!R144,'Compte résultat prévi'!$L$5,'Hypotheses expl (3,)'!S144)+SUMIF('Hypotheses expl (3,)'!T144,'Compte résultat prévi'!$L$5,'Hypotheses expl (3,)'!U144)+SUMIF('Hypotheses expl (3,)'!V144,'Compte résultat prévi'!$L$5,'Hypotheses expl (3,)'!W144)+SUMIF('Hypotheses expl (3,)'!X144,'Compte résultat prévi'!$L$5,'Hypotheses expl (3,)'!Y144)+SUMIF('Hypotheses expl (3,)'!Z144,'Compte résultat prévi'!$L$5,'Hypotheses expl (3,)'!AA144)+SUMIF('Hypotheses expl (3,)'!AB144,'Compte résultat prévi'!$L$5,'Hypotheses expl (3,)'!AC144)</f>
        <v>0</v>
      </c>
      <c r="M92" s="201">
        <f>+SUMIF('Hypotheses expl (3,)'!R144,'Compte résultat prévi'!$M$5,'Hypotheses expl (3,)'!S144)+SUMIF('Hypotheses expl (3,)'!T144,'Compte résultat prévi'!$M$5,'Hypotheses expl (3,)'!U144)+SUMIF('Hypotheses expl (3,)'!V144,'Compte résultat prévi'!$M$5,'Hypotheses expl (3,)'!W144)+SUMIF('Hypotheses expl (3,)'!X144,'Compte résultat prévi'!$M$5,'Hypotheses expl (3,)'!Y144)+SUMIF('Hypotheses expl (3,)'!Z144,'Compte résultat prévi'!$M$5,'Hypotheses expl (3,)'!AA144)+SUMIF('Hypotheses expl (3,)'!AB144,'Compte résultat prévi'!$M$5,'Hypotheses expl (3,)'!AC144)</f>
        <v>0</v>
      </c>
      <c r="N92" s="202">
        <f>+SUMIF('Hypotheses expl (3,)'!R144,'Compte résultat prévi'!$N$5,'Hypotheses expl (3,)'!S144)+SUMIF('Hypotheses expl (3,)'!T144,'Compte résultat prévi'!$N$5,'Hypotheses expl (3,)'!U144)+SUMIF('Hypotheses expl (3,)'!V144,'Compte résultat prévi'!$N$5,'Hypotheses expl (3,)'!W144)+SUMIF('Hypotheses expl (3,)'!X144,'Compte résultat prévi'!$N$5,'Hypotheses expl (3,)'!Y144)+SUMIF('Hypotheses expl (3,)'!Z144,'Compte résultat prévi'!$N$5,'Hypotheses expl (3,)'!AA144)+SUMIF('Hypotheses expl (3,)'!AB144,'Compte résultat prévi'!$N$5,'Hypotheses expl (3,)'!AC144)</f>
        <v>239442.79680000001</v>
      </c>
      <c r="O92" s="200">
        <f>+'Hypotheses expl (2)'!O144</f>
        <v>245924.03519999995</v>
      </c>
      <c r="P92" s="201">
        <f>+SUMIF('Hypotheses expl (2)'!R144,'Compte résultat prévi'!$P$5,'Hypotheses expl (2)'!S144)+SUMIF('Hypotheses expl (2)'!T144,'Compte résultat prévi'!$P$5,'Hypotheses expl (2)'!U144)+SUMIF('Hypotheses expl (2)'!V144,'Compte résultat prévi'!$P$5,'Hypotheses expl (2)'!W144)+SUMIF('Hypotheses expl (2)'!X144,'Compte résultat prévi'!$P$5,'Hypotheses expl (2)'!Y144)+SUMIF('Hypotheses expl (2)'!Z144,'Compte résultat prévi'!$P$5,'Hypotheses expl (2)'!AA144)+SUMIF('Hypotheses expl (2)'!AB143,'Compte résultat prévi'!$P$5,'Hypotheses expl (2)'!AC144)</f>
        <v>25333.372800000001</v>
      </c>
      <c r="Q92" s="201">
        <f>+SUMIF('Hypotheses expl (2)'!R144,'Compte résultat prévi'!$Q$5,'Hypotheses expl (2)'!S144)+SUMIF('Hypotheses expl (2)'!T144,'Compte résultat prévi'!$Q$5,'Hypotheses expl (2)'!U144)+SUMIF('Hypotheses expl (2)'!V144,'Compte résultat prévi'!$Q$5,'Hypotheses expl (2)'!W144)+SUMIF('Hypotheses expl (2)'!X144,'Compte résultat prévi'!$Q$5,'Hypotheses expl (2)'!Y144)+SUMIF('Hypotheses expl (2)'!Z144,'Compte résultat prévi'!$Q$5,'Hypotheses expl (2)'!AA144)+SUMIF('Hypotheses expl (2)'!AB143,'Compte résultat prévi'!$Q$5,'Hypotheses expl (2)'!AC144)</f>
        <v>26962.731</v>
      </c>
      <c r="R92" s="201">
        <f>+SUMIF('Hypotheses expl (2)'!R144,'Compte résultat prévi'!$R$5,'Hypotheses expl (2)'!S144)+SUMIF('Hypotheses expl (2)'!T144,'Compte résultat prévi'!$R$5,'Hypotheses expl (2)'!U144)+SUMIF('Hypotheses expl (2)'!V144,'Compte résultat prévi'!$R$5,'Hypotheses expl (2)'!W144)+SUMIF('Hypotheses expl (2)'!X144,'Compte résultat prévi'!$R$5,'Hypotheses expl (2)'!Y144)+SUMIF('Hypotheses expl (2)'!Z144,'Compte résultat prévi'!$R$5,'Hypotheses expl (2)'!AA144)+SUMIF('Hypotheses expl (2)'!AB143,'Compte résultat prévi'!$R$5,'Hypotheses expl (2)'!AC144)</f>
        <v>12791</v>
      </c>
      <c r="S92" s="201">
        <f>+SUMIF('Hypotheses expl (2)'!R144,'Compte résultat prévi'!$S$5,'Hypotheses expl (2)'!S144)+SUMIF('Hypotheses expl (2)'!T144,'Compte résultat prévi'!$S$5,'Hypotheses expl (2)'!U144)+SUMIF('Hypotheses expl (2)'!V144,'Compte résultat prévi'!$S$5,'Hypotheses expl (2)'!W144)+SUMIF('Hypotheses expl (2)'!X144,'Compte résultat prévi'!$S$5,'Hypotheses expl (2)'!Y144)+SUMIF('Hypotheses expl (2)'!Z144,'Compte résultat prévi'!$S$5,'Hypotheses expl (2)'!AA144)+SUMIF('Hypotheses expl (2)'!AB143,'Compte résultat prévi'!$S$5,'Hypotheses expl (2)'!AC144)</f>
        <v>27321</v>
      </c>
      <c r="T92" s="202">
        <f>+SUMIF('Hypotheses expl (2)'!R144,'Compte résultat prévi'!$T$5,'Hypotheses expl (2)'!S144)+SUMIF('Hypotheses expl (2)'!T144,'Compte résultat prévi'!$T$5,'Hypotheses expl (2)'!U144)+SUMIF('Hypotheses expl (2)'!V144,'Compte résultat prévi'!$T$5,'Hypotheses expl (2)'!W144)+SUMIF('Hypotheses expl (2)'!X144,'Compte résultat prévi'!$T$5,'Hypotheses expl (2)'!Y144)+SUMIF('Hypotheses expl (2)'!Z144,'Compte résultat prévi'!$T$5,'Hypotheses expl (2)'!AA144)+SUMIF('Hypotheses expl (2)'!AB143,'Compte résultat prévi'!$T$5,'Hypotheses expl (2)'!AC144)</f>
        <v>153515.89999999999</v>
      </c>
      <c r="U92" s="203"/>
      <c r="V92" s="204"/>
    </row>
    <row r="93" outlineLevel="1">
      <c r="A93" s="198" t="str">
        <f>'Hypotheses expl'!B145</f>
        <v xml:space="preserve">Salaires bruts formateurs vacataires</v>
      </c>
      <c r="B93" s="234"/>
      <c r="C93" s="200">
        <f>+'Hypotheses expl'!O145</f>
        <v>101449.9332</v>
      </c>
      <c r="D93" s="201">
        <f>+SUMIF('Hypotheses expl'!R145,'Compte résultat prévi'!$D$5,'Hypotheses expl'!S145)+SUMIF('Hypotheses expl'!T145,'Compte résultat prévi'!$D$5,'Hypotheses expl'!U145)+SUMIF('Hypotheses expl'!V145,'Compte résultat prévi'!$D$5,'Hypotheses expl'!W145)+SUMIF('Hypotheses expl'!X145,'Compte résultat prévi'!$D$5,'Hypotheses expl'!Y145)+SUMIF('Hypotheses expl'!Z145,'Compte résultat prévi'!$D$5,'Hypotheses expl'!AA145)+SUMIF('Hypotheses expl'!AB145,'Compte résultat prévi'!$D$5,'Hypotheses expl'!AC145)</f>
        <v>52743.870743283587</v>
      </c>
      <c r="E93" s="201">
        <f>+SUMIF('Hypotheses expl'!R145,'Compte résultat prévi'!$E$5,'Hypotheses expl'!S145)+SUMIF('Hypotheses expl'!T145,'Compte résultat prévi'!$E$5,'Hypotheses expl'!U145)+SUMIF('Hypotheses expl'!V145,'Compte résultat prévi'!$E$5,'Hypotheses expl'!W145)+SUMIF('Hypotheses expl'!X145,'Compte résultat prévi'!$E$5,'Hypotheses expl'!Y145)+SUMIF('Hypotheses expl'!Z145,'Compte résultat prévi'!$E$5,'Hypotheses expl'!AA145)+SUMIF('Hypotheses expl'!AB145,'Compte résultat prévi'!$E$5,'Hypotheses expl'!AC145)</f>
        <v>21703.219540298509</v>
      </c>
      <c r="F93" s="201">
        <f>+SUMIF('Hypotheses expl'!R145,'Compte résultat prévi'!$F$5,'Hypotheses expl'!S145)+SUMIF('Hypotheses expl'!T145,'Compte résultat prévi'!$F$5,'Hypotheses expl'!U145)+SUMIF('Hypotheses expl'!V145,'Compte résultat prévi'!$F$5,'Hypotheses expl'!W145)+SUMIF('Hypotheses expl'!X145,'Compte résultat prévi'!$F$5,'Hypotheses expl'!Y145)+SUMIF('Hypotheses expl'!Z145,'Compte résultat prévi'!$F$5,'Hypotheses expl'!AA145)+SUMIF('Hypotheses expl'!AB145,'Compte résultat prévi'!$F$5,'Hypotheses expl'!AC145)</f>
        <v>14384.692020895522</v>
      </c>
      <c r="G93" s="201">
        <f>+SUMIF('Hypotheses expl'!R145,'Compte résultat prévi'!$G$5,'Hypotheses expl'!S145)+SUMIF('Hypotheses expl'!T145,'Compte résultat prévi'!$G$5,'Hypotheses expl'!U145)+SUMIF('Hypotheses expl'!V145,'Compte résultat prévi'!$G$5,'Hypotheses expl'!W145)+SUMIF('Hypotheses expl'!X145,'Compte résultat prévi'!$G$5,'Hypotheses expl'!Y145)+SUMIF('Hypotheses expl'!Z145,'Compte résultat prévi'!$G$5,'Hypotheses expl'!AA145)+SUMIF('Hypotheses expl'!AB145,'Compte résultat prévi'!$G$5,'Hypotheses expl'!AC145)</f>
        <v>12618.150895522389</v>
      </c>
      <c r="H93" s="202">
        <f>+SUMIF('Hypotheses expl'!R145,'Compte résultat prévi'!$H$5,'Hypotheses expl'!S145)+SUMIF('Hypotheses expl'!T145,'Compte résultat prévi'!$H$5,'Hypotheses expl'!U145)+SUMIF('Hypotheses expl'!V145,'Compte résultat prévi'!$H$5,'Hypotheses expl'!W145)+SUMIF('Hypotheses expl'!X145,'Compte résultat prévi'!$H$5,'Hypotheses expl'!Y145)+SUMIF('Hypotheses expl'!Z145,'Compte résultat prévi'!$H$5,'Hypotheses expl'!AA145)+SUMIF('Hypotheses expl'!AB145,'Compte résultat prévi'!$H$5,'Hypotheses expl'!AC145)</f>
        <v>0</v>
      </c>
      <c r="I93" s="200">
        <f>+'Hypotheses expl (3,)'!O145</f>
        <v>101449.9332</v>
      </c>
      <c r="J93" s="201">
        <f>+SUMIF('Hypotheses expl (3,)'!R145,'Compte résultat prévi'!$J$5,'Hypotheses expl (3,)'!S145)+SUMIF('Hypotheses expl (3,)'!T145,'Compte résultat prévi'!$J$5,'Hypotheses expl (3,)'!U145)+SUMIF('Hypotheses expl (3,)'!V145,'Compte résultat prévi'!$J$5,'Hypotheses expl (3,)'!W145)+SUMIF('Hypotheses expl (3,)'!X145,'Compte résultat prévi'!$J$5,'Hypotheses expl (3,)'!Y145)+SUMIF('Hypotheses expl (3,)'!Z145,'Compte résultat prévi'!$J$5,'Hypotheses expl (3,)'!AA145)+SUMIF('Hypotheses expl (3,)'!AB145,'Compte résultat prévi'!$J$5,'Hypotheses expl (3,)'!AC145)</f>
        <v>52743.870743283587</v>
      </c>
      <c r="K93" s="201">
        <f>+SUMIF('Hypotheses expl (3,)'!R145,'Compte résultat prévi'!$K$5,'Hypotheses expl (3,)'!S145)+SUMIF('Hypotheses expl (3,)'!T145,'Compte résultat prévi'!$K$5,'Hypotheses expl (3,)'!U145)+SUMIF('Hypotheses expl (3,)'!V145,'Compte résultat prévi'!$K$5,'Hypotheses expl (3,)'!W145)+SUMIF('Hypotheses expl (3,)'!X145,'Compte résultat prévi'!$K$5,'Hypotheses expl (3,)'!Y145)+SUMIF('Hypotheses expl (3,)'!Z145,'Compte résultat prévi'!$K$5,'Hypotheses expl (3,)'!AA145)+SUMIF('Hypotheses expl (3,)'!AB145,'Compte résultat prévi'!$K$5,'Hypotheses expl (3,)'!AC145)</f>
        <v>21703.219540298509</v>
      </c>
      <c r="L93" s="201">
        <f>+SUMIF('Hypotheses expl (3,)'!R145,'Compte résultat prévi'!$L$5,'Hypotheses expl (3,)'!S145)+SUMIF('Hypotheses expl (3,)'!T145,'Compte résultat prévi'!$L$5,'Hypotheses expl (3,)'!U145)+SUMIF('Hypotheses expl (3,)'!V145,'Compte résultat prévi'!$L$5,'Hypotheses expl (3,)'!W145)+SUMIF('Hypotheses expl (3,)'!X145,'Compte résultat prévi'!$L$5,'Hypotheses expl (3,)'!Y145)+SUMIF('Hypotheses expl (3,)'!Z145,'Compte résultat prévi'!$L$5,'Hypotheses expl (3,)'!AA145)+SUMIF('Hypotheses expl (3,)'!AB145,'Compte résultat prévi'!$L$5,'Hypotheses expl (3,)'!AC145)</f>
        <v>14384.692020895522</v>
      </c>
      <c r="M93" s="201">
        <f>+SUMIF('Hypotheses expl (3,)'!R145,'Compte résultat prévi'!$M$5,'Hypotheses expl (3,)'!S145)+SUMIF('Hypotheses expl (3,)'!T145,'Compte résultat prévi'!$M$5,'Hypotheses expl (3,)'!U145)+SUMIF('Hypotheses expl (3,)'!V145,'Compte résultat prévi'!$M$5,'Hypotheses expl (3,)'!W145)+SUMIF('Hypotheses expl (3,)'!X145,'Compte résultat prévi'!$M$5,'Hypotheses expl (3,)'!Y145)+SUMIF('Hypotheses expl (3,)'!Z145,'Compte résultat prévi'!$M$5,'Hypotheses expl (3,)'!AA145)+SUMIF('Hypotheses expl (3,)'!AB145,'Compte résultat prévi'!$M$5,'Hypotheses expl (3,)'!AC145)</f>
        <v>12618.150895522389</v>
      </c>
      <c r="N93" s="202">
        <f>+SUMIF('Hypotheses expl (3,)'!R145,'Compte résultat prévi'!$N$5,'Hypotheses expl (3,)'!S145)+SUMIF('Hypotheses expl (3,)'!T145,'Compte résultat prévi'!$N$5,'Hypotheses expl (3,)'!U145)+SUMIF('Hypotheses expl (3,)'!V145,'Compte résultat prévi'!$N$5,'Hypotheses expl (3,)'!W145)+SUMIF('Hypotheses expl (3,)'!X145,'Compte résultat prévi'!$N$5,'Hypotheses expl (3,)'!Y145)+SUMIF('Hypotheses expl (3,)'!Z145,'Compte résultat prévi'!$N$5,'Hypotheses expl (3,)'!AA145)+SUMIF('Hypotheses expl (3,)'!AB145,'Compte résultat prévi'!$N$5,'Hypotheses expl (3,)'!AC145)</f>
        <v>0</v>
      </c>
      <c r="O93" s="200">
        <f>+'Hypotheses expl (2)'!O145</f>
        <v>101449.9332</v>
      </c>
      <c r="P93" s="201">
        <f>+SUMIF('Hypotheses expl (2)'!R145,'Compte résultat prévi'!$P$5,'Hypotheses expl (2)'!S145)+SUMIF('Hypotheses expl (2)'!T145,'Compte résultat prévi'!$P$5,'Hypotheses expl (2)'!U145)+SUMIF('Hypotheses expl (2)'!V145,'Compte résultat prévi'!$P$5,'Hypotheses expl (2)'!W145)+SUMIF('Hypotheses expl (2)'!X145,'Compte résultat prévi'!$P$5,'Hypotheses expl (2)'!Y145)+SUMIF('Hypotheses expl (2)'!Z145,'Compte résultat prévi'!$P$5,'Hypotheses expl (2)'!AA145)+SUMIF('Hypotheses expl (2)'!AB145,'Compte résultat prévi'!$P$5,'Hypotheses expl (2)'!AC145)</f>
        <v>52743.870743283587</v>
      </c>
      <c r="Q93" s="201">
        <f>+SUMIF('Hypotheses expl (2)'!R145,'Compte résultat prévi'!$Q$5,'Hypotheses expl (2)'!S145)+SUMIF('Hypotheses expl (2)'!T145,'Compte résultat prévi'!$Q$5,'Hypotheses expl (2)'!U145)+SUMIF('Hypotheses expl (2)'!V145,'Compte résultat prévi'!$Q$5,'Hypotheses expl (2)'!W145)+SUMIF('Hypotheses expl (2)'!X145,'Compte résultat prévi'!$Q$5,'Hypotheses expl (2)'!Y145)+SUMIF('Hypotheses expl (2)'!Z145,'Compte résultat prévi'!$Q$5,'Hypotheses expl (2)'!AA145)+SUMIF('Hypotheses expl (2)'!AB145,'Compte résultat prévi'!$Q$5,'Hypotheses expl (2)'!AC145)</f>
        <v>21703.219540298509</v>
      </c>
      <c r="R93" s="201">
        <f>+SUMIF('Hypotheses expl (2)'!R145,'Compte résultat prévi'!$R$5,'Hypotheses expl (2)'!S145)+SUMIF('Hypotheses expl (2)'!T145,'Compte résultat prévi'!$R$5,'Hypotheses expl (2)'!U145)+SUMIF('Hypotheses expl (2)'!V145,'Compte résultat prévi'!$R$5,'Hypotheses expl (2)'!W145)+SUMIF('Hypotheses expl (2)'!X145,'Compte résultat prévi'!$R$5,'Hypotheses expl (2)'!Y145)+SUMIF('Hypotheses expl (2)'!Z145,'Compte résultat prévi'!$R$5,'Hypotheses expl (2)'!AA145)+SUMIF('Hypotheses expl (2)'!AB145,'Compte résultat prévi'!$R$5,'Hypotheses expl (2)'!AC145)</f>
        <v>14384.692020895522</v>
      </c>
      <c r="S93" s="201">
        <f>+SUMIF('Hypotheses expl (2)'!R145,'Compte résultat prévi'!$S$5,'Hypotheses expl (2)'!S145)+SUMIF('Hypotheses expl (2)'!T145,'Compte résultat prévi'!$S$5,'Hypotheses expl (2)'!U145)+SUMIF('Hypotheses expl (2)'!V145,'Compte résultat prévi'!$S$5,'Hypotheses expl (2)'!W145)+SUMIF('Hypotheses expl (2)'!X145,'Compte résultat prévi'!$S$5,'Hypotheses expl (2)'!Y145)+SUMIF('Hypotheses expl (2)'!Z145,'Compte résultat prévi'!$S$5,'Hypotheses expl (2)'!AA145)+SUMIF('Hypotheses expl (2)'!AB145,'Compte résultat prévi'!$S$5,'Hypotheses expl (2)'!AC145)</f>
        <v>12618.150895522389</v>
      </c>
      <c r="T93" s="202">
        <f>+SUMIF('Hypotheses expl (2)'!R145,'Compte résultat prévi'!$T$5,'Hypotheses expl (2)'!S145)+SUMIF('Hypotheses expl (2)'!T145,'Compte résultat prévi'!$T$5,'Hypotheses expl (2)'!U145)+SUMIF('Hypotheses expl (2)'!V145,'Compte résultat prévi'!$T$5,'Hypotheses expl (2)'!W145)+SUMIF('Hypotheses expl (2)'!X145,'Compte résultat prévi'!$T$5,'Hypotheses expl (2)'!Y145)+SUMIF('Hypotheses expl (2)'!Z145,'Compte résultat prévi'!$T$5,'Hypotheses expl (2)'!AA145)+SUMIF('Hypotheses expl (2)'!AB145,'Compte résultat prévi'!$T$5,'Hypotheses expl (2)'!AC145)</f>
        <v>0</v>
      </c>
      <c r="U93" s="203"/>
      <c r="V93" s="204"/>
    </row>
    <row r="94" outlineLevel="1">
      <c r="A94" s="198" t="str">
        <f>'Hypotheses expl'!B146</f>
        <v xml:space="preserve">Charges patronales formateurs permanents/documentation</v>
      </c>
      <c r="B94" s="234">
        <v>1</v>
      </c>
      <c r="C94" s="200">
        <f>+'Hypotheses expl'!O146</f>
        <v>169435.29159368412</v>
      </c>
      <c r="D94" s="201">
        <f>+SUMIF('Hypotheses expl'!R146,'Compte résultat prévi'!$D$5,'Hypotheses expl'!S146)+SUMIF('Hypotheses expl'!T146,'Compte résultat prévi'!$D$5,'Hypotheses expl'!U146)+SUMIF('Hypotheses expl'!V146,'Compte résultat prévi'!$D$5,'Hypotheses expl'!W146)+SUMIF('Hypotheses expl'!X146,'Compte résultat prévi'!$D$5,'Hypotheses expl'!Y146)+SUMIF('Hypotheses expl'!Z146,'Compte résultat prévi'!$D$5,'Hypotheses expl'!AA146)+SUMIF('Hypotheses expl'!AB146,'Compte résultat prévi'!$D$5,'Hypotheses expl'!AC146)</f>
        <v>56985.636245600763</v>
      </c>
      <c r="E94" s="201">
        <f>+SUMIF('Hypotheses expl'!R146,'Compte résultat prévi'!$E$5,'Hypotheses expl'!S146)+SUMIF('Hypotheses expl'!T146,'Compte résultat prévi'!$E$5,'Hypotheses expl'!U146)+SUMIF('Hypotheses expl'!V146,'Compte résultat prévi'!$E$5,'Hypotheses expl'!W146)+SUMIF('Hypotheses expl'!X146,'Compte résultat prévi'!$E$5,'Hypotheses expl'!Y146)+SUMIF('Hypotheses expl'!Z146,'Compte résultat prévi'!$E$5,'Hypotheses expl'!AA146)+SUMIF('Hypotheses expl'!AB146,'Compte résultat prévi'!$E$5,'Hypotheses expl'!AC146)</f>
        <v>50762.552051419509</v>
      </c>
      <c r="F94" s="201">
        <f>+SUMIF('Hypotheses expl'!R146,'Compte résultat prévi'!$F$5,'Hypotheses expl'!S146)+SUMIF('Hypotheses expl'!T146,'Compte résultat prévi'!$F$5,'Hypotheses expl'!U146)+SUMIF('Hypotheses expl'!V146,'Compte résultat prévi'!$F$5,'Hypotheses expl'!W146)+SUMIF('Hypotheses expl'!X146,'Compte résultat prévi'!$F$5,'Hypotheses expl'!Y146)+SUMIF('Hypotheses expl'!Z146,'Compte résultat prévi'!$F$5,'Hypotheses expl'!AA146)+SUMIF('Hypotheses expl'!AB146,'Compte résultat prévi'!$F$5,'Hypotheses expl'!AC146)</f>
        <v>25586.412052027248</v>
      </c>
      <c r="G94" s="201">
        <f>+SUMIF('Hypotheses expl'!R146,'Compte résultat prévi'!$G$5,'Hypotheses expl'!S146)+SUMIF('Hypotheses expl'!T146,'Compte résultat prévi'!$G$5,'Hypotheses expl'!U146)+SUMIF('Hypotheses expl'!V146,'Compte résultat prévi'!$G$5,'Hypotheses expl'!W146)+SUMIF('Hypotheses expl'!X146,'Compte résultat prévi'!$G$5,'Hypotheses expl'!Y146)+SUMIF('Hypotheses expl'!Z146,'Compte résultat prévi'!$G$5,'Hypotheses expl'!AA146)+SUMIF('Hypotheses expl'!AB146,'Compte résultat prévi'!$G$5,'Hypotheses expl'!AC146)</f>
        <v>35607.707176857868</v>
      </c>
      <c r="H94" s="202">
        <f>+SUMIF('Hypotheses expl'!R146,'Compte résultat prévi'!$H$5,'Hypotheses expl'!S146)+SUMIF('Hypotheses expl'!T146,'Compte résultat prévi'!$H$5,'Hypotheses expl'!U146)+SUMIF('Hypotheses expl'!V146,'Compte résultat prévi'!$H$5,'Hypotheses expl'!W146)+SUMIF('Hypotheses expl'!X146,'Compte résultat prévi'!$H$5,'Hypotheses expl'!Y146)+SUMIF('Hypotheses expl'!Z146,'Compte résultat prévi'!$H$5,'Hypotheses expl'!AA146)+SUMIF('Hypotheses expl'!AB146,'Compte résultat prévi'!$H$5,'Hypotheses expl'!AC146)</f>
        <v>7068.9764737478217</v>
      </c>
      <c r="I94" s="200">
        <f>+'Hypotheses expl (3,)'!O146</f>
        <v>198914.48319389965</v>
      </c>
      <c r="J94" s="201">
        <f>+SUMIF('Hypotheses expl (3,)'!R146,'Compte résultat prévi'!$J$5,'Hypotheses expl (3,)'!S146)+SUMIF('Hypotheses expl (3,)'!T146,'Compte résultat prévi'!$J$5,'Hypotheses expl (3,)'!U146)+SUMIF('Hypotheses expl (3,)'!V146,'Compte résultat prévi'!$J$5,'Hypotheses expl (3,)'!W146)+SUMIF('Hypotheses expl (3,)'!X146,'Compte résultat prévi'!$J$5,'Hypotheses expl (3,)'!Y146)+SUMIF('Hypotheses expl (3,)'!Z146,'Compte résultat prévi'!$J$5,'Hypotheses expl (3,)'!AA146)+SUMIF('Hypotheses expl (3,)'!AB146,'Compte résultat prévi'!$J$5,'Hypotheses expl (3,)'!AC146)</f>
        <v>56985.636245600763</v>
      </c>
      <c r="K94" s="201">
        <f>+SUMIF('Hypotheses expl (3,)'!R146,'Compte résultat prévi'!$K$5,'Hypotheses expl (3,)'!S146)+SUMIF('Hypotheses expl (3,)'!T146,'Compte résultat prévi'!$K$5,'Hypotheses expl (3,)'!U146)+SUMIF('Hypotheses expl (3,)'!V146,'Compte résultat prévi'!$K$5,'Hypotheses expl (3,)'!W146)+SUMIF('Hypotheses expl (3,)'!X146,'Compte résultat prévi'!$K$5,'Hypotheses expl (3,)'!Y146)+SUMIF('Hypotheses expl (3,)'!Z146,'Compte résultat prévi'!$K$5,'Hypotheses expl (3,)'!AA146)+SUMIF('Hypotheses expl (3,)'!AB146,'Compte résultat prévi'!$K$5,'Hypotheses expl (3,)'!AC146)</f>
        <v>50762.552051419509</v>
      </c>
      <c r="L94" s="201">
        <f>+SUMIF('Hypotheses expl (3,)'!R146,'Compte résultat prévi'!$L$5,'Hypotheses expl (3,)'!S146)+SUMIF('Hypotheses expl (3,)'!T146,'Compte résultat prévi'!$L$5,'Hypotheses expl (3,)'!U146)+SUMIF('Hypotheses expl (3,)'!V146,'Compte résultat prévi'!$L$5,'Hypotheses expl (3,)'!W146)+SUMIF('Hypotheses expl (3,)'!X146,'Compte résultat prévi'!$L$5,'Hypotheses expl (3,)'!Y146)+SUMIF('Hypotheses expl (3,)'!Z146,'Compte résultat prévi'!$L$5,'Hypotheses expl (3,)'!AA146)+SUMIF('Hypotheses expl (3,)'!AB146,'Compte résultat prévi'!$L$5,'Hypotheses expl (3,)'!AC146)</f>
        <v>25586.412052027248</v>
      </c>
      <c r="M94" s="201">
        <f>+SUMIF('Hypotheses expl (3,)'!R146,'Compte résultat prévi'!$M$5,'Hypotheses expl (3,)'!S146)+SUMIF('Hypotheses expl (3,)'!T146,'Compte résultat prévi'!$M$5,'Hypotheses expl (3,)'!U146)+SUMIF('Hypotheses expl (3,)'!V146,'Compte résultat prévi'!$M$5,'Hypotheses expl (3,)'!W146)+SUMIF('Hypotheses expl (3,)'!X146,'Compte résultat prévi'!$M$5,'Hypotheses expl (3,)'!Y146)+SUMIF('Hypotheses expl (3,)'!Z146,'Compte résultat prévi'!$M$5,'Hypotheses expl (3,)'!AA146)+SUMIF('Hypotheses expl (3,)'!AB146,'Compte résultat prévi'!$M$5,'Hypotheses expl (3,)'!AC146)</f>
        <v>35607.707176857868</v>
      </c>
      <c r="N94" s="202">
        <f>+SUMIF('Hypotheses expl (3,)'!R146,'Compte résultat prévi'!$N$5,'Hypotheses expl (3,)'!S146)+SUMIF('Hypotheses expl (3,)'!T146,'Compte résultat prévi'!$N$5,'Hypotheses expl (3,)'!U146)+SUMIF('Hypotheses expl (3,)'!V146,'Compte résultat prévi'!$N$5,'Hypotheses expl (3,)'!W146)+SUMIF('Hypotheses expl (3,)'!X146,'Compte résultat prévi'!$N$5,'Hypotheses expl (3,)'!Y146)+SUMIF('Hypotheses expl (3,)'!Z146,'Compte résultat prévi'!$N$5,'Hypotheses expl (3,)'!AA146)+SUMIF('Hypotheses expl (3,)'!AB146,'Compte résultat prévi'!$N$5,'Hypotheses expl (3,)'!AC146)</f>
        <v>7068.9764737478217</v>
      </c>
      <c r="O94" s="200">
        <f>+'Hypotheses expl (2)'!O146</f>
        <v>188417.4435768539</v>
      </c>
      <c r="P94" s="201">
        <f>+SUMIF('Hypotheses expl (2)'!R146,'Compte résultat prévi'!$P$5,'Hypotheses expl (2)'!S146)+SUMIF('Hypotheses expl (2)'!T146,'Compte résultat prévi'!$P$5,'Hypotheses expl (2)'!U146)+SUMIF('Hypotheses expl (2)'!V146,'Compte résultat prévi'!$P$5,'Hypotheses expl (2)'!W146)+SUMIF('Hypotheses expl (2)'!X146,'Compte résultat prévi'!$P$5,'Hypotheses expl (2)'!Y146)+SUMIF('Hypotheses expl (2)'!Z146,'Compte résultat prévi'!$P$5,'Hypotheses expl (2)'!AA146)+SUMIF('Hypotheses expl (2)'!AB146,'Compte résultat prévi'!$P$5,'Hypotheses expl (2)'!AC146)</f>
        <v>58038.620252486791</v>
      </c>
      <c r="Q94" s="201">
        <f>+SUMIF('Hypotheses expl (2)'!R146,'Compte résultat prévi'!$Q$5,'Hypotheses expl (2)'!S146)+SUMIF('Hypotheses expl (2)'!T146,'Compte résultat prévi'!$Q$5,'Hypotheses expl (2)'!U146)+SUMIF('Hypotheses expl (2)'!V146,'Compte résultat prévi'!$Q$5,'Hypotheses expl (2)'!W146)+SUMIF('Hypotheses expl (2)'!X146,'Compte résultat prévi'!$Q$5,'Hypotheses expl (2)'!Y146)+SUMIF('Hypotheses expl (2)'!Z146,'Compte résultat prévi'!$Q$5,'Hypotheses expl (2)'!AA146)+SUMIF('Hypotheses expl (2)'!AB146,'Compte résultat prévi'!$Q$5,'Hypotheses expl (2)'!AC146)</f>
        <v>47775.43289831149</v>
      </c>
      <c r="R94" s="201">
        <f>+SUMIF('Hypotheses expl (2)'!R146,'Compte résultat prévi'!$R$5,'Hypotheses expl (2)'!S146)+SUMIF('Hypotheses expl (2)'!T146,'Compte résultat prévi'!$R$5,'Hypotheses expl (2)'!U146)+SUMIF('Hypotheses expl (2)'!V146,'Compte résultat prévi'!$R$5,'Hypotheses expl (2)'!W146)+SUMIF('Hypotheses expl (2)'!X146,'Compte résultat prévi'!$R$5,'Hypotheses expl (2)'!Y146)+SUMIF('Hypotheses expl (2)'!Z146,'Compte résultat prévi'!$R$5,'Hypotheses expl (2)'!AA146)+SUMIF('Hypotheses expl (2)'!AB146,'Compte résultat prévi'!$R$5,'Hypotheses expl (2)'!AC146)</f>
        <v>26848.304864987207</v>
      </c>
      <c r="S94" s="201">
        <f>+SUMIF('Hypotheses expl (2)'!R146,'Compte résultat prévi'!$S$5,'Hypotheses expl (2)'!S146)+SUMIF('Hypotheses expl (2)'!T146,'Compte résultat prévi'!$S$5,'Hypotheses expl (2)'!U146)+SUMIF('Hypotheses expl (2)'!V146,'Compte résultat prévi'!$S$5,'Hypotheses expl (2)'!W146)+SUMIF('Hypotheses expl (2)'!X146,'Compte résultat prévi'!$S$5,'Hypotheses expl (2)'!Y146)+SUMIF('Hypotheses expl (2)'!Z146,'Compte résultat prévi'!$S$5,'Hypotheses expl (2)'!AA146)+SUMIF('Hypotheses expl (2)'!AB146,'Compte résultat prévi'!$S$5,'Hypotheses expl (2)'!AC146)</f>
        <v>40175.855305884375</v>
      </c>
      <c r="T94" s="202">
        <f>+SUMIF('Hypotheses expl (2)'!R146,'Compte résultat prévi'!$T$5,'Hypotheses expl (2)'!S146)+SUMIF('Hypotheses expl (2)'!T146,'Compte résultat prévi'!$T$5,'Hypotheses expl (2)'!U146)+SUMIF('Hypotheses expl (2)'!V146,'Compte résultat prévi'!$T$5,'Hypotheses expl (2)'!W146)+SUMIF('Hypotheses expl (2)'!X146,'Compte résultat prévi'!$T$5,'Hypotheses expl (2)'!Y146)+SUMIF('Hypotheses expl (2)'!Z146,'Compte résultat prévi'!$T$5,'Hypotheses expl (2)'!AA146)+SUMIF('Hypotheses expl (2)'!AB146,'Compte résultat prévi'!$T$5,'Hypotheses expl (2)'!AC146)</f>
        <v>9801.9803591592208</v>
      </c>
      <c r="U94" s="203"/>
      <c r="V94" s="204"/>
    </row>
    <row r="95" outlineLevel="1">
      <c r="A95" s="198" t="str">
        <f>'Hypotheses expl'!B147</f>
        <v xml:space="preserve">Charges patronales direction et administratif</v>
      </c>
      <c r="B95" s="234">
        <v>3</v>
      </c>
      <c r="C95" s="200">
        <f>+'Hypotheses expl'!O147</f>
        <v>101518.6523379991</v>
      </c>
      <c r="D95" s="201">
        <f>+SUMIF('Hypotheses expl'!R147,'Compte résultat prévi'!$D$5,'Hypotheses expl'!S147)+SUMIF('Hypotheses expl'!T147,'Compte résultat prévi'!$D$5,'Hypotheses expl'!U147)+SUMIF('Hypotheses expl'!V147,'Compte résultat prévi'!$D$5,'Hypotheses expl'!W147)+SUMIF('Hypotheses expl'!X147,'Compte résultat prévi'!$D$5,'Hypotheses expl'!Y147)+SUMIF('Hypotheses expl'!Z147,'Compte résultat prévi'!$D$5,'Hypotheses expl'!AA147)+SUMIF('Hypotheses expl'!AB147,'Compte résultat prévi'!$D$5,'Hypotheses expl'!AC147)</f>
        <v>10432.453702181336</v>
      </c>
      <c r="E95" s="201">
        <f>+SUMIF('Hypotheses expl'!R147,'Compte résultat prévi'!$E$5,'Hypotheses expl'!S147)+SUMIF('Hypotheses expl'!T147,'Compte résultat prévi'!$E$5,'Hypotheses expl'!U147)+SUMIF('Hypotheses expl'!V147,'Compte résultat prévi'!$E$5,'Hypotheses expl'!W147)+SUMIF('Hypotheses expl'!X147,'Compte résultat prévi'!$E$5,'Hypotheses expl'!Y147)+SUMIF('Hypotheses expl'!Z147,'Compte résultat prévi'!$E$5,'Hypotheses expl'!AA147)+SUMIF('Hypotheses expl'!AB147,'Compte résultat prévi'!$E$5,'Hypotheses expl'!AC147)</f>
        <v>11103.446994430711</v>
      </c>
      <c r="F95" s="201">
        <f>+SUMIF('Hypotheses expl'!R147,'Compte résultat prévi'!$F$5,'Hypotheses expl'!S147)+SUMIF('Hypotheses expl'!T147,'Compte résultat prévi'!$F$5,'Hypotheses expl'!U147)+SUMIF('Hypotheses expl'!V147,'Compte résultat prévi'!$F$5,'Hypotheses expl'!W147)+SUMIF('Hypotheses expl'!X147,'Compte résultat prévi'!$F$5,'Hypotheses expl'!Y147)+SUMIF('Hypotheses expl'!Z147,'Compte résultat prévi'!$F$5,'Hypotheses expl'!AA147)+SUMIF('Hypotheses expl'!AB147,'Compte résultat prévi'!$F$5,'Hypotheses expl'!AC147)</f>
        <v>0</v>
      </c>
      <c r="G95" s="201">
        <f>+SUMIF('Hypotheses expl'!R147,'Compte résultat prévi'!$G$5,'Hypotheses expl'!S147)+SUMIF('Hypotheses expl'!T147,'Compte résultat prévi'!$G$5,'Hypotheses expl'!U147)+SUMIF('Hypotheses expl'!V147,'Compte résultat prévi'!$G$5,'Hypotheses expl'!W147)+SUMIF('Hypotheses expl'!X147,'Compte résultat prévi'!$G$5,'Hypotheses expl'!Y147)+SUMIF('Hypotheses expl'!Z147,'Compte résultat prévi'!$G$5,'Hypotheses expl'!AA147)+SUMIF('Hypotheses expl'!AB147,'Compte résultat prévi'!$G$5,'Hypotheses expl'!AC147)</f>
        <v>0</v>
      </c>
      <c r="H95" s="202">
        <f>+SUMIF('Hypotheses expl'!R147,'Compte résultat prévi'!$H$5,'Hypotheses expl'!S147)+SUMIF('Hypotheses expl'!T147,'Compte résultat prévi'!$H$5,'Hypotheses expl'!U147)+SUMIF('Hypotheses expl'!V147,'Compte résultat prévi'!$H$5,'Hypotheses expl'!W147)+SUMIF('Hypotheses expl'!X147,'Compte résultat prévi'!$H$5,'Hypotheses expl'!Y147)+SUMIF('Hypotheses expl'!Z147,'Compte résultat prévi'!$H$5,'Hypotheses expl'!AA147)+SUMIF('Hypotheses expl'!AB147,'Compte résultat prévi'!$H$5,'Hypotheses expl'!AC147)</f>
        <v>98604.157908922934</v>
      </c>
      <c r="I95" s="200">
        <f>+'Hypotheses expl (3,)'!O147</f>
        <v>101273.17557485333</v>
      </c>
      <c r="J95" s="201">
        <f>+SUMIF('Hypotheses expl (3,)'!R147,'Compte résultat prévi'!$J$5,'Hypotheses expl (3,)'!S147)+SUMIF('Hypotheses expl (3,)'!T147,'Compte résultat prévi'!$J$5,'Hypotheses expl (3,)'!U147)+SUMIF('Hypotheses expl (3,)'!V147,'Compte résultat prévi'!$J$5,'Hypotheses expl (3,)'!W147)+SUMIF('Hypotheses expl (3,)'!X147,'Compte résultat prévi'!$J$5,'Hypotheses expl (3,)'!Y147)+SUMIF('Hypotheses expl (3,)'!Z147,'Compte résultat prévi'!$J$5,'Hypotheses expl (3,)'!AA147)+SUMIF('Hypotheses expl (3,)'!AB147,'Compte résultat prévi'!$J$5,'Hypotheses expl (3,)'!AC147)</f>
        <v>10432.453702181336</v>
      </c>
      <c r="K95" s="201">
        <f>+SUMIF('Hypotheses expl (3,)'!R147,'Compte résultat prévi'!$K$5,'Hypotheses expl (3,)'!S147)+SUMIF('Hypotheses expl (3,)'!T147,'Compte résultat prévi'!$K$5,'Hypotheses expl (3,)'!U147)+SUMIF('Hypotheses expl (3,)'!V147,'Compte résultat prévi'!$K$5,'Hypotheses expl (3,)'!W147)+SUMIF('Hypotheses expl (3,)'!X147,'Compte résultat prévi'!$K$5,'Hypotheses expl (3,)'!Y147)+SUMIF('Hypotheses expl (3,)'!Z147,'Compte résultat prévi'!$K$5,'Hypotheses expl (3,)'!AA147)+SUMIF('Hypotheses expl (3,)'!AB147,'Compte résultat prévi'!$K$5,'Hypotheses expl (3,)'!AC147)</f>
        <v>11103.446994430711</v>
      </c>
      <c r="L95" s="201">
        <f>+SUMIF('Hypotheses expl (3,)'!R147,'Compte résultat prévi'!$L$5,'Hypotheses expl (3,)'!S147)+SUMIF('Hypotheses expl (3,)'!T147,'Compte résultat prévi'!$L$5,'Hypotheses expl (3,)'!U147)+SUMIF('Hypotheses expl (3,)'!V147,'Compte résultat prévi'!$L$5,'Hypotheses expl (3,)'!W147)+SUMIF('Hypotheses expl (3,)'!X147,'Compte résultat prévi'!$L$5,'Hypotheses expl (3,)'!Y147)+SUMIF('Hypotheses expl (3,)'!Z147,'Compte résultat prévi'!$L$5,'Hypotheses expl (3,)'!AA147)+SUMIF('Hypotheses expl (3,)'!AB147,'Compte résultat prévi'!$L$5,'Hypotheses expl (3,)'!AC147)</f>
        <v>0</v>
      </c>
      <c r="M95" s="201">
        <f>+SUMIF('Hypotheses expl (3,)'!R147,'Compte résultat prévi'!$M$5,'Hypotheses expl (3,)'!S147)+SUMIF('Hypotheses expl (3,)'!T147,'Compte résultat prévi'!$M$5,'Hypotheses expl (3,)'!U147)+SUMIF('Hypotheses expl (3,)'!V147,'Compte résultat prévi'!$M$5,'Hypotheses expl (3,)'!W147)+SUMIF('Hypotheses expl (3,)'!X147,'Compte résultat prévi'!$M$5,'Hypotheses expl (3,)'!Y147)+SUMIF('Hypotheses expl (3,)'!Z147,'Compte résultat prévi'!$M$5,'Hypotheses expl (3,)'!AA147)+SUMIF('Hypotheses expl (3,)'!AB147,'Compte résultat prévi'!$M$5,'Hypotheses expl (3,)'!AC147)</f>
        <v>0</v>
      </c>
      <c r="N95" s="202">
        <f>+SUMIF('Hypotheses expl (3,)'!R147,'Compte résultat prévi'!$N$5,'Hypotheses expl (3,)'!S147)+SUMIF('Hypotheses expl (3,)'!T147,'Compte résultat prévi'!$N$5,'Hypotheses expl (3,)'!U147)+SUMIF('Hypotheses expl (3,)'!V147,'Compte résultat prévi'!$N$5,'Hypotheses expl (3,)'!W147)+SUMIF('Hypotheses expl (3,)'!X147,'Compte résultat prévi'!$N$5,'Hypotheses expl (3,)'!Y147)+SUMIF('Hypotheses expl (3,)'!Z147,'Compte résultat prévi'!$N$5,'Hypotheses expl (3,)'!AA147)+SUMIF('Hypotheses expl (3,)'!AB147,'Compte résultat prévi'!$N$5,'Hypotheses expl (3,)'!AC147)</f>
        <v>98604.157908922934</v>
      </c>
      <c r="O95" s="200">
        <f>+'Hypotheses expl (2)'!O147</f>
        <v>101273.17557485333</v>
      </c>
      <c r="P95" s="201">
        <f>+SUMIF('Hypotheses expl (2)'!R147,'Compte résultat prévi'!$P$5,'Hypotheses expl (2)'!S147)+SUMIF('Hypotheses expl (2)'!T147,'Compte résultat prévi'!$P$5,'Hypotheses expl (2)'!U147)+SUMIF('Hypotheses expl (2)'!V147,'Compte résultat prévi'!$P$5,'Hypotheses expl (2)'!W147)+SUMIF('Hypotheses expl (2)'!X147,'Compte résultat prévi'!$P$5,'Hypotheses expl (2)'!Y147)+SUMIF('Hypotheses expl (2)'!Z147,'Compte résultat prévi'!$P$5,'Hypotheses expl (2)'!AA147)+SUMIF('Hypotheses expl (2)'!AB147,'Compte résultat prévi'!$P$5,'Hypotheses expl (2)'!AC147)</f>
        <v>10432.453702181336</v>
      </c>
      <c r="Q95" s="201">
        <f>+SUMIF('Hypotheses expl (2)'!R147,'Compte résultat prévi'!$Q$5,'Hypotheses expl (2)'!S147)+SUMIF('Hypotheses expl (2)'!T147,'Compte résultat prévi'!$Q$5,'Hypotheses expl (2)'!U147)+SUMIF('Hypotheses expl (2)'!V147,'Compte résultat prévi'!$Q$5,'Hypotheses expl (2)'!W147)+SUMIF('Hypotheses expl (2)'!X147,'Compte résultat prévi'!$Q$5,'Hypotheses expl (2)'!Y147)+SUMIF('Hypotheses expl (2)'!Z147,'Compte résultat prévi'!$Q$5,'Hypotheses expl (2)'!AA147)+SUMIF('Hypotheses expl (2)'!AB147,'Compte résultat prévi'!$Q$5,'Hypotheses expl (2)'!AC147)</f>
        <v>11103.434393144424</v>
      </c>
      <c r="R95" s="201">
        <f>+SUMIF('Hypotheses expl (2)'!R147,'Compte résultat prévi'!$R$5,'Hypotheses expl (2)'!S147)+SUMIF('Hypotheses expl (2)'!T147,'Compte résultat prévi'!$R$5,'Hypotheses expl (2)'!U147)+SUMIF('Hypotheses expl (2)'!V147,'Compte résultat prévi'!$R$5,'Hypotheses expl (2)'!W147)+SUMIF('Hypotheses expl (2)'!X147,'Compte résultat prévi'!$R$5,'Hypotheses expl (2)'!Y147)+SUMIF('Hypotheses expl (2)'!Z147,'Compte résultat prévi'!$R$5,'Hypotheses expl (2)'!AA147)+SUMIF('Hypotheses expl (2)'!AB147,'Compte résultat prévi'!$R$5,'Hypotheses expl (2)'!AC147)</f>
        <v>5267.4200296220115</v>
      </c>
      <c r="S95" s="201">
        <f>+SUMIF('Hypotheses expl (2)'!R147,'Compte résultat prévi'!$S$5,'Hypotheses expl (2)'!S147)+SUMIF('Hypotheses expl (2)'!T147,'Compte résultat prévi'!$S$5,'Hypotheses expl (2)'!U147)+SUMIF('Hypotheses expl (2)'!V147,'Compte résultat prévi'!$S$5,'Hypotheses expl (2)'!W147)+SUMIF('Hypotheses expl (2)'!X147,'Compte résultat prévi'!$S$5,'Hypotheses expl (2)'!Y147)+SUMIF('Hypotheses expl (2)'!Z147,'Compte résultat prévi'!$S$5,'Hypotheses expl (2)'!AA147)+SUMIF('Hypotheses expl (2)'!AB147,'Compte résultat prévi'!$S$5,'Hypotheses expl (2)'!AC147)</f>
        <v>11250.971982589552</v>
      </c>
      <c r="T95" s="202">
        <f>+SUMIF('Hypotheses expl (2)'!R147,'Compte résultat prévi'!$T$5,'Hypotheses expl (2)'!S147)+SUMIF('Hypotheses expl (2)'!T147,'Compte résultat prévi'!$T$5,'Hypotheses expl (2)'!U147)+SUMIF('Hypotheses expl (2)'!V147,'Compte résultat prévi'!$T$5,'Hypotheses expl (2)'!W147)+SUMIF('Hypotheses expl (2)'!X147,'Compte résultat prévi'!$T$5,'Hypotheses expl (2)'!Y147)+SUMIF('Hypotheses expl (2)'!Z147,'Compte résultat prévi'!$T$5,'Hypotheses expl (2)'!AA147)+SUMIF('Hypotheses expl (2)'!AB147,'Compte résultat prévi'!$T$5,'Hypotheses expl (2)'!AC147)</f>
        <v>63218.882536584293</v>
      </c>
      <c r="U95" s="203"/>
      <c r="V95" s="204"/>
    </row>
    <row r="96" outlineLevel="1">
      <c r="A96" s="198" t="str">
        <f>'Hypotheses expl'!B148</f>
        <v xml:space="preserve">Charges patronales formateurs vacataires</v>
      </c>
      <c r="B96" s="234"/>
      <c r="C96" s="200">
        <f>+'Hypotheses expl'!O148</f>
        <v>40579.973280000006</v>
      </c>
      <c r="D96" s="201">
        <f>+SUMIF('Hypotheses expl'!R148,'Compte résultat prévi'!$D$5,'Hypotheses expl'!S148)+SUMIF('Hypotheses expl'!T148,'Compte résultat prévi'!$D$5,'Hypotheses expl'!U148)+SUMIF('Hypotheses expl'!V148,'Compte résultat prévi'!$D$5,'Hypotheses expl'!W148)+SUMIF('Hypotheses expl'!X148,'Compte résultat prévi'!$D$5,'Hypotheses expl'!Y148)+SUMIF('Hypotheses expl'!Z148,'Compte résultat prévi'!$D$5,'Hypotheses expl'!AA148)+SUMIF('Hypotheses expl'!AB148,'Compte résultat prévi'!$D$5,'Hypotheses expl'!AC148)</f>
        <v>21097.548297313435</v>
      </c>
      <c r="E96" s="201">
        <f>+SUMIF('Hypotheses expl'!R148,'Compte résultat prévi'!$E$5,'Hypotheses expl'!S148)+SUMIF('Hypotheses expl'!T148,'Compte résultat prévi'!$E$5,'Hypotheses expl'!U148)+SUMIF('Hypotheses expl'!V148,'Compte résultat prévi'!$E$5,'Hypotheses expl'!W148)+SUMIF('Hypotheses expl'!X148,'Compte résultat prévi'!$E$5,'Hypotheses expl'!Y148)+SUMIF('Hypotheses expl'!Z148,'Compte résultat prévi'!$E$5,'Hypotheses expl'!AA148)+SUMIF('Hypotheses expl'!AB148,'Compte résultat prévi'!$E$5,'Hypotheses expl'!AC148)</f>
        <v>8681.2878161194058</v>
      </c>
      <c r="F96" s="201">
        <f>+SUMIF('Hypotheses expl'!R148,'Compte résultat prévi'!$F$5,'Hypotheses expl'!S148)+SUMIF('Hypotheses expl'!T148,'Compte résultat prévi'!$F$5,'Hypotheses expl'!U148)+SUMIF('Hypotheses expl'!V148,'Compte résultat prévi'!$F$5,'Hypotheses expl'!W148)+SUMIF('Hypotheses expl'!X148,'Compte résultat prévi'!$F$5,'Hypotheses expl'!Y148)+SUMIF('Hypotheses expl'!Z148,'Compte résultat prévi'!$F$5,'Hypotheses expl'!AA148)+SUMIF('Hypotheses expl'!AB148,'Compte résultat prévi'!$F$5,'Hypotheses expl'!AC148)</f>
        <v>5753.876808358209</v>
      </c>
      <c r="G96" s="201">
        <f>+SUMIF('Hypotheses expl'!R148,'Compte résultat prévi'!$G$5,'Hypotheses expl'!S148)+SUMIF('Hypotheses expl'!T148,'Compte résultat prévi'!$G$5,'Hypotheses expl'!U148)+SUMIF('Hypotheses expl'!V148,'Compte résultat prévi'!$G$5,'Hypotheses expl'!W148)+SUMIF('Hypotheses expl'!X148,'Compte résultat prévi'!$G$5,'Hypotheses expl'!Y148)+SUMIF('Hypotheses expl'!Z148,'Compte résultat prévi'!$G$5,'Hypotheses expl'!AA148)+SUMIF('Hypotheses expl'!AB148,'Compte résultat prévi'!$G$5,'Hypotheses expl'!AC148)</f>
        <v>5047.2603582089569</v>
      </c>
      <c r="H96" s="202">
        <f>+SUMIF('Hypotheses expl'!R148,'Compte résultat prévi'!$H$5,'Hypotheses expl'!S148)+SUMIF('Hypotheses expl'!T148,'Compte résultat prévi'!$H$5,'Hypotheses expl'!U148)+SUMIF('Hypotheses expl'!V148,'Compte résultat prévi'!$H$5,'Hypotheses expl'!W148)+SUMIF('Hypotheses expl'!X148,'Compte résultat prévi'!$H$5,'Hypotheses expl'!Y148)+SUMIF('Hypotheses expl'!Z148,'Compte résultat prévi'!$H$5,'Hypotheses expl'!AA148)+SUMIF('Hypotheses expl'!AB148,'Compte résultat prévi'!$H$5,'Hypotheses expl'!AC148)</f>
        <v>0</v>
      </c>
      <c r="I96" s="200">
        <f>+'Hypotheses expl (3,)'!O148</f>
        <v>40579.973280000006</v>
      </c>
      <c r="J96" s="201">
        <f>+SUMIF('Hypotheses expl (3,)'!R148,'Compte résultat prévi'!$J$5,'Hypotheses expl (3,)'!S148)+SUMIF('Hypotheses expl (3,)'!T148,'Compte résultat prévi'!$J$5,'Hypotheses expl (3,)'!U148)+SUMIF('Hypotheses expl (3,)'!V148,'Compte résultat prévi'!$J$5,'Hypotheses expl (3,)'!W148)+SUMIF('Hypotheses expl (3,)'!X148,'Compte résultat prévi'!$J$5,'Hypotheses expl (3,)'!Y148)+SUMIF('Hypotheses expl (3,)'!Z148,'Compte résultat prévi'!$J$5,'Hypotheses expl (3,)'!AA148)+SUMIF('Hypotheses expl (3,)'!AB148,'Compte résultat prévi'!$J$5,'Hypotheses expl (3,)'!AC148)</f>
        <v>21097.548297313435</v>
      </c>
      <c r="K96" s="201">
        <f>+SUMIF('Hypotheses expl (3,)'!R148,'Compte résultat prévi'!$K$5,'Hypotheses expl (3,)'!S148)+SUMIF('Hypotheses expl (3,)'!T148,'Compte résultat prévi'!$K$5,'Hypotheses expl (3,)'!U148)+SUMIF('Hypotheses expl (3,)'!V148,'Compte résultat prévi'!$K$5,'Hypotheses expl (3,)'!W148)+SUMIF('Hypotheses expl (3,)'!X148,'Compte résultat prévi'!$K$5,'Hypotheses expl (3,)'!Y148)+SUMIF('Hypotheses expl (3,)'!Z148,'Compte résultat prévi'!$K$5,'Hypotheses expl (3,)'!AA148)+SUMIF('Hypotheses expl (3,)'!AB148,'Compte résultat prévi'!$K$5,'Hypotheses expl (3,)'!AC148)</f>
        <v>8681.2878161194058</v>
      </c>
      <c r="L96" s="201">
        <f>+SUMIF('Hypotheses expl (3,)'!R148,'Compte résultat prévi'!$L$5,'Hypotheses expl (3,)'!S148)+SUMIF('Hypotheses expl (3,)'!T148,'Compte résultat prévi'!$L$5,'Hypotheses expl (3,)'!U148)+SUMIF('Hypotheses expl (3,)'!V148,'Compte résultat prévi'!$L$5,'Hypotheses expl (3,)'!W148)+SUMIF('Hypotheses expl (3,)'!X148,'Compte résultat prévi'!$L$5,'Hypotheses expl (3,)'!Y148)+SUMIF('Hypotheses expl (3,)'!Z148,'Compte résultat prévi'!$L$5,'Hypotheses expl (3,)'!AA148)+SUMIF('Hypotheses expl (3,)'!AB148,'Compte résultat prévi'!$L$5,'Hypotheses expl (3,)'!AC148)</f>
        <v>5753.876808358209</v>
      </c>
      <c r="M96" s="201">
        <f>+SUMIF('Hypotheses expl (3,)'!R148,'Compte résultat prévi'!$M$5,'Hypotheses expl (3,)'!S148)+SUMIF('Hypotheses expl (3,)'!T148,'Compte résultat prévi'!$M$5,'Hypotheses expl (3,)'!U148)+SUMIF('Hypotheses expl (3,)'!V148,'Compte résultat prévi'!$M$5,'Hypotheses expl (3,)'!W148)+SUMIF('Hypotheses expl (3,)'!X148,'Compte résultat prévi'!$M$5,'Hypotheses expl (3,)'!Y148)+SUMIF('Hypotheses expl (3,)'!Z148,'Compte résultat prévi'!$M$5,'Hypotheses expl (3,)'!AA148)+SUMIF('Hypotheses expl (3,)'!AB148,'Compte résultat prévi'!$M$5,'Hypotheses expl (3,)'!AC148)</f>
        <v>5047.2603582089569</v>
      </c>
      <c r="N96" s="202">
        <f>+SUMIF('Hypotheses expl (3,)'!R148,'Compte résultat prévi'!$N$5,'Hypotheses expl (3,)'!S148)+SUMIF('Hypotheses expl (3,)'!T148,'Compte résultat prévi'!$N$5,'Hypotheses expl (3,)'!U148)+SUMIF('Hypotheses expl (3,)'!V148,'Compte résultat prévi'!$N$5,'Hypotheses expl (3,)'!W148)+SUMIF('Hypotheses expl (3,)'!X148,'Compte résultat prévi'!$N$5,'Hypotheses expl (3,)'!Y148)+SUMIF('Hypotheses expl (3,)'!Z148,'Compte résultat prévi'!$N$5,'Hypotheses expl (3,)'!AA148)+SUMIF('Hypotheses expl (3,)'!AB148,'Compte résultat prévi'!$N$5,'Hypotheses expl (3,)'!AC148)</f>
        <v>0</v>
      </c>
      <c r="O96" s="200">
        <f>+'Hypotheses expl (2)'!O148</f>
        <v>40579.973280000006</v>
      </c>
      <c r="P96" s="201">
        <f>+SUMIF('Hypotheses expl (2)'!R148,'Compte résultat prévi'!$P$5,'Hypotheses expl (2)'!S148)+SUMIF('Hypotheses expl (2)'!T148,'Compte résultat prévi'!$P$5,'Hypotheses expl (2)'!U148)+SUMIF('Hypotheses expl (2)'!V148,'Compte résultat prévi'!$P$5,'Hypotheses expl (2)'!W148)+SUMIF('Hypotheses expl (2)'!X148,'Compte résultat prévi'!$P$5,'Hypotheses expl (2)'!Y148)+SUMIF('Hypotheses expl (2)'!Z148,'Compte résultat prévi'!$P$5,'Hypotheses expl (2)'!AA148)+SUMIF('Hypotheses expl (2)'!AB148,'Compte résultat prévi'!$P$5,'Hypotheses expl (2)'!AC148)</f>
        <v>21097.548297313435</v>
      </c>
      <c r="Q96" s="201">
        <f>+SUMIF('Hypotheses expl (2)'!R148,'Compte résultat prévi'!$Q$5,'Hypotheses expl (2)'!S148)+SUMIF('Hypotheses expl (2)'!T148,'Compte résultat prévi'!$Q$5,'Hypotheses expl (2)'!U148)+SUMIF('Hypotheses expl (2)'!V148,'Compte résultat prévi'!$Q$5,'Hypotheses expl (2)'!W148)+SUMIF('Hypotheses expl (2)'!X148,'Compte résultat prévi'!$Q$5,'Hypotheses expl (2)'!Y148)+SUMIF('Hypotheses expl (2)'!Z148,'Compte résultat prévi'!$Q$5,'Hypotheses expl (2)'!AA148)+SUMIF('Hypotheses expl (2)'!AB148,'Compte résultat prévi'!$Q$5,'Hypotheses expl (2)'!AC148)</f>
        <v>8681.2878161194058</v>
      </c>
      <c r="R96" s="201">
        <f>+SUMIF('Hypotheses expl (2)'!R148,'Compte résultat prévi'!$R$5,'Hypotheses expl (2)'!S148)+SUMIF('Hypotheses expl (2)'!T148,'Compte résultat prévi'!$R$5,'Hypotheses expl (2)'!U148)+SUMIF('Hypotheses expl (2)'!V148,'Compte résultat prévi'!$R$5,'Hypotheses expl (2)'!W148)+SUMIF('Hypotheses expl (2)'!X148,'Compte résultat prévi'!$R$5,'Hypotheses expl (2)'!Y148)+SUMIF('Hypotheses expl (2)'!Z148,'Compte résultat prévi'!$R$5,'Hypotheses expl (2)'!AA148)+SUMIF('Hypotheses expl (2)'!AB148,'Compte résultat prévi'!$R$5,'Hypotheses expl (2)'!AC148)</f>
        <v>5753.876808358209</v>
      </c>
      <c r="S96" s="201">
        <f>+SUMIF('Hypotheses expl (2)'!R148,'Compte résultat prévi'!$S$5,'Hypotheses expl (2)'!S148)+SUMIF('Hypotheses expl (2)'!T148,'Compte résultat prévi'!$S$5,'Hypotheses expl (2)'!U148)+SUMIF('Hypotheses expl (2)'!V148,'Compte résultat prévi'!$S$5,'Hypotheses expl (2)'!W148)+SUMIF('Hypotheses expl (2)'!X148,'Compte résultat prévi'!$S$5,'Hypotheses expl (2)'!Y148)+SUMIF('Hypotheses expl (2)'!Z148,'Compte résultat prévi'!$S$5,'Hypotheses expl (2)'!AA148)+SUMIF('Hypotheses expl (2)'!AB148,'Compte résultat prévi'!$S$5,'Hypotheses expl (2)'!AC148)</f>
        <v>5047.2603582089569</v>
      </c>
      <c r="T96" s="202">
        <f>+SUMIF('Hypotheses expl (2)'!R148,'Compte résultat prévi'!$T$5,'Hypotheses expl (2)'!S148)+SUMIF('Hypotheses expl (2)'!T148,'Compte résultat prévi'!$T$5,'Hypotheses expl (2)'!U148)+SUMIF('Hypotheses expl (2)'!V148,'Compte résultat prévi'!$T$5,'Hypotheses expl (2)'!W148)+SUMIF('Hypotheses expl (2)'!X148,'Compte résultat prévi'!$T$5,'Hypotheses expl (2)'!Y148)+SUMIF('Hypotheses expl (2)'!Z148,'Compte résultat prévi'!$T$5,'Hypotheses expl (2)'!AA148)+SUMIF('Hypotheses expl (2)'!AB148,'Compte résultat prévi'!$T$5,'Hypotheses expl (2)'!AC148)</f>
        <v>0</v>
      </c>
      <c r="U96" s="203"/>
      <c r="V96" s="204"/>
    </row>
    <row r="97" outlineLevel="1">
      <c r="A97" s="198" t="str">
        <f>'Hypotheses expl'!B149</f>
        <v>Mutuelles</v>
      </c>
      <c r="B97" s="234">
        <v>3</v>
      </c>
      <c r="C97" s="236">
        <f>+'Hypotheses expl'!O149</f>
        <v>34800</v>
      </c>
      <c r="D97" s="201">
        <f>+SUMIF('Hypotheses expl'!R149,'Compte résultat prévi'!$D$5,'Hypotheses expl'!S149)+SUMIF('Hypotheses expl'!T149,'Compte résultat prévi'!$D$5,'Hypotheses expl'!U149)+SUMIF('Hypotheses expl'!V149,'Compte résultat prévi'!$D$5,'Hypotheses expl'!W149)+SUMIF('Hypotheses expl'!X149,'Compte résultat prévi'!$D$5,'Hypotheses expl'!Y149)+SUMIF('Hypotheses expl'!Z149,'Compte résultat prévi'!$D$5,'Hypotheses expl'!AA149)+SUMIF('Hypotheses expl'!AB149,'Compte résultat prévi'!$D$5,'Hypotheses expl'!AC149)</f>
        <v>0</v>
      </c>
      <c r="E97" s="201">
        <f>+SUMIF('Hypotheses expl'!R149,'Compte résultat prévi'!$E$5,'Hypotheses expl'!S149)+SUMIF('Hypotheses expl'!T149,'Compte résultat prévi'!$E$5,'Hypotheses expl'!U149)+SUMIF('Hypotheses expl'!V149,'Compte résultat prévi'!$E$5,'Hypotheses expl'!W149)+SUMIF('Hypotheses expl'!X149,'Compte résultat prévi'!$E$5,'Hypotheses expl'!Y149)+SUMIF('Hypotheses expl'!Z149,'Compte résultat prévi'!$E$5,'Hypotheses expl'!AA149)+SUMIF('Hypotheses expl'!AB149,'Compte résultat prévi'!$E$5,'Hypotheses expl'!AC149)</f>
        <v>0</v>
      </c>
      <c r="F97" s="201">
        <f>+SUMIF('Hypotheses expl'!R149,'Compte résultat prévi'!$F$5,'Hypotheses expl'!S149)+SUMIF('Hypotheses expl'!T149,'Compte résultat prévi'!$F$5,'Hypotheses expl'!U149)+SUMIF('Hypotheses expl'!V149,'Compte résultat prévi'!$F$5,'Hypotheses expl'!W149)+SUMIF('Hypotheses expl'!X149,'Compte résultat prévi'!$F$5,'Hypotheses expl'!Y149)+SUMIF('Hypotheses expl'!Z149,'Compte résultat prévi'!$F$5,'Hypotheses expl'!AA149)+SUMIF('Hypotheses expl'!AB149,'Compte résultat prévi'!$F$5,'Hypotheses expl'!AC149)</f>
        <v>0</v>
      </c>
      <c r="G97" s="201">
        <f>+SUMIF('Hypotheses expl'!R149,'Compte résultat prévi'!$G$5,'Hypotheses expl'!S149)+SUMIF('Hypotheses expl'!T149,'Compte résultat prévi'!$G$5,'Hypotheses expl'!U149)+SUMIF('Hypotheses expl'!V149,'Compte résultat prévi'!$G$5,'Hypotheses expl'!W149)+SUMIF('Hypotheses expl'!X149,'Compte résultat prévi'!$G$5,'Hypotheses expl'!Y149)+SUMIF('Hypotheses expl'!Z149,'Compte résultat prévi'!$G$5,'Hypotheses expl'!AA149)+SUMIF('Hypotheses expl'!AB149,'Compte résultat prévi'!$G$5,'Hypotheses expl'!AC149)</f>
        <v>0</v>
      </c>
      <c r="H97" s="202">
        <f>+SUMIF('Hypotheses expl'!R149,'Compte résultat prévi'!$H$5,'Hypotheses expl'!S149)+SUMIF('Hypotheses expl'!T149,'Compte résultat prévi'!$H$5,'Hypotheses expl'!U149)+SUMIF('Hypotheses expl'!V149,'Compte résultat prévi'!$H$5,'Hypotheses expl'!W149)+SUMIF('Hypotheses expl'!X149,'Compte résultat prévi'!$H$5,'Hypotheses expl'!Y149)+SUMIF('Hypotheses expl'!Z149,'Compte résultat prévi'!$H$5,'Hypotheses expl'!AA149)+SUMIF('Hypotheses expl'!AB149,'Compte résultat prévi'!$H$5,'Hypotheses expl'!AC149)</f>
        <v>34800</v>
      </c>
      <c r="I97" s="200">
        <f>+'Hypotheses expl (3,)'!O149</f>
        <v>34800</v>
      </c>
      <c r="J97" s="201">
        <f>+SUMIF('Hypotheses expl (3,)'!R149,'Compte résultat prévi'!$J$5,'Hypotheses expl (3,)'!S149)+SUMIF('Hypotheses expl (3,)'!T149,'Compte résultat prévi'!$J$5,'Hypotheses expl (3,)'!U149)+SUMIF('Hypotheses expl (3,)'!V149,'Compte résultat prévi'!$J$5,'Hypotheses expl (3,)'!W149)+SUMIF('Hypotheses expl (3,)'!X149,'Compte résultat prévi'!$J$5,'Hypotheses expl (3,)'!Y149)+SUMIF('Hypotheses expl (3,)'!Z149,'Compte résultat prévi'!$J$5,'Hypotheses expl (3,)'!AA149)+SUMIF('Hypotheses expl (3,)'!AB149,'Compte résultat prévi'!$J$5,'Hypotheses expl (3,)'!AC149)</f>
        <v>0</v>
      </c>
      <c r="K97" s="201">
        <f>+SUMIF('Hypotheses expl (3,)'!R149,'Compte résultat prévi'!$K$5,'Hypotheses expl (3,)'!S149)+SUMIF('Hypotheses expl (3,)'!T149,'Compte résultat prévi'!$K$5,'Hypotheses expl (3,)'!U149)+SUMIF('Hypotheses expl (3,)'!V149,'Compte résultat prévi'!$K$5,'Hypotheses expl (3,)'!W149)+SUMIF('Hypotheses expl (3,)'!X149,'Compte résultat prévi'!$K$5,'Hypotheses expl (3,)'!Y149)+SUMIF('Hypotheses expl (3,)'!Z149,'Compte résultat prévi'!$K$5,'Hypotheses expl (3,)'!AA149)+SUMIF('Hypotheses expl (3,)'!AB149,'Compte résultat prévi'!$K$5,'Hypotheses expl (3,)'!AC149)</f>
        <v>0</v>
      </c>
      <c r="L97" s="201">
        <f>+SUMIF('Hypotheses expl (3,)'!R149,'Compte résultat prévi'!$L$5,'Hypotheses expl (3,)'!S149)+SUMIF('Hypotheses expl (3,)'!T149,'Compte résultat prévi'!$L$5,'Hypotheses expl (3,)'!U149)+SUMIF('Hypotheses expl (3,)'!V149,'Compte résultat prévi'!$L$5,'Hypotheses expl (3,)'!W149)+SUMIF('Hypotheses expl (3,)'!X149,'Compte résultat prévi'!$L$5,'Hypotheses expl (3,)'!Y149)+SUMIF('Hypotheses expl (3,)'!Z149,'Compte résultat prévi'!$L$5,'Hypotheses expl (3,)'!AA149)+SUMIF('Hypotheses expl (3,)'!AB149,'Compte résultat prévi'!$L$5,'Hypotheses expl (3,)'!AC149)</f>
        <v>0</v>
      </c>
      <c r="M97" s="201">
        <f>+SUMIF('Hypotheses expl (3,)'!R149,'Compte résultat prévi'!$M$5,'Hypotheses expl (3,)'!S149)+SUMIF('Hypotheses expl (3,)'!T149,'Compte résultat prévi'!$M$5,'Hypotheses expl (3,)'!U149)+SUMIF('Hypotheses expl (3,)'!V149,'Compte résultat prévi'!$M$5,'Hypotheses expl (3,)'!W149)+SUMIF('Hypotheses expl (3,)'!X149,'Compte résultat prévi'!$M$5,'Hypotheses expl (3,)'!Y149)+SUMIF('Hypotheses expl (3,)'!Z149,'Compte résultat prévi'!$M$5,'Hypotheses expl (3,)'!AA149)+SUMIF('Hypotheses expl (3,)'!AB149,'Compte résultat prévi'!$M$5,'Hypotheses expl (3,)'!AC149)</f>
        <v>0</v>
      </c>
      <c r="N97" s="202">
        <f>+SUMIF('Hypotheses expl (3,)'!R149,'Compte résultat prévi'!$N$5,'Hypotheses expl (3,)'!S149)+SUMIF('Hypotheses expl (3,)'!T149,'Compte résultat prévi'!$N$5,'Hypotheses expl (3,)'!U149)+SUMIF('Hypotheses expl (3,)'!V149,'Compte résultat prévi'!$N$5,'Hypotheses expl (3,)'!W149)+SUMIF('Hypotheses expl (3,)'!X149,'Compte résultat prévi'!$N$5,'Hypotheses expl (3,)'!Y149)+SUMIF('Hypotheses expl (3,)'!Z149,'Compte résultat prévi'!$N$5,'Hypotheses expl (3,)'!AA149)+SUMIF('Hypotheses expl (3,)'!AB149,'Compte résultat prévi'!$N$5,'Hypotheses expl (3,)'!AC149)</f>
        <v>34800</v>
      </c>
      <c r="O97" s="200">
        <f>+'Hypotheses expl (2)'!O149</f>
        <v>34800</v>
      </c>
      <c r="P97" s="201">
        <f>+SUMIF('Hypotheses expl (2)'!R149,'Compte résultat prévi'!$P$5,'Hypotheses expl (2)'!S149)+SUMIF('Hypotheses expl (2)'!T149,'Compte résultat prévi'!$P$5,'Hypotheses expl (2)'!U149)+SUMIF('Hypotheses expl (2)'!V149,'Compte résultat prévi'!$P$5,'Hypotheses expl (2)'!W149)+SUMIF('Hypotheses expl (2)'!X149,'Compte résultat prévi'!$P$5,'Hypotheses expl (2)'!Y149)+SUMIF('Hypotheses expl (2)'!Z149,'Compte résultat prévi'!$P$5,'Hypotheses expl (2)'!AA149)+SUMIF('Hypotheses expl (2)'!AB149,'Compte résultat prévi'!$P$5,'Hypotheses expl (2)'!AC149)</f>
        <v>0</v>
      </c>
      <c r="Q97" s="201">
        <f>+SUMIF('Hypotheses expl (2)'!R149,'Compte résultat prévi'!$Q$5,'Hypotheses expl (2)'!S149)+SUMIF('Hypotheses expl (2)'!T149,'Compte résultat prévi'!$Q$5,'Hypotheses expl (2)'!U149)+SUMIF('Hypotheses expl (2)'!V149,'Compte résultat prévi'!$Q$5,'Hypotheses expl (2)'!W149)+SUMIF('Hypotheses expl (2)'!X149,'Compte résultat prévi'!$Q$5,'Hypotheses expl (2)'!Y149)+SUMIF('Hypotheses expl (2)'!Z149,'Compte résultat prévi'!$Q$5,'Hypotheses expl (2)'!AA149)+SUMIF('Hypotheses expl (2)'!AB149,'Compte résultat prévi'!$Q$5,'Hypotheses expl (2)'!AC149)</f>
        <v>0</v>
      </c>
      <c r="R97" s="201">
        <f>+SUMIF('Hypotheses expl (2)'!R149,'Compte résultat prévi'!$R$5,'Hypotheses expl (2)'!S149)+SUMIF('Hypotheses expl (2)'!T149,'Compte résultat prévi'!$R$5,'Hypotheses expl (2)'!U149)+SUMIF('Hypotheses expl (2)'!V149,'Compte résultat prévi'!$R$5,'Hypotheses expl (2)'!W149)+SUMIF('Hypotheses expl (2)'!X149,'Compte résultat prévi'!$R$5,'Hypotheses expl (2)'!Y149)+SUMIF('Hypotheses expl (2)'!Z149,'Compte résultat prévi'!$R$5,'Hypotheses expl (2)'!AA149)+SUMIF('Hypotheses expl (2)'!AB149,'Compte résultat prévi'!$R$5,'Hypotheses expl (2)'!AC149)</f>
        <v>0</v>
      </c>
      <c r="S97" s="201">
        <f>+SUMIF('Hypotheses expl (2)'!R149,'Compte résultat prévi'!$S$5,'Hypotheses expl (2)'!S149)+SUMIF('Hypotheses expl (2)'!T149,'Compte résultat prévi'!$S$5,'Hypotheses expl (2)'!U149)+SUMIF('Hypotheses expl (2)'!V149,'Compte résultat prévi'!$S$5,'Hypotheses expl (2)'!W149)+SUMIF('Hypotheses expl (2)'!X149,'Compte résultat prévi'!$S$5,'Hypotheses expl (2)'!Y149)+SUMIF('Hypotheses expl (2)'!Z149,'Compte résultat prévi'!$S$5,'Hypotheses expl (2)'!AA149)+SUMIF('Hypotheses expl (2)'!AB149,'Compte résultat prévi'!$S$5,'Hypotheses expl (2)'!AC149)</f>
        <v>0</v>
      </c>
      <c r="T97" s="202">
        <f>+SUMIF('Hypotheses expl (2)'!R149,'Compte résultat prévi'!$T$5,'Hypotheses expl (2)'!S149)+SUMIF('Hypotheses expl (2)'!T149,'Compte résultat prévi'!$T$5,'Hypotheses expl (2)'!U149)+SUMIF('Hypotheses expl (2)'!V149,'Compte résultat prévi'!$T$5,'Hypotheses expl (2)'!W149)+SUMIF('Hypotheses expl (2)'!X149,'Compte résultat prévi'!$T$5,'Hypotheses expl (2)'!Y149)+SUMIF('Hypotheses expl (2)'!Z149,'Compte résultat prévi'!$T$5,'Hypotheses expl (2)'!AA149)+SUMIF('Hypotheses expl (2)'!AB149,'Compte résultat prévi'!$T$5,'Hypotheses expl (2)'!AC149)</f>
        <v>34800</v>
      </c>
      <c r="U97" s="203"/>
      <c r="V97" s="204"/>
    </row>
    <row r="98" outlineLevel="1">
      <c r="A98" s="198" t="str">
        <f>'Hypotheses expl'!B150</f>
        <v xml:space="preserve">Médecine du travail</v>
      </c>
      <c r="B98" s="234"/>
      <c r="C98" s="200">
        <f>+'Hypotheses expl'!O150</f>
        <v>0</v>
      </c>
      <c r="D98" s="201">
        <f>+SUMIF('Hypotheses expl'!R150,'Compte résultat prévi'!$D$5,'Hypotheses expl'!S150)+SUMIF('Hypotheses expl'!T150,'Compte résultat prévi'!$D$5,'Hypotheses expl'!U150)+SUMIF('Hypotheses expl'!V150,'Compte résultat prévi'!$D$5,'Hypotheses expl'!W150)+SUMIF('Hypotheses expl'!X150,'Compte résultat prévi'!$D$5,'Hypotheses expl'!Y150)+SUMIF('Hypotheses expl'!Z150,'Compte résultat prévi'!$D$5,'Hypotheses expl'!AA150)+SUMIF('Hypotheses expl'!AB150,'Compte résultat prévi'!$D$5,'Hypotheses expl'!AC150)</f>
        <v>0</v>
      </c>
      <c r="E98" s="201">
        <f>+SUMIF('Hypotheses expl'!R150,'Compte résultat prévi'!$E$5,'Hypotheses expl'!S150)+SUMIF('Hypotheses expl'!T150,'Compte résultat prévi'!$E$5,'Hypotheses expl'!U150)+SUMIF('Hypotheses expl'!V150,'Compte résultat prévi'!$E$5,'Hypotheses expl'!W150)+SUMIF('Hypotheses expl'!X150,'Compte résultat prévi'!$E$5,'Hypotheses expl'!Y150)+SUMIF('Hypotheses expl'!Z150,'Compte résultat prévi'!$E$5,'Hypotheses expl'!AA150)+SUMIF('Hypotheses expl'!AB150,'Compte résultat prévi'!$E$5,'Hypotheses expl'!AC150)</f>
        <v>0</v>
      </c>
      <c r="F98" s="201">
        <f>+SUMIF('Hypotheses expl'!R150,'Compte résultat prévi'!$F$5,'Hypotheses expl'!S150)+SUMIF('Hypotheses expl'!T150,'Compte résultat prévi'!$F$5,'Hypotheses expl'!U150)+SUMIF('Hypotheses expl'!V150,'Compte résultat prévi'!$F$5,'Hypotheses expl'!W150)+SUMIF('Hypotheses expl'!X150,'Compte résultat prévi'!$F$5,'Hypotheses expl'!Y150)+SUMIF('Hypotheses expl'!Z150,'Compte résultat prévi'!$F$5,'Hypotheses expl'!AA150)+SUMIF('Hypotheses expl'!AB150,'Compte résultat prévi'!$F$5,'Hypotheses expl'!AC150)</f>
        <v>0</v>
      </c>
      <c r="G98" s="201">
        <f>+SUMIF('Hypotheses expl'!R150,'Compte résultat prévi'!$G$5,'Hypotheses expl'!S150)+SUMIF('Hypotheses expl'!T150,'Compte résultat prévi'!$G$5,'Hypotheses expl'!U150)+SUMIF('Hypotheses expl'!V150,'Compte résultat prévi'!$G$5,'Hypotheses expl'!W150)+SUMIF('Hypotheses expl'!X150,'Compte résultat prévi'!$G$5,'Hypotheses expl'!Y150)+SUMIF('Hypotheses expl'!Z150,'Compte résultat prévi'!$G$5,'Hypotheses expl'!AA150)+SUMIF('Hypotheses expl'!AB150,'Compte résultat prévi'!$G$5,'Hypotheses expl'!AC150)</f>
        <v>0</v>
      </c>
      <c r="H98" s="202">
        <f>+SUMIF('Hypotheses expl'!R150,'Compte résultat prévi'!$H$5,'Hypotheses expl'!S150)+SUMIF('Hypotheses expl'!T150,'Compte résultat prévi'!$H$5,'Hypotheses expl'!U150)+SUMIF('Hypotheses expl'!V150,'Compte résultat prévi'!$H$5,'Hypotheses expl'!W150)+SUMIF('Hypotheses expl'!X150,'Compte résultat prévi'!$H$5,'Hypotheses expl'!Y150)+SUMIF('Hypotheses expl'!Z150,'Compte résultat prévi'!$H$5,'Hypotheses expl'!AA150)+SUMIF('Hypotheses expl'!AB150,'Compte résultat prévi'!$H$5,'Hypotheses expl'!AC150)</f>
        <v>0</v>
      </c>
      <c r="I98" s="200">
        <f>+'Hypotheses expl (3,)'!O150</f>
        <v>0</v>
      </c>
      <c r="J98" s="201">
        <f>+SUMIF('Hypotheses expl (3,)'!R150,'Compte résultat prévi'!$J$5,'Hypotheses expl (3,)'!S150)+SUMIF('Hypotheses expl (3,)'!T150,'Compte résultat prévi'!$J$5,'Hypotheses expl (3,)'!U150)+SUMIF('Hypotheses expl (3,)'!V150,'Compte résultat prévi'!$J$5,'Hypotheses expl (3,)'!W150)+SUMIF('Hypotheses expl (3,)'!X150,'Compte résultat prévi'!$J$5,'Hypotheses expl (3,)'!Y150)+SUMIF('Hypotheses expl (3,)'!Z150,'Compte résultat prévi'!$J$5,'Hypotheses expl (3,)'!AA150)+SUMIF('Hypotheses expl (3,)'!AB150,'Compte résultat prévi'!$J$5,'Hypotheses expl (3,)'!AC150)</f>
        <v>0</v>
      </c>
      <c r="K98" s="201">
        <f>+SUMIF('Hypotheses expl (3,)'!R150,'Compte résultat prévi'!$K$5,'Hypotheses expl (3,)'!S150)+SUMIF('Hypotheses expl (3,)'!T150,'Compte résultat prévi'!$K$5,'Hypotheses expl (3,)'!U150)+SUMIF('Hypotheses expl (3,)'!V150,'Compte résultat prévi'!$K$5,'Hypotheses expl (3,)'!W150)+SUMIF('Hypotheses expl (3,)'!X150,'Compte résultat prévi'!$K$5,'Hypotheses expl (3,)'!Y150)+SUMIF('Hypotheses expl (3,)'!Z150,'Compte résultat prévi'!$K$5,'Hypotheses expl (3,)'!AA150)+SUMIF('Hypotheses expl (3,)'!AB150,'Compte résultat prévi'!$K$5,'Hypotheses expl (3,)'!AC150)</f>
        <v>0</v>
      </c>
      <c r="L98" s="201">
        <f>+SUMIF('Hypotheses expl (3,)'!R150,'Compte résultat prévi'!$L$5,'Hypotheses expl (3,)'!S150)+SUMIF('Hypotheses expl (3,)'!T150,'Compte résultat prévi'!$L$5,'Hypotheses expl (3,)'!U150)+SUMIF('Hypotheses expl (3,)'!V150,'Compte résultat prévi'!$L$5,'Hypotheses expl (3,)'!W150)+SUMIF('Hypotheses expl (3,)'!X150,'Compte résultat prévi'!$L$5,'Hypotheses expl (3,)'!Y150)+SUMIF('Hypotheses expl (3,)'!Z150,'Compte résultat prévi'!$L$5,'Hypotheses expl (3,)'!AA150)+SUMIF('Hypotheses expl (3,)'!AB150,'Compte résultat prévi'!$L$5,'Hypotheses expl (3,)'!AC150)</f>
        <v>0</v>
      </c>
      <c r="M98" s="201">
        <f>+SUMIF('Hypotheses expl (3,)'!R150,'Compte résultat prévi'!$M$5,'Hypotheses expl (3,)'!S150)+SUMIF('Hypotheses expl (3,)'!T150,'Compte résultat prévi'!$M$5,'Hypotheses expl (3,)'!U150)+SUMIF('Hypotheses expl (3,)'!V150,'Compte résultat prévi'!$M$5,'Hypotheses expl (3,)'!W150)+SUMIF('Hypotheses expl (3,)'!X150,'Compte résultat prévi'!$M$5,'Hypotheses expl (3,)'!Y150)+SUMIF('Hypotheses expl (3,)'!Z150,'Compte résultat prévi'!$M$5,'Hypotheses expl (3,)'!AA150)+SUMIF('Hypotheses expl (3,)'!AB150,'Compte résultat prévi'!$M$5,'Hypotheses expl (3,)'!AC150)</f>
        <v>0</v>
      </c>
      <c r="N98" s="202">
        <f>+SUMIF('Hypotheses expl (3,)'!R150,'Compte résultat prévi'!$N$5,'Hypotheses expl (3,)'!S150)+SUMIF('Hypotheses expl (3,)'!T150,'Compte résultat prévi'!$N$5,'Hypotheses expl (3,)'!U150)+SUMIF('Hypotheses expl (3,)'!V150,'Compte résultat prévi'!$N$5,'Hypotheses expl (3,)'!W150)+SUMIF('Hypotheses expl (3,)'!X150,'Compte résultat prévi'!$N$5,'Hypotheses expl (3,)'!Y150)+SUMIF('Hypotheses expl (3,)'!Z150,'Compte résultat prévi'!$N$5,'Hypotheses expl (3,)'!AA150)+SUMIF('Hypotheses expl (3,)'!AB150,'Compte résultat prévi'!$N$5,'Hypotheses expl (3,)'!AC150)</f>
        <v>0</v>
      </c>
      <c r="O98" s="200">
        <f>+'Hypotheses expl (2)'!O150</f>
        <v>0</v>
      </c>
      <c r="P98" s="201">
        <f>+SUMIF('Hypotheses expl (2)'!R150,'Compte résultat prévi'!$P$5,'Hypotheses expl (2)'!S150)+SUMIF('Hypotheses expl (2)'!T150,'Compte résultat prévi'!$P$5,'Hypotheses expl (2)'!U150)+SUMIF('Hypotheses expl (2)'!V150,'Compte résultat prévi'!$P$5,'Hypotheses expl (2)'!W150)+SUMIF('Hypotheses expl (2)'!X150,'Compte résultat prévi'!$P$5,'Hypotheses expl (2)'!Y150)+SUMIF('Hypotheses expl (2)'!Z150,'Compte résultat prévi'!$P$5,'Hypotheses expl (2)'!AA150)+SUMIF('Hypotheses expl (2)'!AB150,'Compte résultat prévi'!$P$5,'Hypotheses expl (2)'!AC150)</f>
        <v>0</v>
      </c>
      <c r="Q98" s="201">
        <f>+SUMIF('Hypotheses expl (2)'!R150,'Compte résultat prévi'!$Q$5,'Hypotheses expl (2)'!S150)+SUMIF('Hypotheses expl (2)'!T150,'Compte résultat prévi'!$Q$5,'Hypotheses expl (2)'!U150)+SUMIF('Hypotheses expl (2)'!V150,'Compte résultat prévi'!$Q$5,'Hypotheses expl (2)'!W150)+SUMIF('Hypotheses expl (2)'!X150,'Compte résultat prévi'!$Q$5,'Hypotheses expl (2)'!Y150)+SUMIF('Hypotheses expl (2)'!Z150,'Compte résultat prévi'!$Q$5,'Hypotheses expl (2)'!AA150)+SUMIF('Hypotheses expl (2)'!AB150,'Compte résultat prévi'!$Q$5,'Hypotheses expl (2)'!AC150)</f>
        <v>0</v>
      </c>
      <c r="R98" s="201">
        <f>+SUMIF('Hypotheses expl (2)'!R150,'Compte résultat prévi'!$R$5,'Hypotheses expl (2)'!S150)+SUMIF('Hypotheses expl (2)'!T150,'Compte résultat prévi'!$R$5,'Hypotheses expl (2)'!U150)+SUMIF('Hypotheses expl (2)'!V150,'Compte résultat prévi'!$R$5,'Hypotheses expl (2)'!W150)+SUMIF('Hypotheses expl (2)'!X150,'Compte résultat prévi'!$R$5,'Hypotheses expl (2)'!Y150)+SUMIF('Hypotheses expl (2)'!Z150,'Compte résultat prévi'!$R$5,'Hypotheses expl (2)'!AA150)+SUMIF('Hypotheses expl (2)'!AB150,'Compte résultat prévi'!$R$5,'Hypotheses expl (2)'!AC150)</f>
        <v>0</v>
      </c>
      <c r="S98" s="201">
        <f>+SUMIF('Hypotheses expl (2)'!R150,'Compte résultat prévi'!$S$5,'Hypotheses expl (2)'!S150)+SUMIF('Hypotheses expl (2)'!T150,'Compte résultat prévi'!$S$5,'Hypotheses expl (2)'!U150)+SUMIF('Hypotheses expl (2)'!V150,'Compte résultat prévi'!$S$5,'Hypotheses expl (2)'!W150)+SUMIF('Hypotheses expl (2)'!X150,'Compte résultat prévi'!$S$5,'Hypotheses expl (2)'!Y150)+SUMIF('Hypotheses expl (2)'!Z150,'Compte résultat prévi'!$S$5,'Hypotheses expl (2)'!AA150)+SUMIF('Hypotheses expl (2)'!AB150,'Compte résultat prévi'!$S$5,'Hypotheses expl (2)'!AC150)</f>
        <v>0</v>
      </c>
      <c r="T98" s="202">
        <f>+SUMIF('Hypotheses expl (2)'!R150,'Compte résultat prévi'!$T$5,'Hypotheses expl (2)'!S150)+SUMIF('Hypotheses expl (2)'!T150,'Compte résultat prévi'!$T$5,'Hypotheses expl (2)'!U150)+SUMIF('Hypotheses expl (2)'!V150,'Compte résultat prévi'!$T$5,'Hypotheses expl (2)'!W150)+SUMIF('Hypotheses expl (2)'!X150,'Compte résultat prévi'!$T$5,'Hypotheses expl (2)'!Y150)+SUMIF('Hypotheses expl (2)'!Z150,'Compte résultat prévi'!$T$5,'Hypotheses expl (2)'!AA150)+SUMIF('Hypotheses expl (2)'!AB150,'Compte résultat prévi'!$T$5,'Hypotheses expl (2)'!AC150)</f>
        <v>0</v>
      </c>
      <c r="U98" s="203"/>
      <c r="V98" s="204"/>
    </row>
    <row r="99" outlineLevel="1">
      <c r="A99" s="198" t="str">
        <f>'Hypotheses expl'!B151</f>
        <v xml:space="preserve">Indemnités départ</v>
      </c>
      <c r="B99" s="234"/>
      <c r="C99" s="200">
        <f>+'Hypotheses expl'!O151</f>
        <v>20559</v>
      </c>
      <c r="D99" s="201">
        <f>+SUMIF('Hypotheses expl'!R151,'Compte résultat prévi'!$D$5,'Hypotheses expl'!S151)+SUMIF('Hypotheses expl'!T151,'Compte résultat prévi'!$D$5,'Hypotheses expl'!U151)+SUMIF('Hypotheses expl'!V151,'Compte résultat prévi'!$D$5,'Hypotheses expl'!W151)+SUMIF('Hypotheses expl'!X151,'Compte résultat prévi'!$D$5,'Hypotheses expl'!Y151)+SUMIF('Hypotheses expl'!Z151,'Compte résultat prévi'!$D$5,'Hypotheses expl'!AA151)+SUMIF('Hypotheses expl'!AB151,'Compte résultat prévi'!$D$5,'Hypotheses expl'!AC151)</f>
        <v>0</v>
      </c>
      <c r="E99" s="201">
        <f>+SUMIF('Hypotheses expl'!R151,'Compte résultat prévi'!$E$5,'Hypotheses expl'!S151)+SUMIF('Hypotheses expl'!T151,'Compte résultat prévi'!$E$5,'Hypotheses expl'!U151)+SUMIF('Hypotheses expl'!V151,'Compte résultat prévi'!$E$5,'Hypotheses expl'!W151)+SUMIF('Hypotheses expl'!X151,'Compte résultat prévi'!$E$5,'Hypotheses expl'!Y151)+SUMIF('Hypotheses expl'!Z151,'Compte résultat prévi'!$E$5,'Hypotheses expl'!AA151)+SUMIF('Hypotheses expl'!AB151,'Compte résultat prévi'!$E$5,'Hypotheses expl'!AC151)</f>
        <v>0</v>
      </c>
      <c r="F99" s="201">
        <f>+SUMIF('Hypotheses expl'!R151,'Compte résultat prévi'!$F$5,'Hypotheses expl'!S151)+SUMIF('Hypotheses expl'!T151,'Compte résultat prévi'!$F$5,'Hypotheses expl'!U151)+SUMIF('Hypotheses expl'!V151,'Compte résultat prévi'!$F$5,'Hypotheses expl'!W151)+SUMIF('Hypotheses expl'!X151,'Compte résultat prévi'!$F$5,'Hypotheses expl'!Y151)+SUMIF('Hypotheses expl'!Z151,'Compte résultat prévi'!$F$5,'Hypotheses expl'!AA151)+SUMIF('Hypotheses expl'!AB151,'Compte résultat prévi'!$F$5,'Hypotheses expl'!AC151)</f>
        <v>20559</v>
      </c>
      <c r="G99" s="201">
        <f>+SUMIF('Hypotheses expl'!R151,'Compte résultat prévi'!$G$5,'Hypotheses expl'!S151)+SUMIF('Hypotheses expl'!T151,'Compte résultat prévi'!$G$5,'Hypotheses expl'!U151)+SUMIF('Hypotheses expl'!V151,'Compte résultat prévi'!$G$5,'Hypotheses expl'!W151)+SUMIF('Hypotheses expl'!X151,'Compte résultat prévi'!$G$5,'Hypotheses expl'!Y151)+SUMIF('Hypotheses expl'!Z151,'Compte résultat prévi'!$G$5,'Hypotheses expl'!AA151)+SUMIF('Hypotheses expl'!AB151,'Compte résultat prévi'!$G$5,'Hypotheses expl'!AC151)</f>
        <v>0</v>
      </c>
      <c r="H99" s="202">
        <f>+SUMIF('Hypotheses expl'!R151,'Compte résultat prévi'!$H$5,'Hypotheses expl'!S151)+SUMIF('Hypotheses expl'!T151,'Compte résultat prévi'!$H$5,'Hypotheses expl'!U151)+SUMIF('Hypotheses expl'!V151,'Compte résultat prévi'!$H$5,'Hypotheses expl'!W151)+SUMIF('Hypotheses expl'!X151,'Compte résultat prévi'!$H$5,'Hypotheses expl'!Y151)+SUMIF('Hypotheses expl'!Z151,'Compte résultat prévi'!$H$5,'Hypotheses expl'!AA151)+SUMIF('Hypotheses expl'!AB151,'Compte résultat prévi'!$H$5,'Hypotheses expl'!AC151)</f>
        <v>0</v>
      </c>
      <c r="I99" s="200">
        <f>84053</f>
        <v>84053</v>
      </c>
      <c r="J99" s="201">
        <f>+SUMIF('Hypotheses expl (3,)'!R151,'Compte résultat prévi'!$J$5,'Hypotheses expl (3,)'!S151)+SUMIF('Hypotheses expl (3,)'!T151,'Compte résultat prévi'!$J$5,'Hypotheses expl (3,)'!U151)+SUMIF('Hypotheses expl (3,)'!V151,'Compte résultat prévi'!$J$5,'Hypotheses expl (3,)'!W151)+SUMIF('Hypotheses expl (3,)'!X151,'Compte résultat prévi'!$J$5,'Hypotheses expl (3,)'!Y151)+SUMIF('Hypotheses expl (3,)'!Z151,'Compte résultat prévi'!$J$5,'Hypotheses expl (3,)'!AA151)+SUMIF('Hypotheses expl (3,)'!AB151,'Compte résultat prévi'!$J$5,'Hypotheses expl (3,)'!AC151)</f>
        <v>0</v>
      </c>
      <c r="K99" s="201">
        <f>+SUMIF('Hypotheses expl (3,)'!R151,'Compte résultat prévi'!$K$5,'Hypotheses expl (3,)'!S151)+SUMIF('Hypotheses expl (3,)'!T151,'Compte résultat prévi'!$K$5,'Hypotheses expl (3,)'!U151)+SUMIF('Hypotheses expl (3,)'!V151,'Compte résultat prévi'!$K$5,'Hypotheses expl (3,)'!W151)+SUMIF('Hypotheses expl (3,)'!X151,'Compte résultat prévi'!$K$5,'Hypotheses expl (3,)'!Y151)+SUMIF('Hypotheses expl (3,)'!Z151,'Compte résultat prévi'!$K$5,'Hypotheses expl (3,)'!AA151)+SUMIF('Hypotheses expl (3,)'!AB151,'Compte résultat prévi'!$K$5,'Hypotheses expl (3,)'!AC151)</f>
        <v>0</v>
      </c>
      <c r="L99" s="201">
        <f>+SUMIF('Hypotheses expl (3,)'!R151,'Compte résultat prévi'!$L$5,'Hypotheses expl (3,)'!S151)+SUMIF('Hypotheses expl (3,)'!T151,'Compte résultat prévi'!$L$5,'Hypotheses expl (3,)'!U151)+SUMIF('Hypotheses expl (3,)'!V151,'Compte résultat prévi'!$L$5,'Hypotheses expl (3,)'!W151)+SUMIF('Hypotheses expl (3,)'!X151,'Compte résultat prévi'!$L$5,'Hypotheses expl (3,)'!Y151)+SUMIF('Hypotheses expl (3,)'!Z151,'Compte résultat prévi'!$L$5,'Hypotheses expl (3,)'!AA151)+SUMIF('Hypotheses expl (3,)'!AB151,'Compte résultat prévi'!$L$5,'Hypotheses expl (3,)'!AC151)</f>
        <v>0</v>
      </c>
      <c r="M99" s="201">
        <f>+SUMIF('Hypotheses expl (3,)'!R151,'Compte résultat prévi'!$M$5,'Hypotheses expl (3,)'!S151)+SUMIF('Hypotheses expl (3,)'!T151,'Compte résultat prévi'!$M$5,'Hypotheses expl (3,)'!U151)+SUMIF('Hypotheses expl (3,)'!V151,'Compte résultat prévi'!$M$5,'Hypotheses expl (3,)'!W151)+SUMIF('Hypotheses expl (3,)'!X151,'Compte résultat prévi'!$M$5,'Hypotheses expl (3,)'!Y151)+SUMIF('Hypotheses expl (3,)'!Z151,'Compte résultat prévi'!$M$5,'Hypotheses expl (3,)'!AA151)+SUMIF('Hypotheses expl (3,)'!AB151,'Compte résultat prévi'!$M$5,'Hypotheses expl (3,)'!AC151)</f>
        <v>0</v>
      </c>
      <c r="N99" s="202">
        <v>84053</v>
      </c>
      <c r="O99" s="200">
        <f>+'Hypotheses expl (2)'!O151</f>
        <v>84000</v>
      </c>
      <c r="P99" s="201">
        <f>+SUMIF('Hypotheses expl (2)'!R151,'Compte résultat prévi'!$P$5,'Hypotheses expl (2)'!S151)+SUMIF('Hypotheses expl (2)'!T151,'Compte résultat prévi'!$P$5,'Hypotheses expl (2)'!U151)+SUMIF('Hypotheses expl (2)'!V151,'Compte résultat prévi'!$P$5,'Hypotheses expl (2)'!W151)+SUMIF('Hypotheses expl (2)'!X151,'Compte résultat prévi'!$P$5,'Hypotheses expl (2)'!Y151)+SUMIF('Hypotheses expl (2)'!Z151,'Compte résultat prévi'!$P$5,'Hypotheses expl (2)'!AA151)+SUMIF('Hypotheses expl (2)'!AB151,'Compte résultat prévi'!$P$5,'Hypotheses expl (2)'!AC151)</f>
        <v>0</v>
      </c>
      <c r="Q99" s="201">
        <f>+SUMIF('Hypotheses expl (2)'!R151,'Compte résultat prévi'!$Q$5,'Hypotheses expl (2)'!S151)+SUMIF('Hypotheses expl (2)'!T151,'Compte résultat prévi'!$Q$5,'Hypotheses expl (2)'!U151)+SUMIF('Hypotheses expl (2)'!V151,'Compte résultat prévi'!$Q$5,'Hypotheses expl (2)'!W151)+SUMIF('Hypotheses expl (2)'!X151,'Compte résultat prévi'!$Q$5,'Hypotheses expl (2)'!Y151)+SUMIF('Hypotheses expl (2)'!Z151,'Compte résultat prévi'!$Q$5,'Hypotheses expl (2)'!AA151)+SUMIF('Hypotheses expl (2)'!AB151,'Compte résultat prévi'!$Q$5,'Hypotheses expl (2)'!AC151)</f>
        <v>0</v>
      </c>
      <c r="R99" s="201">
        <f>+SUMIF('Hypotheses expl (2)'!R151,'Compte résultat prévi'!$R$5,'Hypotheses expl (2)'!S151)+SUMIF('Hypotheses expl (2)'!T151,'Compte résultat prévi'!$R$5,'Hypotheses expl (2)'!U151)+SUMIF('Hypotheses expl (2)'!V151,'Compte résultat prévi'!$R$5,'Hypotheses expl (2)'!W151)+SUMIF('Hypotheses expl (2)'!X151,'Compte résultat prévi'!$R$5,'Hypotheses expl (2)'!Y151)+SUMIF('Hypotheses expl (2)'!Z151,'Compte résultat prévi'!$R$5,'Hypotheses expl (2)'!AA151)+SUMIF('Hypotheses expl (2)'!AB151,'Compte résultat prévi'!$R$5,'Hypotheses expl (2)'!AC151)</f>
        <v>84000</v>
      </c>
      <c r="S99" s="201">
        <f>+SUMIF('Hypotheses expl (2)'!R151,'Compte résultat prévi'!$S$5,'Hypotheses expl (2)'!S151)+SUMIF('Hypotheses expl (2)'!T151,'Compte résultat prévi'!$S$5,'Hypotheses expl (2)'!U151)+SUMIF('Hypotheses expl (2)'!V151,'Compte résultat prévi'!$S$5,'Hypotheses expl (2)'!W151)+SUMIF('Hypotheses expl (2)'!X151,'Compte résultat prévi'!$S$5,'Hypotheses expl (2)'!Y151)+SUMIF('Hypotheses expl (2)'!Z151,'Compte résultat prévi'!$S$5,'Hypotheses expl (2)'!AA151)+SUMIF('Hypotheses expl (2)'!AB151,'Compte résultat prévi'!$S$5,'Hypotheses expl (2)'!AC151)</f>
        <v>0</v>
      </c>
      <c r="T99" s="202">
        <f>+SUMIF('Hypotheses expl (2)'!R151,'Compte résultat prévi'!$T$5,'Hypotheses expl (2)'!S151)+SUMIF('Hypotheses expl (2)'!T151,'Compte résultat prévi'!$T$5,'Hypotheses expl (2)'!U151)+SUMIF('Hypotheses expl (2)'!V151,'Compte résultat prévi'!$T$5,'Hypotheses expl (2)'!W151)+SUMIF('Hypotheses expl (2)'!X151,'Compte résultat prévi'!$T$5,'Hypotheses expl (2)'!Y151)+SUMIF('Hypotheses expl (2)'!Z151,'Compte résultat prévi'!$T$5,'Hypotheses expl (2)'!AA151)+SUMIF('Hypotheses expl (2)'!AB151,'Compte résultat prévi'!$T$5,'Hypotheses expl (2)'!AC151)</f>
        <v>0</v>
      </c>
      <c r="U99" s="203"/>
      <c r="V99" s="204"/>
    </row>
    <row r="100" outlineLevel="1">
      <c r="A100" s="198" t="str">
        <f>'Hypotheses expl'!B152</f>
        <v xml:space="preserve">Versement CE</v>
      </c>
      <c r="B100" s="234">
        <v>3</v>
      </c>
      <c r="C100" s="236">
        <f>+'Hypotheses expl'!O152</f>
        <v>10800</v>
      </c>
      <c r="D100" s="201">
        <f>+SUMIF('Hypotheses expl'!R152,'Compte résultat prévi'!$D$5,'Hypotheses expl'!S152)+SUMIF('Hypotheses expl'!T152,'Compte résultat prévi'!$D$5,'Hypotheses expl'!U152)+SUMIF('Hypotheses expl'!V152,'Compte résultat prévi'!$D$5,'Hypotheses expl'!W152)+SUMIF('Hypotheses expl'!X152,'Compte résultat prévi'!$D$5,'Hypotheses expl'!Y152)+SUMIF('Hypotheses expl'!Z152,'Compte résultat prévi'!$D$5,'Hypotheses expl'!AA152)+SUMIF('Hypotheses expl'!AB152,'Compte résultat prévi'!$D$5,'Hypotheses expl'!AC152)</f>
        <v>0</v>
      </c>
      <c r="E100" s="201">
        <f>+SUMIF('Hypotheses expl'!R152,'Compte résultat prévi'!$E$5,'Hypotheses expl'!S152)+SUMIF('Hypotheses expl'!T152,'Compte résultat prévi'!$E$5,'Hypotheses expl'!U152)+SUMIF('Hypotheses expl'!V152,'Compte résultat prévi'!$E$5,'Hypotheses expl'!W152)+SUMIF('Hypotheses expl'!X152,'Compte résultat prévi'!$E$5,'Hypotheses expl'!Y152)+SUMIF('Hypotheses expl'!Z152,'Compte résultat prévi'!$E$5,'Hypotheses expl'!AA152)+SUMIF('Hypotheses expl'!AB152,'Compte résultat prévi'!$E$5,'Hypotheses expl'!AC152)</f>
        <v>0</v>
      </c>
      <c r="F100" s="201">
        <f>+SUMIF('Hypotheses expl'!R152,'Compte résultat prévi'!$F$5,'Hypotheses expl'!S152)+SUMIF('Hypotheses expl'!T152,'Compte résultat prévi'!$F$5,'Hypotheses expl'!U152)+SUMIF('Hypotheses expl'!V152,'Compte résultat prévi'!$F$5,'Hypotheses expl'!W152)+SUMIF('Hypotheses expl'!X152,'Compte résultat prévi'!$F$5,'Hypotheses expl'!Y152)+SUMIF('Hypotheses expl'!Z152,'Compte résultat prévi'!$F$5,'Hypotheses expl'!AA152)+SUMIF('Hypotheses expl'!AB152,'Compte résultat prévi'!$F$5,'Hypotheses expl'!AC152)</f>
        <v>0</v>
      </c>
      <c r="G100" s="201">
        <f>+SUMIF('Hypotheses expl'!R152,'Compte résultat prévi'!$G$5,'Hypotheses expl'!S152)+SUMIF('Hypotheses expl'!T152,'Compte résultat prévi'!$G$5,'Hypotheses expl'!U152)+SUMIF('Hypotheses expl'!V152,'Compte résultat prévi'!$G$5,'Hypotheses expl'!W152)+SUMIF('Hypotheses expl'!X152,'Compte résultat prévi'!$G$5,'Hypotheses expl'!Y152)+SUMIF('Hypotheses expl'!Z152,'Compte résultat prévi'!$G$5,'Hypotheses expl'!AA152)+SUMIF('Hypotheses expl'!AB152,'Compte résultat prévi'!$G$5,'Hypotheses expl'!AC152)</f>
        <v>0</v>
      </c>
      <c r="H100" s="202">
        <f>+SUMIF('Hypotheses expl'!R152,'Compte résultat prévi'!$H$5,'Hypotheses expl'!S152)+SUMIF('Hypotheses expl'!T152,'Compte résultat prévi'!$H$5,'Hypotheses expl'!U152)+SUMIF('Hypotheses expl'!V152,'Compte résultat prévi'!$H$5,'Hypotheses expl'!W152)+SUMIF('Hypotheses expl'!X152,'Compte résultat prévi'!$H$5,'Hypotheses expl'!Y152)+SUMIF('Hypotheses expl'!Z152,'Compte résultat prévi'!$H$5,'Hypotheses expl'!AA152)+SUMIF('Hypotheses expl'!AB152,'Compte résultat prévi'!$H$5,'Hypotheses expl'!AC152)</f>
        <v>10800</v>
      </c>
      <c r="I100" s="200">
        <f>+'Hypotheses expl (3,)'!O152</f>
        <v>10800</v>
      </c>
      <c r="J100" s="201">
        <f>+SUMIF('Hypotheses expl (3,)'!R152,'Compte résultat prévi'!$J$5,'Hypotheses expl (3,)'!S152)+SUMIF('Hypotheses expl (3,)'!T152,'Compte résultat prévi'!$J$5,'Hypotheses expl (3,)'!U152)+SUMIF('Hypotheses expl (3,)'!V152,'Compte résultat prévi'!$J$5,'Hypotheses expl (3,)'!W152)+SUMIF('Hypotheses expl (3,)'!X152,'Compte résultat prévi'!$J$5,'Hypotheses expl (3,)'!Y152)+SUMIF('Hypotheses expl (3,)'!Z152,'Compte résultat prévi'!$J$5,'Hypotheses expl (3,)'!AA152)+SUMIF('Hypotheses expl (3,)'!AB152,'Compte résultat prévi'!$J$5,'Hypotheses expl (3,)'!AC152)</f>
        <v>0</v>
      </c>
      <c r="K100" s="201">
        <f>+SUMIF('Hypotheses expl (3,)'!R152,'Compte résultat prévi'!$K$5,'Hypotheses expl (3,)'!S152)+SUMIF('Hypotheses expl (3,)'!T152,'Compte résultat prévi'!$K$5,'Hypotheses expl (3,)'!U152)+SUMIF('Hypotheses expl (3,)'!V152,'Compte résultat prévi'!$K$5,'Hypotheses expl (3,)'!W152)+SUMIF('Hypotheses expl (3,)'!X152,'Compte résultat prévi'!$K$5,'Hypotheses expl (3,)'!Y152)+SUMIF('Hypotheses expl (3,)'!Z152,'Compte résultat prévi'!$K$5,'Hypotheses expl (3,)'!AA152)+SUMIF('Hypotheses expl (3,)'!AB152,'Compte résultat prévi'!$K$5,'Hypotheses expl (3,)'!AC152)</f>
        <v>0</v>
      </c>
      <c r="L100" s="201">
        <f>+SUMIF('Hypotheses expl (3,)'!R152,'Compte résultat prévi'!$L$5,'Hypotheses expl (3,)'!S152)+SUMIF('Hypotheses expl (3,)'!T152,'Compte résultat prévi'!$L$5,'Hypotheses expl (3,)'!U152)+SUMIF('Hypotheses expl (3,)'!V152,'Compte résultat prévi'!$L$5,'Hypotheses expl (3,)'!W152)+SUMIF('Hypotheses expl (3,)'!X152,'Compte résultat prévi'!$L$5,'Hypotheses expl (3,)'!Y152)+SUMIF('Hypotheses expl (3,)'!Z152,'Compte résultat prévi'!$L$5,'Hypotheses expl (3,)'!AA152)+SUMIF('Hypotheses expl (3,)'!AB152,'Compte résultat prévi'!$L$5,'Hypotheses expl (3,)'!AC152)</f>
        <v>0</v>
      </c>
      <c r="M100" s="201">
        <f>+SUMIF('Hypotheses expl (3,)'!R152,'Compte résultat prévi'!$M$5,'Hypotheses expl (3,)'!S152)+SUMIF('Hypotheses expl (3,)'!T152,'Compte résultat prévi'!$M$5,'Hypotheses expl (3,)'!U152)+SUMIF('Hypotheses expl (3,)'!V152,'Compte résultat prévi'!$M$5,'Hypotheses expl (3,)'!W152)+SUMIF('Hypotheses expl (3,)'!X152,'Compte résultat prévi'!$M$5,'Hypotheses expl (3,)'!Y152)+SUMIF('Hypotheses expl (3,)'!Z152,'Compte résultat prévi'!$M$5,'Hypotheses expl (3,)'!AA152)+SUMIF('Hypotheses expl (3,)'!AB152,'Compte résultat prévi'!$M$5,'Hypotheses expl (3,)'!AC152)</f>
        <v>0</v>
      </c>
      <c r="N100" s="202">
        <f>+SUMIF('Hypotheses expl (3,)'!R152,'Compte résultat prévi'!$N$5,'Hypotheses expl (3,)'!S152)+SUMIF('Hypotheses expl (3,)'!T152,'Compte résultat prévi'!$N$5,'Hypotheses expl (3,)'!U152)+SUMIF('Hypotheses expl (3,)'!V152,'Compte résultat prévi'!$N$5,'Hypotheses expl (3,)'!W152)+SUMIF('Hypotheses expl (3,)'!X152,'Compte résultat prévi'!$N$5,'Hypotheses expl (3,)'!Y152)+SUMIF('Hypotheses expl (3,)'!Z152,'Compte résultat prévi'!$N$5,'Hypotheses expl (3,)'!AA152)+SUMIF('Hypotheses expl (3,)'!AB152,'Compte résultat prévi'!$N$5,'Hypotheses expl (3,)'!AC152)</f>
        <v>10800</v>
      </c>
      <c r="O100" s="200">
        <f>+'Hypotheses expl (2)'!O152</f>
        <v>10800</v>
      </c>
      <c r="P100" s="201">
        <f>+SUMIF('Hypotheses expl (2)'!R152,'Compte résultat prévi'!$P$5,'Hypotheses expl (2)'!S152)+SUMIF('Hypotheses expl (2)'!T152,'Compte résultat prévi'!$P$5,'Hypotheses expl (2)'!U152)+SUMIF('Hypotheses expl (2)'!V152,'Compte résultat prévi'!$P$5,'Hypotheses expl (2)'!W152)+SUMIF('Hypotheses expl (2)'!X152,'Compte résultat prévi'!$P$5,'Hypotheses expl (2)'!Y152)+SUMIF('Hypotheses expl (2)'!Z152,'Compte résultat prévi'!$P$5,'Hypotheses expl (2)'!AA152)+SUMIF('Hypotheses expl (2)'!AB152,'Compte résultat prévi'!$P$5,'Hypotheses expl (2)'!AC152)</f>
        <v>0</v>
      </c>
      <c r="Q100" s="201">
        <f>+SUMIF('Hypotheses expl (2)'!R152,'Compte résultat prévi'!$Q$5,'Hypotheses expl (2)'!S152)+SUMIF('Hypotheses expl (2)'!T152,'Compte résultat prévi'!$Q$5,'Hypotheses expl (2)'!U152)+SUMIF('Hypotheses expl (2)'!V152,'Compte résultat prévi'!$Q$5,'Hypotheses expl (2)'!W152)+SUMIF('Hypotheses expl (2)'!X152,'Compte résultat prévi'!$Q$5,'Hypotheses expl (2)'!Y152)+SUMIF('Hypotheses expl (2)'!Z152,'Compte résultat prévi'!$Q$5,'Hypotheses expl (2)'!AA152)+SUMIF('Hypotheses expl (2)'!AB152,'Compte résultat prévi'!$Q$5,'Hypotheses expl (2)'!AC152)</f>
        <v>0</v>
      </c>
      <c r="R100" s="201">
        <f>+SUMIF('Hypotheses expl (2)'!R152,'Compte résultat prévi'!$R$5,'Hypotheses expl (2)'!S152)+SUMIF('Hypotheses expl (2)'!T152,'Compte résultat prévi'!$R$5,'Hypotheses expl (2)'!U152)+SUMIF('Hypotheses expl (2)'!V152,'Compte résultat prévi'!$R$5,'Hypotheses expl (2)'!W152)+SUMIF('Hypotheses expl (2)'!X152,'Compte résultat prévi'!$R$5,'Hypotheses expl (2)'!Y152)+SUMIF('Hypotheses expl (2)'!Z152,'Compte résultat prévi'!$R$5,'Hypotheses expl (2)'!AA152)+SUMIF('Hypotheses expl (2)'!AB152,'Compte résultat prévi'!$R$5,'Hypotheses expl (2)'!AC152)</f>
        <v>0</v>
      </c>
      <c r="S100" s="201">
        <f>+SUMIF('Hypotheses expl (2)'!R152,'Compte résultat prévi'!$S$5,'Hypotheses expl (2)'!S152)+SUMIF('Hypotheses expl (2)'!T152,'Compte résultat prévi'!$S$5,'Hypotheses expl (2)'!U152)+SUMIF('Hypotheses expl (2)'!V152,'Compte résultat prévi'!$S$5,'Hypotheses expl (2)'!W152)+SUMIF('Hypotheses expl (2)'!X152,'Compte résultat prévi'!$S$5,'Hypotheses expl (2)'!Y152)+SUMIF('Hypotheses expl (2)'!Z152,'Compte résultat prévi'!$S$5,'Hypotheses expl (2)'!AA152)+SUMIF('Hypotheses expl (2)'!AB152,'Compte résultat prévi'!$S$5,'Hypotheses expl (2)'!AC152)</f>
        <v>0</v>
      </c>
      <c r="T100" s="202">
        <f>+SUMIF('Hypotheses expl (2)'!R152,'Compte résultat prévi'!$T$5,'Hypotheses expl (2)'!S152)+SUMIF('Hypotheses expl (2)'!T152,'Compte résultat prévi'!$T$5,'Hypotheses expl (2)'!U152)+SUMIF('Hypotheses expl (2)'!V152,'Compte résultat prévi'!$T$5,'Hypotheses expl (2)'!W152)+SUMIF('Hypotheses expl (2)'!X152,'Compte résultat prévi'!$T$5,'Hypotheses expl (2)'!Y152)+SUMIF('Hypotheses expl (2)'!Z152,'Compte résultat prévi'!$T$5,'Hypotheses expl (2)'!AA152)+SUMIF('Hypotheses expl (2)'!AB152,'Compte résultat prévi'!$T$5,'Hypotheses expl (2)'!AC152)</f>
        <v>10800</v>
      </c>
      <c r="U100" s="203"/>
      <c r="V100" s="204"/>
    </row>
    <row r="101" ht="15" outlineLevel="1">
      <c r="A101" s="198" t="str">
        <f>'Hypotheses expl'!B153</f>
        <v xml:space="preserve">Ticket restaurants</v>
      </c>
      <c r="B101" s="234">
        <v>3</v>
      </c>
      <c r="C101" s="236">
        <f>+'Hypotheses expl'!O153</f>
        <v>25200</v>
      </c>
      <c r="D101" s="201">
        <f>+SUMIF('Hypotheses expl'!R153,'Compte résultat prévi'!$D$5,'Hypotheses expl'!S153)+SUMIF('Hypotheses expl'!T153,'Compte résultat prévi'!$D$5,'Hypotheses expl'!U153)+SUMIF('Hypotheses expl'!V153,'Compte résultat prévi'!$D$5,'Hypotheses expl'!W153)+SUMIF('Hypotheses expl'!X153,'Compte résultat prévi'!$D$5,'Hypotheses expl'!Y153)+SUMIF('Hypotheses expl'!Z153,'Compte résultat prévi'!$D$5,'Hypotheses expl'!AA153)+SUMIF('Hypotheses expl'!AB153,'Compte résultat prévi'!$D$5,'Hypotheses expl'!AC153)</f>
        <v>0</v>
      </c>
      <c r="E101" s="201">
        <f>+SUMIF('Hypotheses expl'!R153,'Compte résultat prévi'!$E$5,'Hypotheses expl'!S153)+SUMIF('Hypotheses expl'!T153,'Compte résultat prévi'!$E$5,'Hypotheses expl'!U153)+SUMIF('Hypotheses expl'!V153,'Compte résultat prévi'!$E$5,'Hypotheses expl'!W153)+SUMIF('Hypotheses expl'!X153,'Compte résultat prévi'!$E$5,'Hypotheses expl'!Y153)+SUMIF('Hypotheses expl'!Z153,'Compte résultat prévi'!$E$5,'Hypotheses expl'!AA153)+SUMIF('Hypotheses expl'!AB153,'Compte résultat prévi'!$E$5,'Hypotheses expl'!AC153)</f>
        <v>0</v>
      </c>
      <c r="F101" s="201">
        <f>+SUMIF('Hypotheses expl'!R153,'Compte résultat prévi'!$F$5,'Hypotheses expl'!S153)+SUMIF('Hypotheses expl'!T153,'Compte résultat prévi'!$F$5,'Hypotheses expl'!U153)+SUMIF('Hypotheses expl'!V153,'Compte résultat prévi'!$F$5,'Hypotheses expl'!W153)+SUMIF('Hypotheses expl'!X153,'Compte résultat prévi'!$F$5,'Hypotheses expl'!Y153)+SUMIF('Hypotheses expl'!Z153,'Compte résultat prévi'!$F$5,'Hypotheses expl'!AA153)+SUMIF('Hypotheses expl'!AB153,'Compte résultat prévi'!$F$5,'Hypotheses expl'!AC153)</f>
        <v>0</v>
      </c>
      <c r="G101" s="201">
        <f>+SUMIF('Hypotheses expl'!R153,'Compte résultat prévi'!$G$5,'Hypotheses expl'!S153)+SUMIF('Hypotheses expl'!T153,'Compte résultat prévi'!$G$5,'Hypotheses expl'!U153)+SUMIF('Hypotheses expl'!V153,'Compte résultat prévi'!$G$5,'Hypotheses expl'!W153)+SUMIF('Hypotheses expl'!X153,'Compte résultat prévi'!$G$5,'Hypotheses expl'!Y153)+SUMIF('Hypotheses expl'!Z153,'Compte résultat prévi'!$G$5,'Hypotheses expl'!AA153)+SUMIF('Hypotheses expl'!AB153,'Compte résultat prévi'!$G$5,'Hypotheses expl'!AC153)</f>
        <v>0</v>
      </c>
      <c r="H101" s="202">
        <f>+SUMIF('Hypotheses expl'!R153,'Compte résultat prévi'!$H$5,'Hypotheses expl'!S153)+SUMIF('Hypotheses expl'!T153,'Compte résultat prévi'!$H$5,'Hypotheses expl'!U153)+SUMIF('Hypotheses expl'!V153,'Compte résultat prévi'!$H$5,'Hypotheses expl'!W153)+SUMIF('Hypotheses expl'!X153,'Compte résultat prévi'!$H$5,'Hypotheses expl'!Y153)+SUMIF('Hypotheses expl'!Z153,'Compte résultat prévi'!$H$5,'Hypotheses expl'!AA153)+SUMIF('Hypotheses expl'!AB153,'Compte résultat prévi'!$H$5,'Hypotheses expl'!AC153)</f>
        <v>25200</v>
      </c>
      <c r="I101" s="200">
        <f>+'Hypotheses expl (3,)'!O153</f>
        <v>25200</v>
      </c>
      <c r="J101" s="201">
        <f>+SUMIF('Hypotheses expl (3,)'!R153,'Compte résultat prévi'!$J$5,'Hypotheses expl (3,)'!S153)+SUMIF('Hypotheses expl (3,)'!T153,'Compte résultat prévi'!$J$5,'Hypotheses expl (3,)'!U153)+SUMIF('Hypotheses expl (3,)'!V153,'Compte résultat prévi'!$J$5,'Hypotheses expl (3,)'!W153)+SUMIF('Hypotheses expl (3,)'!X153,'Compte résultat prévi'!$J$5,'Hypotheses expl (3,)'!Y153)+SUMIF('Hypotheses expl (3,)'!Z153,'Compte résultat prévi'!$J$5,'Hypotheses expl (3,)'!AA153)+SUMIF('Hypotheses expl (3,)'!AB153,'Compte résultat prévi'!$J$5,'Hypotheses expl (3,)'!AC153)</f>
        <v>0</v>
      </c>
      <c r="K101" s="201">
        <f>+SUMIF('Hypotheses expl (3,)'!R153,'Compte résultat prévi'!$K$5,'Hypotheses expl (3,)'!S153)+SUMIF('Hypotheses expl (3,)'!T153,'Compte résultat prévi'!$K$5,'Hypotheses expl (3,)'!U153)+SUMIF('Hypotheses expl (3,)'!V153,'Compte résultat prévi'!$K$5,'Hypotheses expl (3,)'!W153)+SUMIF('Hypotheses expl (3,)'!X153,'Compte résultat prévi'!$K$5,'Hypotheses expl (3,)'!Y153)+SUMIF('Hypotheses expl (3,)'!Z153,'Compte résultat prévi'!$K$5,'Hypotheses expl (3,)'!AA153)+SUMIF('Hypotheses expl (3,)'!AB153,'Compte résultat prévi'!$K$5,'Hypotheses expl (3,)'!AC153)</f>
        <v>0</v>
      </c>
      <c r="L101" s="201">
        <f>+SUMIF('Hypotheses expl (3,)'!R153,'Compte résultat prévi'!$L$5,'Hypotheses expl (3,)'!S153)+SUMIF('Hypotheses expl (3,)'!T153,'Compte résultat prévi'!$L$5,'Hypotheses expl (3,)'!U153)+SUMIF('Hypotheses expl (3,)'!V153,'Compte résultat prévi'!$L$5,'Hypotheses expl (3,)'!W153)+SUMIF('Hypotheses expl (3,)'!X153,'Compte résultat prévi'!$L$5,'Hypotheses expl (3,)'!Y153)+SUMIF('Hypotheses expl (3,)'!Z153,'Compte résultat prévi'!$L$5,'Hypotheses expl (3,)'!AA153)+SUMIF('Hypotheses expl (3,)'!AB153,'Compte résultat prévi'!$L$5,'Hypotheses expl (3,)'!AC153)</f>
        <v>0</v>
      </c>
      <c r="M101" s="201">
        <f>+SUMIF('Hypotheses expl (3,)'!R153,'Compte résultat prévi'!$M$5,'Hypotheses expl (3,)'!S153)+SUMIF('Hypotheses expl (3,)'!T153,'Compte résultat prévi'!$M$5,'Hypotheses expl (3,)'!U153)+SUMIF('Hypotheses expl (3,)'!V153,'Compte résultat prévi'!$M$5,'Hypotheses expl (3,)'!W153)+SUMIF('Hypotheses expl (3,)'!X153,'Compte résultat prévi'!$M$5,'Hypotheses expl (3,)'!Y153)+SUMIF('Hypotheses expl (3,)'!Z153,'Compte résultat prévi'!$M$5,'Hypotheses expl (3,)'!AA153)+SUMIF('Hypotheses expl (3,)'!AB153,'Compte résultat prévi'!$M$5,'Hypotheses expl (3,)'!AC153)</f>
        <v>0</v>
      </c>
      <c r="N101" s="202">
        <f>+SUMIF('Hypotheses expl (3,)'!R153,'Compte résultat prévi'!$N$5,'Hypotheses expl (3,)'!S153)+SUMIF('Hypotheses expl (3,)'!T153,'Compte résultat prévi'!$N$5,'Hypotheses expl (3,)'!U153)+SUMIF('Hypotheses expl (3,)'!V153,'Compte résultat prévi'!$N$5,'Hypotheses expl (3,)'!W153)+SUMIF('Hypotheses expl (3,)'!X153,'Compte résultat prévi'!$N$5,'Hypotheses expl (3,)'!Y153)+SUMIF('Hypotheses expl (3,)'!Z153,'Compte résultat prévi'!$N$5,'Hypotheses expl (3,)'!AA153)+SUMIF('Hypotheses expl (3,)'!AB153,'Compte résultat prévi'!$N$5,'Hypotheses expl (3,)'!AC153)</f>
        <v>25200</v>
      </c>
      <c r="O101" s="200">
        <f>+'Hypotheses expl (2)'!O153</f>
        <v>25200</v>
      </c>
      <c r="P101" s="201">
        <f>+SUMIF('Hypotheses expl (2)'!R153,'Compte résultat prévi'!$P$5,'Hypotheses expl (2)'!S153)+SUMIF('Hypotheses expl (2)'!T153,'Compte résultat prévi'!$P$5,'Hypotheses expl (2)'!U153)+SUMIF('Hypotheses expl (2)'!V153,'Compte résultat prévi'!$P$5,'Hypotheses expl (2)'!W153)+SUMIF('Hypotheses expl (2)'!X153,'Compte résultat prévi'!$P$5,'Hypotheses expl (2)'!Y153)+SUMIF('Hypotheses expl (2)'!Z153,'Compte résultat prévi'!$P$5,'Hypotheses expl (2)'!AA153)+SUMIF('Hypotheses expl (2)'!AB153,'Compte résultat prévi'!$P$5,'Hypotheses expl (2)'!AC153)</f>
        <v>0</v>
      </c>
      <c r="Q101" s="201">
        <f>+SUMIF('Hypotheses expl (2)'!R153,'Compte résultat prévi'!$Q$5,'Hypotheses expl (2)'!S153)+SUMIF('Hypotheses expl (2)'!T153,'Compte résultat prévi'!$Q$5,'Hypotheses expl (2)'!U153)+SUMIF('Hypotheses expl (2)'!V153,'Compte résultat prévi'!$Q$5,'Hypotheses expl (2)'!W153)+SUMIF('Hypotheses expl (2)'!X153,'Compte résultat prévi'!$Q$5,'Hypotheses expl (2)'!Y153)+SUMIF('Hypotheses expl (2)'!Z153,'Compte résultat prévi'!$Q$5,'Hypotheses expl (2)'!AA153)+SUMIF('Hypotheses expl (2)'!AB153,'Compte résultat prévi'!$Q$5,'Hypotheses expl (2)'!AC153)</f>
        <v>0</v>
      </c>
      <c r="R101" s="201">
        <f>+SUMIF('Hypotheses expl (2)'!R153,'Compte résultat prévi'!$R$5,'Hypotheses expl (2)'!S153)+SUMIF('Hypotheses expl (2)'!T153,'Compte résultat prévi'!$R$5,'Hypotheses expl (2)'!U153)+SUMIF('Hypotheses expl (2)'!V153,'Compte résultat prévi'!$R$5,'Hypotheses expl (2)'!W153)+SUMIF('Hypotheses expl (2)'!X153,'Compte résultat prévi'!$R$5,'Hypotheses expl (2)'!Y153)+SUMIF('Hypotheses expl (2)'!Z153,'Compte résultat prévi'!$R$5,'Hypotheses expl (2)'!AA153)+SUMIF('Hypotheses expl (2)'!AB153,'Compte résultat prévi'!$R$5,'Hypotheses expl (2)'!AC153)</f>
        <v>0</v>
      </c>
      <c r="S101" s="201">
        <f>+SUMIF('Hypotheses expl (2)'!R153,'Compte résultat prévi'!$S$5,'Hypotheses expl (2)'!S153)+SUMIF('Hypotheses expl (2)'!T153,'Compte résultat prévi'!$S$5,'Hypotheses expl (2)'!U153)+SUMIF('Hypotheses expl (2)'!V153,'Compte résultat prévi'!$S$5,'Hypotheses expl (2)'!W153)+SUMIF('Hypotheses expl (2)'!X153,'Compte résultat prévi'!$S$5,'Hypotheses expl (2)'!Y153)+SUMIF('Hypotheses expl (2)'!Z153,'Compte résultat prévi'!$S$5,'Hypotheses expl (2)'!AA153)+SUMIF('Hypotheses expl (2)'!AB153,'Compte résultat prévi'!$S$5,'Hypotheses expl (2)'!AC153)</f>
        <v>0</v>
      </c>
      <c r="T101" s="202">
        <f>+SUMIF('Hypotheses expl (2)'!R153,'Compte résultat prévi'!$T$5,'Hypotheses expl (2)'!S153)+SUMIF('Hypotheses expl (2)'!T153,'Compte résultat prévi'!$T$5,'Hypotheses expl (2)'!U153)+SUMIF('Hypotheses expl (2)'!V153,'Compte résultat prévi'!$T$5,'Hypotheses expl (2)'!W153)+SUMIF('Hypotheses expl (2)'!X153,'Compte résultat prévi'!$T$5,'Hypotheses expl (2)'!Y153)+SUMIF('Hypotheses expl (2)'!Z153,'Compte résultat prévi'!$T$5,'Hypotheses expl (2)'!AA153)+SUMIF('Hypotheses expl (2)'!AB153,'Compte résultat prévi'!$T$5,'Hypotheses expl (2)'!AC153)</f>
        <v>25200</v>
      </c>
      <c r="U101" s="203"/>
      <c r="V101" s="204"/>
    </row>
    <row r="102" ht="18">
      <c r="A102" s="229" t="s">
        <v>280</v>
      </c>
      <c r="B102" s="230"/>
      <c r="C102" s="231">
        <f>SUM(C103:C105)</f>
        <v>31900</v>
      </c>
      <c r="D102" s="232">
        <f t="shared" ref="D102:V102" si="222">SUM(D103:D105)</f>
        <v>0</v>
      </c>
      <c r="E102" s="232">
        <f t="shared" si="222"/>
        <v>0</v>
      </c>
      <c r="F102" s="232">
        <f t="shared" si="222"/>
        <v>0</v>
      </c>
      <c r="G102" s="232">
        <f t="shared" si="222"/>
        <v>0</v>
      </c>
      <c r="H102" s="233">
        <f t="shared" si="222"/>
        <v>31900</v>
      </c>
      <c r="I102" s="231">
        <f>SUM(I103:I105)</f>
        <v>31900</v>
      </c>
      <c r="J102" s="232">
        <f t="shared" ref="J102:N102" si="223">SUM(J103:J105)</f>
        <v>0</v>
      </c>
      <c r="K102" s="232">
        <f t="shared" si="223"/>
        <v>0</v>
      </c>
      <c r="L102" s="232">
        <f t="shared" si="223"/>
        <v>0</v>
      </c>
      <c r="M102" s="232">
        <f t="shared" si="223"/>
        <v>0</v>
      </c>
      <c r="N102" s="233">
        <f t="shared" si="223"/>
        <v>31900</v>
      </c>
      <c r="O102" s="231">
        <f>SUM(O103:O105)</f>
        <v>31900</v>
      </c>
      <c r="P102" s="232">
        <f t="shared" ref="P102:T102" si="224">SUM(P103:P105)</f>
        <v>0</v>
      </c>
      <c r="Q102" s="232">
        <f t="shared" si="224"/>
        <v>0</v>
      </c>
      <c r="R102" s="232">
        <f t="shared" si="224"/>
        <v>0</v>
      </c>
      <c r="S102" s="232">
        <f t="shared" si="224"/>
        <v>0</v>
      </c>
      <c r="T102" s="233">
        <f t="shared" si="224"/>
        <v>31900</v>
      </c>
      <c r="U102" s="231">
        <f t="shared" si="222"/>
        <v>0</v>
      </c>
      <c r="V102" s="233">
        <f t="shared" si="222"/>
        <v>0</v>
      </c>
    </row>
    <row r="103" outlineLevel="1">
      <c r="A103" s="198" t="str">
        <f>'Hypotheses expl'!B154</f>
        <v xml:space="preserve">Pertes sur créances irrécouvrables</v>
      </c>
      <c r="B103" s="234">
        <v>4</v>
      </c>
      <c r="C103" s="200">
        <f>'Hypotheses expl'!O154</f>
        <v>25000</v>
      </c>
      <c r="D103" s="201">
        <f>+SUMIF('Hypotheses expl'!R154,'Compte résultat prévi'!$D$5,'Hypotheses expl'!S154)+SUMIF('Hypotheses expl'!T154,'Compte résultat prévi'!$D$5,'Hypotheses expl'!U154)+SUMIF('Hypotheses expl'!V154,'Compte résultat prévi'!$D$5,'Hypotheses expl'!W154)+SUMIF('Hypotheses expl'!X154,'Compte résultat prévi'!$D$5,'Hypotheses expl'!Y154)+SUMIF('Hypotheses expl'!Z154,'Compte résultat prévi'!$D$5,'Hypotheses expl'!AA154)+SUMIF('Hypotheses expl'!AB154,'Compte résultat prévi'!$D$5,'Hypotheses expl'!AC154)</f>
        <v>0</v>
      </c>
      <c r="E103" s="201">
        <f>+SUMIF('Hypotheses expl'!R154,'Compte résultat prévi'!$E$5,'Hypotheses expl'!S154)+SUMIF('Hypotheses expl'!T154,'Compte résultat prévi'!$E$5,'Hypotheses expl'!U154)+SUMIF('Hypotheses expl'!V154,'Compte résultat prévi'!$E$5,'Hypotheses expl'!W154)+SUMIF('Hypotheses expl'!X154,'Compte résultat prévi'!$E$5,'Hypotheses expl'!Y154)+SUMIF('Hypotheses expl'!Z154,'Compte résultat prévi'!$E$5,'Hypotheses expl'!AA154)+SUMIF('Hypotheses expl'!AB154,'Compte résultat prévi'!$E$5,'Hypotheses expl'!AC154)</f>
        <v>0</v>
      </c>
      <c r="F103" s="201">
        <f>+SUMIF('Hypotheses expl'!R154,'Compte résultat prévi'!$F$5,'Hypotheses expl'!S154)+SUMIF('Hypotheses expl'!T154,'Compte résultat prévi'!$F$5,'Hypotheses expl'!U154)+SUMIF('Hypotheses expl'!V154,'Compte résultat prévi'!$F$5,'Hypotheses expl'!W154)+SUMIF('Hypotheses expl'!X154,'Compte résultat prévi'!$F$5,'Hypotheses expl'!Y154)+SUMIF('Hypotheses expl'!Z154,'Compte résultat prévi'!$F$5,'Hypotheses expl'!AA154)+SUMIF('Hypotheses expl'!AB154,'Compte résultat prévi'!$F$5,'Hypotheses expl'!AC154)</f>
        <v>0</v>
      </c>
      <c r="G103" s="201">
        <f>+SUMIF('Hypotheses expl'!R154,'Compte résultat prévi'!$G$5,'Hypotheses expl'!S154)+SUMIF('Hypotheses expl'!T154,'Compte résultat prévi'!$G$5,'Hypotheses expl'!U154)+SUMIF('Hypotheses expl'!V154,'Compte résultat prévi'!$G$5,'Hypotheses expl'!W154)+SUMIF('Hypotheses expl'!X154,'Compte résultat prévi'!$G$5,'Hypotheses expl'!Y154)+SUMIF('Hypotheses expl'!Z154,'Compte résultat prévi'!$G$5,'Hypotheses expl'!AA154)+SUMIF('Hypotheses expl'!AB154,'Compte résultat prévi'!$G$5,'Hypotheses expl'!AC154)</f>
        <v>0</v>
      </c>
      <c r="H103" s="202">
        <f>+SUMIF('Hypotheses expl'!R154,'Compte résultat prévi'!$H$5,'Hypotheses expl'!S154)+SUMIF('Hypotheses expl'!T154,'Compte résultat prévi'!$H$5,'Hypotheses expl'!U154)+SUMIF('Hypotheses expl'!V154,'Compte résultat prévi'!$H$5,'Hypotheses expl'!W154)+SUMIF('Hypotheses expl'!X154,'Compte résultat prévi'!$H$5,'Hypotheses expl'!Y154)+SUMIF('Hypotheses expl'!Z154,'Compte résultat prévi'!$H$5,'Hypotheses expl'!AA154)+SUMIF('Hypotheses expl'!AB154,'Compte résultat prévi'!$H$5,'Hypotheses expl'!AC154)</f>
        <v>25000</v>
      </c>
      <c r="I103" s="200">
        <f>'Hypotheses expl (3,)'!O154</f>
        <v>25000</v>
      </c>
      <c r="J103" s="201">
        <f>+SUMIF('Hypotheses expl (3,)'!R154,'Compte résultat prévi'!$J$5,'Hypotheses expl (3,)'!S154)+SUMIF('Hypotheses expl (3,)'!T154,'Compte résultat prévi'!$J$5,'Hypotheses expl (3,)'!U154)+SUMIF('Hypotheses expl (3,)'!V154,'Compte résultat prévi'!$J$5,'Hypotheses expl (3,)'!W154)+SUMIF('Hypotheses expl (3,)'!X154,'Compte résultat prévi'!$J$5,'Hypotheses expl (3,)'!Y154)+SUMIF('Hypotheses expl (3,)'!Z154,'Compte résultat prévi'!$J$5,'Hypotheses expl (3,)'!AA154)+SUMIF('Hypotheses expl (3,)'!AB154,'Compte résultat prévi'!$J$5,'Hypotheses expl (3,)'!AC154)</f>
        <v>0</v>
      </c>
      <c r="K103" s="201">
        <f>+SUMIF('Hypotheses expl (3,)'!R154,'Compte résultat prévi'!$K$5,'Hypotheses expl (3,)'!S154)+SUMIF('Hypotheses expl (3,)'!T154,'Compte résultat prévi'!$K$5,'Hypotheses expl (3,)'!U154)+SUMIF('Hypotheses expl (3,)'!V154,'Compte résultat prévi'!$K$5,'Hypotheses expl (3,)'!W154)+SUMIF('Hypotheses expl (3,)'!X154,'Compte résultat prévi'!$K$5,'Hypotheses expl (3,)'!Y154)+SUMIF('Hypotheses expl (3,)'!Z154,'Compte résultat prévi'!$K$5,'Hypotheses expl (3,)'!AA154)+SUMIF('Hypotheses expl (3,)'!AB154,'Compte résultat prévi'!$K$5,'Hypotheses expl (3,)'!AC154)</f>
        <v>0</v>
      </c>
      <c r="L103" s="201">
        <f>+SUMIF('Hypotheses expl (3,)'!R154,'Compte résultat prévi'!$L$5,'Hypotheses expl (3,)'!S154)+SUMIF('Hypotheses expl (3,)'!T154,'Compte résultat prévi'!$L$5,'Hypotheses expl (3,)'!U154)+SUMIF('Hypotheses expl (3,)'!V154,'Compte résultat prévi'!$L$5,'Hypotheses expl (3,)'!W154)+SUMIF('Hypotheses expl (3,)'!X154,'Compte résultat prévi'!$L$5,'Hypotheses expl (3,)'!Y154)+SUMIF('Hypotheses expl (3,)'!Z154,'Compte résultat prévi'!$L$5,'Hypotheses expl (3,)'!AA154)+SUMIF('Hypotheses expl (3,)'!AB154,'Compte résultat prévi'!$L$5,'Hypotheses expl (3,)'!AC154)</f>
        <v>0</v>
      </c>
      <c r="M103" s="201">
        <f>+SUMIF('Hypotheses expl (3,)'!R154,'Compte résultat prévi'!$M$5,'Hypotheses expl (3,)'!S154)+SUMIF('Hypotheses expl (3,)'!T154,'Compte résultat prévi'!$M$5,'Hypotheses expl (3,)'!U154)+SUMIF('Hypotheses expl (3,)'!V154,'Compte résultat prévi'!$M$5,'Hypotheses expl (3,)'!W154)+SUMIF('Hypotheses expl (3,)'!X154,'Compte résultat prévi'!$M$5,'Hypotheses expl (3,)'!Y154)+SUMIF('Hypotheses expl (3,)'!Z154,'Compte résultat prévi'!$M$5,'Hypotheses expl (3,)'!AA154)+SUMIF('Hypotheses expl (3,)'!AB154,'Compte résultat prévi'!$M$5,'Hypotheses expl (3,)'!AC154)</f>
        <v>0</v>
      </c>
      <c r="N103" s="202">
        <f>+SUMIF('Hypotheses expl (3,)'!R154,'Compte résultat prévi'!$N$5,'Hypotheses expl (3,)'!S154)+SUMIF('Hypotheses expl (3,)'!T154,'Compte résultat prévi'!$N$5,'Hypotheses expl (3,)'!U154)+SUMIF('Hypotheses expl (3,)'!V154,'Compte résultat prévi'!$N$5,'Hypotheses expl (3,)'!W154)+SUMIF('Hypotheses expl (3,)'!X154,'Compte résultat prévi'!$N$5,'Hypotheses expl (3,)'!Y154)+SUMIF('Hypotheses expl (3,)'!Z154,'Compte résultat prévi'!$N$5,'Hypotheses expl (3,)'!AA154)+SUMIF('Hypotheses expl (3,)'!AB154,'Compte résultat prévi'!$N$5,'Hypotheses expl (3,)'!AC154)</f>
        <v>25000</v>
      </c>
      <c r="O103" s="200">
        <f>'Hypotheses expl (2)'!O154</f>
        <v>25000</v>
      </c>
      <c r="P103" s="201">
        <f>+SUMIF('Hypotheses expl (2)'!R154,'Compte résultat prévi'!$P$5,'Hypotheses expl (2)'!S154)+SUMIF('Hypotheses expl (2)'!T154,'Compte résultat prévi'!$P$5,'Hypotheses expl (2)'!U154)+SUMIF('Hypotheses expl (2)'!V154,'Compte résultat prévi'!$P$5,'Hypotheses expl (2)'!W154)+SUMIF('Hypotheses expl (2)'!X154,'Compte résultat prévi'!$P$5,'Hypotheses expl (2)'!Y154)+SUMIF('Hypotheses expl (2)'!Z154,'Compte résultat prévi'!$P$5,'Hypotheses expl (2)'!AA154)+SUMIF('Hypotheses expl (2)'!AB154,'Compte résultat prévi'!$P$5,'Hypotheses expl (2)'!AC154)</f>
        <v>0</v>
      </c>
      <c r="Q103" s="201">
        <f>+SUMIF('Hypotheses expl (2)'!R154,'Compte résultat prévi'!$Q$5,'Hypotheses expl (2)'!S154)+SUMIF('Hypotheses expl (2)'!T154,'Compte résultat prévi'!$Q$5,'Hypotheses expl (2)'!U154)+SUMIF('Hypotheses expl (2)'!V154,'Compte résultat prévi'!$Q$5,'Hypotheses expl (2)'!W154)+SUMIF('Hypotheses expl (2)'!X154,'Compte résultat prévi'!$Q$5,'Hypotheses expl (2)'!Y154)+SUMIF('Hypotheses expl (2)'!Z154,'Compte résultat prévi'!$Q$5,'Hypotheses expl (2)'!AA154)+SUMIF('Hypotheses expl (2)'!AB154,'Compte résultat prévi'!$Q$5,'Hypotheses expl (2)'!AC154)</f>
        <v>0</v>
      </c>
      <c r="R103" s="201">
        <f>+SUMIF('Hypotheses expl (2)'!R154,'Compte résultat prévi'!$R$5,'Hypotheses expl (2)'!S154)+SUMIF('Hypotheses expl (2)'!T154,'Compte résultat prévi'!$R$5,'Hypotheses expl (2)'!U154)+SUMIF('Hypotheses expl (2)'!V154,'Compte résultat prévi'!$R$5,'Hypotheses expl (2)'!W154)+SUMIF('Hypotheses expl (2)'!X154,'Compte résultat prévi'!$R$5,'Hypotheses expl (2)'!Y154)+SUMIF('Hypotheses expl (2)'!Z154,'Compte résultat prévi'!$R$5,'Hypotheses expl (2)'!AA154)+SUMIF('Hypotheses expl (2)'!AB154,'Compte résultat prévi'!$R$5,'Hypotheses expl (2)'!AC154)</f>
        <v>0</v>
      </c>
      <c r="S103" s="201">
        <f>+SUMIF('Hypotheses expl (2)'!R154,'Compte résultat prévi'!$S$5,'Hypotheses expl (2)'!S154)+SUMIF('Hypotheses expl (2)'!T154,'Compte résultat prévi'!$S$5,'Hypotheses expl (2)'!U154)+SUMIF('Hypotheses expl (2)'!V154,'Compte résultat prévi'!$S$5,'Hypotheses expl (2)'!W154)+SUMIF('Hypotheses expl (2)'!X154,'Compte résultat prévi'!$S$5,'Hypotheses expl (2)'!Y154)+SUMIF('Hypotheses expl (2)'!Z154,'Compte résultat prévi'!$S$5,'Hypotheses expl (2)'!AA154)+SUMIF('Hypotheses expl (2)'!AB154,'Compte résultat prévi'!$S$5,'Hypotheses expl (2)'!AC154)</f>
        <v>0</v>
      </c>
      <c r="T103" s="202">
        <f>+SUMIF('Hypotheses expl (2)'!R154,'Compte résultat prévi'!$T$5,'Hypotheses expl (2)'!S154)+SUMIF('Hypotheses expl (2)'!T154,'Compte résultat prévi'!$T$5,'Hypotheses expl (2)'!U154)+SUMIF('Hypotheses expl (2)'!V154,'Compte résultat prévi'!$T$5,'Hypotheses expl (2)'!W154)+SUMIF('Hypotheses expl (2)'!X154,'Compte résultat prévi'!$T$5,'Hypotheses expl (2)'!Y154)+SUMIF('Hypotheses expl (2)'!Z154,'Compte résultat prévi'!$T$5,'Hypotheses expl (2)'!AA154)+SUMIF('Hypotheses expl (2)'!AB154,'Compte résultat prévi'!$T$5,'Hypotheses expl (2)'!AC154)</f>
        <v>25000</v>
      </c>
      <c r="U103" s="203"/>
      <c r="V103" s="204"/>
    </row>
    <row r="104" outlineLevel="1">
      <c r="A104" s="198" t="str">
        <f>'Hypotheses expl'!B155</f>
        <v xml:space="preserve">Cotisations vie statuaire</v>
      </c>
      <c r="B104" s="234">
        <v>4</v>
      </c>
      <c r="C104" s="200">
        <f>'Hypotheses expl'!O155</f>
        <v>6900</v>
      </c>
      <c r="D104" s="201">
        <f>+SUMIF('Hypotheses expl'!R155,'Compte résultat prévi'!$D$5,'Hypotheses expl'!S155)+SUMIF('Hypotheses expl'!T155,'Compte résultat prévi'!$D$5,'Hypotheses expl'!U155)+SUMIF('Hypotheses expl'!V155,'Compte résultat prévi'!$D$5,'Hypotheses expl'!W155)+SUMIF('Hypotheses expl'!X155,'Compte résultat prévi'!$D$5,'Hypotheses expl'!Y155)+SUMIF('Hypotheses expl'!Z155,'Compte résultat prévi'!$D$5,'Hypotheses expl'!AA155)+SUMIF('Hypotheses expl'!AB155,'Compte résultat prévi'!$D$5,'Hypotheses expl'!AC155)</f>
        <v>0</v>
      </c>
      <c r="E104" s="201">
        <f>+SUMIF('Hypotheses expl'!R155,'Compte résultat prévi'!$E$5,'Hypotheses expl'!S155)+SUMIF('Hypotheses expl'!T155,'Compte résultat prévi'!$E$5,'Hypotheses expl'!U155)+SUMIF('Hypotheses expl'!V155,'Compte résultat prévi'!$E$5,'Hypotheses expl'!W155)+SUMIF('Hypotheses expl'!X155,'Compte résultat prévi'!$E$5,'Hypotheses expl'!Y155)+SUMIF('Hypotheses expl'!Z155,'Compte résultat prévi'!$E$5,'Hypotheses expl'!AA155)+SUMIF('Hypotheses expl'!AB155,'Compte résultat prévi'!$E$5,'Hypotheses expl'!AC155)</f>
        <v>0</v>
      </c>
      <c r="F104" s="201">
        <f>+SUMIF('Hypotheses expl'!R155,'Compte résultat prévi'!$F$5,'Hypotheses expl'!S155)+SUMIF('Hypotheses expl'!T155,'Compte résultat prévi'!$F$5,'Hypotheses expl'!U155)+SUMIF('Hypotheses expl'!V155,'Compte résultat prévi'!$F$5,'Hypotheses expl'!W155)+SUMIF('Hypotheses expl'!X155,'Compte résultat prévi'!$F$5,'Hypotheses expl'!Y155)+SUMIF('Hypotheses expl'!Z155,'Compte résultat prévi'!$F$5,'Hypotheses expl'!AA155)+SUMIF('Hypotheses expl'!AB155,'Compte résultat prévi'!$F$5,'Hypotheses expl'!AC155)</f>
        <v>0</v>
      </c>
      <c r="G104" s="201">
        <f>+SUMIF('Hypotheses expl'!R155,'Compte résultat prévi'!$G$5,'Hypotheses expl'!S155)+SUMIF('Hypotheses expl'!T155,'Compte résultat prévi'!$G$5,'Hypotheses expl'!U155)+SUMIF('Hypotheses expl'!V155,'Compte résultat prévi'!$G$5,'Hypotheses expl'!W155)+SUMIF('Hypotheses expl'!X155,'Compte résultat prévi'!$G$5,'Hypotheses expl'!Y155)+SUMIF('Hypotheses expl'!Z155,'Compte résultat prévi'!$G$5,'Hypotheses expl'!AA155)+SUMIF('Hypotheses expl'!AB155,'Compte résultat prévi'!$G$5,'Hypotheses expl'!AC155)</f>
        <v>0</v>
      </c>
      <c r="H104" s="202">
        <f>+SUMIF('Hypotheses expl'!R155,'Compte résultat prévi'!$H$5,'Hypotheses expl'!S155)+SUMIF('Hypotheses expl'!T155,'Compte résultat prévi'!$H$5,'Hypotheses expl'!U155)+SUMIF('Hypotheses expl'!V155,'Compte résultat prévi'!$H$5,'Hypotheses expl'!W155)+SUMIF('Hypotheses expl'!X155,'Compte résultat prévi'!$H$5,'Hypotheses expl'!Y155)+SUMIF('Hypotheses expl'!Z155,'Compte résultat prévi'!$H$5,'Hypotheses expl'!AA155)+SUMIF('Hypotheses expl'!AB155,'Compte résultat prévi'!$H$5,'Hypotheses expl'!AC155)</f>
        <v>6900</v>
      </c>
      <c r="I104" s="200">
        <f>'Hypotheses expl (3,)'!O155</f>
        <v>6900</v>
      </c>
      <c r="J104" s="201">
        <f>+SUMIF('Hypotheses expl (3,)'!R155,'Compte résultat prévi'!$J$5,'Hypotheses expl (3,)'!S155)+SUMIF('Hypotheses expl (3,)'!T155,'Compte résultat prévi'!$J$5,'Hypotheses expl (3,)'!U155)+SUMIF('Hypotheses expl (3,)'!V155,'Compte résultat prévi'!$J$5,'Hypotheses expl (3,)'!W155)+SUMIF('Hypotheses expl (3,)'!X155,'Compte résultat prévi'!$J$5,'Hypotheses expl (3,)'!Y155)+SUMIF('Hypotheses expl (3,)'!Z155,'Compte résultat prévi'!$J$5,'Hypotheses expl (3,)'!AA155)+SUMIF('Hypotheses expl (3,)'!AB155,'Compte résultat prévi'!$J$5,'Hypotheses expl (3,)'!AC155)</f>
        <v>0</v>
      </c>
      <c r="K104" s="201">
        <f>+SUMIF('Hypotheses expl (3,)'!R155,'Compte résultat prévi'!$K$5,'Hypotheses expl (3,)'!S155)+SUMIF('Hypotheses expl (3,)'!T155,'Compte résultat prévi'!$K$5,'Hypotheses expl (3,)'!U155)+SUMIF('Hypotheses expl (3,)'!V155,'Compte résultat prévi'!$K$5,'Hypotheses expl (3,)'!W155)+SUMIF('Hypotheses expl (3,)'!X155,'Compte résultat prévi'!$K$5,'Hypotheses expl (3,)'!Y155)+SUMIF('Hypotheses expl (3,)'!Z155,'Compte résultat prévi'!$K$5,'Hypotheses expl (3,)'!AA155)+SUMIF('Hypotheses expl (3,)'!AB155,'Compte résultat prévi'!$K$5,'Hypotheses expl (3,)'!AC155)</f>
        <v>0</v>
      </c>
      <c r="L104" s="201">
        <f>+SUMIF('Hypotheses expl (3,)'!R155,'Compte résultat prévi'!$L$5,'Hypotheses expl (3,)'!S155)+SUMIF('Hypotheses expl (3,)'!T155,'Compte résultat prévi'!$L$5,'Hypotheses expl (3,)'!U155)+SUMIF('Hypotheses expl (3,)'!V155,'Compte résultat prévi'!$L$5,'Hypotheses expl (3,)'!W155)+SUMIF('Hypotheses expl (3,)'!X155,'Compte résultat prévi'!$L$5,'Hypotheses expl (3,)'!Y155)+SUMIF('Hypotheses expl (3,)'!Z155,'Compte résultat prévi'!$L$5,'Hypotheses expl (3,)'!AA155)+SUMIF('Hypotheses expl (3,)'!AB155,'Compte résultat prévi'!$L$5,'Hypotheses expl (3,)'!AC155)</f>
        <v>0</v>
      </c>
      <c r="M104" s="201">
        <f>+SUMIF('Hypotheses expl (3,)'!R155,'Compte résultat prévi'!$M$5,'Hypotheses expl (3,)'!S155)+SUMIF('Hypotheses expl (3,)'!T155,'Compte résultat prévi'!$M$5,'Hypotheses expl (3,)'!U155)+SUMIF('Hypotheses expl (3,)'!V155,'Compte résultat prévi'!$M$5,'Hypotheses expl (3,)'!W155)+SUMIF('Hypotheses expl (3,)'!X155,'Compte résultat prévi'!$M$5,'Hypotheses expl (3,)'!Y155)+SUMIF('Hypotheses expl (3,)'!Z155,'Compte résultat prévi'!$M$5,'Hypotheses expl (3,)'!AA155)+SUMIF('Hypotheses expl (3,)'!AB155,'Compte résultat prévi'!$M$5,'Hypotheses expl (3,)'!AC155)</f>
        <v>0</v>
      </c>
      <c r="N104" s="202">
        <f>+SUMIF('Hypotheses expl (3,)'!R155,'Compte résultat prévi'!$N$5,'Hypotheses expl (3,)'!S155)+SUMIF('Hypotheses expl (3,)'!T155,'Compte résultat prévi'!$N$5,'Hypotheses expl (3,)'!U155)+SUMIF('Hypotheses expl (3,)'!V155,'Compte résultat prévi'!$N$5,'Hypotheses expl (3,)'!W155)+SUMIF('Hypotheses expl (3,)'!X155,'Compte résultat prévi'!$N$5,'Hypotheses expl (3,)'!Y155)+SUMIF('Hypotheses expl (3,)'!Z155,'Compte résultat prévi'!$N$5,'Hypotheses expl (3,)'!AA155)+SUMIF('Hypotheses expl (3,)'!AB155,'Compte résultat prévi'!$N$5,'Hypotheses expl (3,)'!AC155)</f>
        <v>6900</v>
      </c>
      <c r="O104" s="200">
        <f>'Hypotheses expl (2)'!O155</f>
        <v>6900</v>
      </c>
      <c r="P104" s="201">
        <f>+SUMIF('Hypotheses expl (2)'!R155,'Compte résultat prévi'!$P$5,'Hypotheses expl (2)'!S155)+SUMIF('Hypotheses expl (2)'!T155,'Compte résultat prévi'!$P$5,'Hypotheses expl (2)'!U155)+SUMIF('Hypotheses expl (2)'!V155,'Compte résultat prévi'!$P$5,'Hypotheses expl (2)'!W155)+SUMIF('Hypotheses expl (2)'!X155,'Compte résultat prévi'!$P$5,'Hypotheses expl (2)'!Y155)+SUMIF('Hypotheses expl (2)'!Z155,'Compte résultat prévi'!$P$5,'Hypotheses expl (2)'!AA155)+SUMIF('Hypotheses expl (2)'!AB155,'Compte résultat prévi'!$P$5,'Hypotheses expl (2)'!AC155)</f>
        <v>0</v>
      </c>
      <c r="Q104" s="201">
        <f>+SUMIF('Hypotheses expl (2)'!R155,'Compte résultat prévi'!$Q$5,'Hypotheses expl (2)'!S155)+SUMIF('Hypotheses expl (2)'!T155,'Compte résultat prévi'!$Q$5,'Hypotheses expl (2)'!U155)+SUMIF('Hypotheses expl (2)'!V155,'Compte résultat prévi'!$Q$5,'Hypotheses expl (2)'!W155)+SUMIF('Hypotheses expl (2)'!X155,'Compte résultat prévi'!$Q$5,'Hypotheses expl (2)'!Y155)+SUMIF('Hypotheses expl (2)'!Z155,'Compte résultat prévi'!$Q$5,'Hypotheses expl (2)'!AA155)+SUMIF('Hypotheses expl (2)'!AB155,'Compte résultat prévi'!$Q$5,'Hypotheses expl (2)'!AC155)</f>
        <v>0</v>
      </c>
      <c r="R104" s="201">
        <f>+SUMIF('Hypotheses expl (2)'!R155,'Compte résultat prévi'!$R$5,'Hypotheses expl (2)'!S155)+SUMIF('Hypotheses expl (2)'!T155,'Compte résultat prévi'!$R$5,'Hypotheses expl (2)'!U155)+SUMIF('Hypotheses expl (2)'!V155,'Compte résultat prévi'!$R$5,'Hypotheses expl (2)'!W155)+SUMIF('Hypotheses expl (2)'!X155,'Compte résultat prévi'!$R$5,'Hypotheses expl (2)'!Y155)+SUMIF('Hypotheses expl (2)'!Z155,'Compte résultat prévi'!$R$5,'Hypotheses expl (2)'!AA155)+SUMIF('Hypotheses expl (2)'!AB155,'Compte résultat prévi'!$R$5,'Hypotheses expl (2)'!AC155)</f>
        <v>0</v>
      </c>
      <c r="S104" s="201">
        <f>+SUMIF('Hypotheses expl (2)'!R155,'Compte résultat prévi'!$S$5,'Hypotheses expl (2)'!S155)+SUMIF('Hypotheses expl (2)'!T155,'Compte résultat prévi'!$S$5,'Hypotheses expl (2)'!U155)+SUMIF('Hypotheses expl (2)'!V155,'Compte résultat prévi'!$S$5,'Hypotheses expl (2)'!W155)+SUMIF('Hypotheses expl (2)'!X155,'Compte résultat prévi'!$S$5,'Hypotheses expl (2)'!Y155)+SUMIF('Hypotheses expl (2)'!Z155,'Compte résultat prévi'!$S$5,'Hypotheses expl (2)'!AA155)+SUMIF('Hypotheses expl (2)'!AB155,'Compte résultat prévi'!$S$5,'Hypotheses expl (2)'!AC155)</f>
        <v>0</v>
      </c>
      <c r="T104" s="202">
        <f>+SUMIF('Hypotheses expl (2)'!R155,'Compte résultat prévi'!$T$5,'Hypotheses expl (2)'!S155)+SUMIF('Hypotheses expl (2)'!T155,'Compte résultat prévi'!$T$5,'Hypotheses expl (2)'!U155)+SUMIF('Hypotheses expl (2)'!V155,'Compte résultat prévi'!$T$5,'Hypotheses expl (2)'!W155)+SUMIF('Hypotheses expl (2)'!X155,'Compte résultat prévi'!$T$5,'Hypotheses expl (2)'!Y155)+SUMIF('Hypotheses expl (2)'!Z155,'Compte résultat prévi'!$T$5,'Hypotheses expl (2)'!AA155)+SUMIF('Hypotheses expl (2)'!AB155,'Compte résultat prévi'!$T$5,'Hypotheses expl (2)'!AC155)</f>
        <v>6900</v>
      </c>
      <c r="U104" s="203"/>
      <c r="V104" s="204"/>
    </row>
    <row r="105" ht="15" outlineLevel="1">
      <c r="A105" s="198" t="str">
        <f>'Hypotheses expl'!B156</f>
        <v xml:space="preserve">Autres charges de gestion courante</v>
      </c>
      <c r="B105" s="234"/>
      <c r="C105" s="200">
        <f>'Hypotheses expl'!O156</f>
        <v>0</v>
      </c>
      <c r="D105" s="201">
        <f>+SUMIF('Hypotheses expl'!R156,'Compte résultat prévi'!$D$5,'Hypotheses expl'!S156)+SUMIF('Hypotheses expl'!T156,'Compte résultat prévi'!$D$5,'Hypotheses expl'!U156)+SUMIF('Hypotheses expl'!V156,'Compte résultat prévi'!$D$5,'Hypotheses expl'!W156)+SUMIF('Hypotheses expl'!X156,'Compte résultat prévi'!$D$5,'Hypotheses expl'!Y156)+SUMIF('Hypotheses expl'!Z156,'Compte résultat prévi'!$D$5,'Hypotheses expl'!AA156)+SUMIF('Hypotheses expl'!AB156,'Compte résultat prévi'!$D$5,'Hypotheses expl'!AC156)</f>
        <v>0</v>
      </c>
      <c r="E105" s="201">
        <f>+SUMIF('Hypotheses expl'!R156,'Compte résultat prévi'!$E$5,'Hypotheses expl'!S156)+SUMIF('Hypotheses expl'!T156,'Compte résultat prévi'!$E$5,'Hypotheses expl'!U156)+SUMIF('Hypotheses expl'!V156,'Compte résultat prévi'!$E$5,'Hypotheses expl'!W156)+SUMIF('Hypotheses expl'!X156,'Compte résultat prévi'!$E$5,'Hypotheses expl'!Y156)+SUMIF('Hypotheses expl'!Z156,'Compte résultat prévi'!$E$5,'Hypotheses expl'!AA156)+SUMIF('Hypotheses expl'!AB156,'Compte résultat prévi'!$E$5,'Hypotheses expl'!AC156)</f>
        <v>0</v>
      </c>
      <c r="F105" s="201">
        <f>+SUMIF('Hypotheses expl'!R156,'Compte résultat prévi'!$F$5,'Hypotheses expl'!S156)+SUMIF('Hypotheses expl'!T156,'Compte résultat prévi'!$F$5,'Hypotheses expl'!U156)+SUMIF('Hypotheses expl'!V156,'Compte résultat prévi'!$F$5,'Hypotheses expl'!W156)+SUMIF('Hypotheses expl'!X156,'Compte résultat prévi'!$F$5,'Hypotheses expl'!Y156)+SUMIF('Hypotheses expl'!Z156,'Compte résultat prévi'!$F$5,'Hypotheses expl'!AA156)+SUMIF('Hypotheses expl'!AB156,'Compte résultat prévi'!$F$5,'Hypotheses expl'!AC156)</f>
        <v>0</v>
      </c>
      <c r="G105" s="201">
        <f>+SUMIF('Hypotheses expl'!R156,'Compte résultat prévi'!$G$5,'Hypotheses expl'!S156)+SUMIF('Hypotheses expl'!T156,'Compte résultat prévi'!$G$5,'Hypotheses expl'!U156)+SUMIF('Hypotheses expl'!V156,'Compte résultat prévi'!$G$5,'Hypotheses expl'!W156)+SUMIF('Hypotheses expl'!X156,'Compte résultat prévi'!$G$5,'Hypotheses expl'!Y156)+SUMIF('Hypotheses expl'!Z156,'Compte résultat prévi'!$G$5,'Hypotheses expl'!AA156)+SUMIF('Hypotheses expl'!AB156,'Compte résultat prévi'!$G$5,'Hypotheses expl'!AC156)</f>
        <v>0</v>
      </c>
      <c r="H105" s="202">
        <f>+SUMIF('Hypotheses expl'!R156,'Compte résultat prévi'!$H$5,'Hypotheses expl'!S156)+SUMIF('Hypotheses expl'!T156,'Compte résultat prévi'!$H$5,'Hypotheses expl'!U156)+SUMIF('Hypotheses expl'!V156,'Compte résultat prévi'!$H$5,'Hypotheses expl'!W156)+SUMIF('Hypotheses expl'!X156,'Compte résultat prévi'!$H$5,'Hypotheses expl'!Y156)+SUMIF('Hypotheses expl'!Z156,'Compte résultat prévi'!$H$5,'Hypotheses expl'!AA156)+SUMIF('Hypotheses expl'!AB156,'Compte résultat prévi'!$H$5,'Hypotheses expl'!AC156)</f>
        <v>0</v>
      </c>
      <c r="I105" s="200">
        <f>'Hypotheses expl (3,)'!O156</f>
        <v>0</v>
      </c>
      <c r="J105" s="201">
        <f>+SUMIF('Hypotheses expl (3,)'!R156,'Compte résultat prévi'!$J$5,'Hypotheses expl (3,)'!S156)+SUMIF('Hypotheses expl (3,)'!T156,'Compte résultat prévi'!$J$5,'Hypotheses expl (3,)'!U156)+SUMIF('Hypotheses expl (3,)'!V156,'Compte résultat prévi'!$J$5,'Hypotheses expl (3,)'!W156)+SUMIF('Hypotheses expl (3,)'!X156,'Compte résultat prévi'!$J$5,'Hypotheses expl (3,)'!Y156)+SUMIF('Hypotheses expl (3,)'!Z156,'Compte résultat prévi'!$J$5,'Hypotheses expl (3,)'!AA156)+SUMIF('Hypotheses expl (3,)'!AB156,'Compte résultat prévi'!$J$5,'Hypotheses expl (3,)'!AC156)</f>
        <v>0</v>
      </c>
      <c r="K105" s="201">
        <f>+SUMIF('Hypotheses expl (3,)'!R156,'Compte résultat prévi'!$K$5,'Hypotheses expl (3,)'!S156)+SUMIF('Hypotheses expl (3,)'!T156,'Compte résultat prévi'!$K$5,'Hypotheses expl (3,)'!U156)+SUMIF('Hypotheses expl (3,)'!V156,'Compte résultat prévi'!$K$5,'Hypotheses expl (3,)'!W156)+SUMIF('Hypotheses expl (3,)'!X156,'Compte résultat prévi'!$K$5,'Hypotheses expl (3,)'!Y156)+SUMIF('Hypotheses expl (3,)'!Z156,'Compte résultat prévi'!$K$5,'Hypotheses expl (3,)'!AA156)+SUMIF('Hypotheses expl (3,)'!AB156,'Compte résultat prévi'!$K$5,'Hypotheses expl (3,)'!AC156)</f>
        <v>0</v>
      </c>
      <c r="L105" s="201">
        <f>+SUMIF('Hypotheses expl (3,)'!R156,'Compte résultat prévi'!$L$5,'Hypotheses expl (3,)'!S156)+SUMIF('Hypotheses expl (3,)'!T156,'Compte résultat prévi'!$L$5,'Hypotheses expl (3,)'!U156)+SUMIF('Hypotheses expl (3,)'!V156,'Compte résultat prévi'!$L$5,'Hypotheses expl (3,)'!W156)+SUMIF('Hypotheses expl (3,)'!X156,'Compte résultat prévi'!$L$5,'Hypotheses expl (3,)'!Y156)+SUMIF('Hypotheses expl (3,)'!Z156,'Compte résultat prévi'!$L$5,'Hypotheses expl (3,)'!AA156)+SUMIF('Hypotheses expl (3,)'!AB156,'Compte résultat prévi'!$L$5,'Hypotheses expl (3,)'!AC156)</f>
        <v>0</v>
      </c>
      <c r="M105" s="201">
        <f>+SUMIF('Hypotheses expl (3,)'!R156,'Compte résultat prévi'!$M$5,'Hypotheses expl (3,)'!S156)+SUMIF('Hypotheses expl (3,)'!T156,'Compte résultat prévi'!$M$5,'Hypotheses expl (3,)'!U156)+SUMIF('Hypotheses expl (3,)'!V156,'Compte résultat prévi'!$M$5,'Hypotheses expl (3,)'!W156)+SUMIF('Hypotheses expl (3,)'!X156,'Compte résultat prévi'!$M$5,'Hypotheses expl (3,)'!Y156)+SUMIF('Hypotheses expl (3,)'!Z156,'Compte résultat prévi'!$M$5,'Hypotheses expl (3,)'!AA156)+SUMIF('Hypotheses expl (3,)'!AB156,'Compte résultat prévi'!$M$5,'Hypotheses expl (3,)'!AC156)</f>
        <v>0</v>
      </c>
      <c r="N105" s="202">
        <f>+SUMIF('Hypotheses expl (3,)'!R156,'Compte résultat prévi'!$N$5,'Hypotheses expl (3,)'!S156)+SUMIF('Hypotheses expl (3,)'!T156,'Compte résultat prévi'!$N$5,'Hypotheses expl (3,)'!U156)+SUMIF('Hypotheses expl (3,)'!V156,'Compte résultat prévi'!$N$5,'Hypotheses expl (3,)'!W156)+SUMIF('Hypotheses expl (3,)'!X156,'Compte résultat prévi'!$N$5,'Hypotheses expl (3,)'!Y156)+SUMIF('Hypotheses expl (3,)'!Z156,'Compte résultat prévi'!$N$5,'Hypotheses expl (3,)'!AA156)+SUMIF('Hypotheses expl (3,)'!AB156,'Compte résultat prévi'!$N$5,'Hypotheses expl (3,)'!AC156)</f>
        <v>0</v>
      </c>
      <c r="O105" s="200">
        <f>'Hypotheses expl (2)'!O156</f>
        <v>0</v>
      </c>
      <c r="P105" s="201">
        <f>+SUMIF('Hypotheses expl (2)'!R156,'Compte résultat prévi'!$P$5,'Hypotheses expl (2)'!S156)+SUMIF('Hypotheses expl (2)'!T156,'Compte résultat prévi'!$P$5,'Hypotheses expl (2)'!U156)+SUMIF('Hypotheses expl (2)'!V156,'Compte résultat prévi'!$P$5,'Hypotheses expl (2)'!W156)+SUMIF('Hypotheses expl (2)'!X156,'Compte résultat prévi'!$P$5,'Hypotheses expl (2)'!Y156)+SUMIF('Hypotheses expl (2)'!Z156,'Compte résultat prévi'!$P$5,'Hypotheses expl (2)'!AA156)+SUMIF('Hypotheses expl (2)'!AB156,'Compte résultat prévi'!$P$5,'Hypotheses expl (2)'!AC156)</f>
        <v>0</v>
      </c>
      <c r="Q105" s="201">
        <f>+SUMIF('Hypotheses expl (2)'!R156,'Compte résultat prévi'!$Q$5,'Hypotheses expl (2)'!S156)+SUMIF('Hypotheses expl (2)'!T156,'Compte résultat prévi'!$Q$5,'Hypotheses expl (2)'!U156)+SUMIF('Hypotheses expl (2)'!V156,'Compte résultat prévi'!$Q$5,'Hypotheses expl (2)'!W156)+SUMIF('Hypotheses expl (2)'!X156,'Compte résultat prévi'!$Q$5,'Hypotheses expl (2)'!Y156)+SUMIF('Hypotheses expl (2)'!Z156,'Compte résultat prévi'!$Q$5,'Hypotheses expl (2)'!AA156)+SUMIF('Hypotheses expl (2)'!AB156,'Compte résultat prévi'!$Q$5,'Hypotheses expl (2)'!AC156)</f>
        <v>0</v>
      </c>
      <c r="R105" s="201">
        <f>+SUMIF('Hypotheses expl (2)'!R156,'Compte résultat prévi'!$R$5,'Hypotheses expl (2)'!S156)+SUMIF('Hypotheses expl (2)'!T156,'Compte résultat prévi'!$R$5,'Hypotheses expl (2)'!U156)+SUMIF('Hypotheses expl (2)'!V156,'Compte résultat prévi'!$R$5,'Hypotheses expl (2)'!W156)+SUMIF('Hypotheses expl (2)'!X156,'Compte résultat prévi'!$R$5,'Hypotheses expl (2)'!Y156)+SUMIF('Hypotheses expl (2)'!Z156,'Compte résultat prévi'!$R$5,'Hypotheses expl (2)'!AA156)+SUMIF('Hypotheses expl (2)'!AB156,'Compte résultat prévi'!$R$5,'Hypotheses expl (2)'!AC156)</f>
        <v>0</v>
      </c>
      <c r="S105" s="201">
        <f>+SUMIF('Hypotheses expl (2)'!R156,'Compte résultat prévi'!$S$5,'Hypotheses expl (2)'!S156)+SUMIF('Hypotheses expl (2)'!T156,'Compte résultat prévi'!$S$5,'Hypotheses expl (2)'!U156)+SUMIF('Hypotheses expl (2)'!V156,'Compte résultat prévi'!$S$5,'Hypotheses expl (2)'!W156)+SUMIF('Hypotheses expl (2)'!X156,'Compte résultat prévi'!$S$5,'Hypotheses expl (2)'!Y156)+SUMIF('Hypotheses expl (2)'!Z156,'Compte résultat prévi'!$S$5,'Hypotheses expl (2)'!AA156)+SUMIF('Hypotheses expl (2)'!AB156,'Compte résultat prévi'!$S$5,'Hypotheses expl (2)'!AC156)</f>
        <v>0</v>
      </c>
      <c r="T105" s="202">
        <f>+SUMIF('Hypotheses expl (2)'!R156,'Compte résultat prévi'!$T$5,'Hypotheses expl (2)'!S156)+SUMIF('Hypotheses expl (2)'!T156,'Compte résultat prévi'!$T$5,'Hypotheses expl (2)'!U156)+SUMIF('Hypotheses expl (2)'!V156,'Compte résultat prévi'!$T$5,'Hypotheses expl (2)'!W156)+SUMIF('Hypotheses expl (2)'!X156,'Compte résultat prévi'!$T$5,'Hypotheses expl (2)'!Y156)+SUMIF('Hypotheses expl (2)'!Z156,'Compte résultat prévi'!$T$5,'Hypotheses expl (2)'!AA156)+SUMIF('Hypotheses expl (2)'!AB156,'Compte résultat prévi'!$T$5,'Hypotheses expl (2)'!AC156)</f>
        <v>0</v>
      </c>
      <c r="U105" s="203"/>
      <c r="V105" s="204"/>
    </row>
    <row r="106" ht="18">
      <c r="A106" s="229" t="s">
        <v>318</v>
      </c>
      <c r="B106" s="237">
        <v>4</v>
      </c>
      <c r="C106" s="238">
        <f>'Hypotheses expl'!O161+'Hypotheses expl'!O162</f>
        <v>33500</v>
      </c>
      <c r="D106" s="239">
        <f>+SUMIF('Hypotheses expl'!R162,'Compte résultat prévi'!$D$5,'Hypotheses expl'!S162)+SUMIF('Hypotheses expl'!T162,'Compte résultat prévi'!$D$5,'Hypotheses expl'!U162)+SUMIF('Hypotheses expl'!V162,'Compte résultat prévi'!$D$5,'Hypotheses expl'!W162)+SUMIF('Hypotheses expl'!X162,'Compte résultat prévi'!$D$5,'Hypotheses expl'!Y162)+SUMIF('Hypotheses expl'!Z162,'Compte résultat prévi'!$D$5,'Hypotheses expl'!AA162)+SUMIF('Hypotheses expl'!AB162,'Compte résultat prévi'!$D$5,'Hypotheses expl'!AC162)+SUMIF('Hypotheses expl'!R161,'Compte résultat prévi'!$D$5,'Hypotheses expl'!S161)+SUMIF('Hypotheses expl'!T161,'Compte résultat prévi'!$D$5,'Hypotheses expl'!U161)+SUMIF('Hypotheses expl'!V161,'Compte résultat prévi'!$D$5,'Hypotheses expl'!W161)+SUMIF('Hypotheses expl'!X161,'Compte résultat prévi'!$D$5,'Hypotheses expl'!Y161)+SUMIF('Hypotheses expl'!Z161,'Compte résultat prévi'!$D$5,'Hypotheses expl'!AA161)+SUMIF('Hypotheses expl'!AB161,'Compte résultat prévi'!$D$5,'Hypotheses expl'!AC161)</f>
        <v>0</v>
      </c>
      <c r="E106" s="239">
        <f>+SUMIF('Hypotheses expl'!R162,'Compte résultat prévi'!$E$5,'Hypotheses expl'!S162)+SUMIF('Hypotheses expl'!T162,'Compte résultat prévi'!$E$5,'Hypotheses expl'!U162)+SUMIF('Hypotheses expl'!V162,'Compte résultat prévi'!$E$5,'Hypotheses expl'!W162)+SUMIF('Hypotheses expl'!X162,'Compte résultat prévi'!$E$5,'Hypotheses expl'!Y162)+SUMIF('Hypotheses expl'!Z162,'Compte résultat prévi'!$E$5,'Hypotheses expl'!AA162)+SUMIF('Hypotheses expl'!AB162,'Compte résultat prévi'!$E$5,'Hypotheses expl'!AC162)+SUMIF('Hypotheses expl'!R161,'Compte résultat prévi'!$E$5,'Hypotheses expl'!S161)+SUMIF('Hypotheses expl'!T161,'Compte résultat prévi'!$E$5,'Hypotheses expl'!U161)+SUMIF('Hypotheses expl'!V161,'Compte résultat prévi'!$E$5,'Hypotheses expl'!W161)+SUMIF('Hypotheses expl'!X161,'Compte résultat prévi'!$E$5,'Hypotheses expl'!Y161)+SUMIF('Hypotheses expl'!Z161,'Compte résultat prévi'!$E$5,'Hypotheses expl'!AA161)+SUMIF('Hypotheses expl'!AB161,'Compte résultat prévi'!$E$5,'Hypotheses expl'!AC161)</f>
        <v>0</v>
      </c>
      <c r="F106" s="239">
        <f>+SUMIF('Hypotheses expl'!R162,'Compte résultat prévi'!$F$5,'Hypotheses expl'!S162)+SUMIF('Hypotheses expl'!T162,'Compte résultat prévi'!$F$5,'Hypotheses expl'!U162)+SUMIF('Hypotheses expl'!V162,'Compte résultat prévi'!$F$5,'Hypotheses expl'!W162)+SUMIF('Hypotheses expl'!X162,'Compte résultat prévi'!$F$5,'Hypotheses expl'!Y162)+SUMIF('Hypotheses expl'!Z162,'Compte résultat prévi'!$F$5,'Hypotheses expl'!AA162)+SUMIF('Hypotheses expl'!AB162,'Compte résultat prévi'!$F$5,'Hypotheses expl'!AC162)+SUMIF('Hypotheses expl'!R161,'Compte résultat prévi'!$F$5,'Hypotheses expl'!S161)+SUMIF('Hypotheses expl'!T161,'Compte résultat prévi'!$F$5,'Hypotheses expl'!U161)+SUMIF('Hypotheses expl'!V161,'Compte résultat prévi'!$F$5,'Hypotheses expl'!W161)+SUMIF('Hypotheses expl'!X161,'Compte résultat prévi'!$F$5,'Hypotheses expl'!Y161)+SUMIF('Hypotheses expl'!Z161,'Compte résultat prévi'!$F$5,'Hypotheses expl'!AA161)+SUMIF('Hypotheses expl'!AB161,'Compte résultat prévi'!$F$5,'Hypotheses expl'!AC161)</f>
        <v>0</v>
      </c>
      <c r="G106" s="239">
        <f>+SUMIF('Hypotheses expl'!R162,'Compte résultat prévi'!$G$5,'Hypotheses expl'!S162)+SUMIF('Hypotheses expl'!T162,'Compte résultat prévi'!$G$5,'Hypotheses expl'!U162)+SUMIF('Hypotheses expl'!V162,'Compte résultat prévi'!$G$5,'Hypotheses expl'!W162)+SUMIF('Hypotheses expl'!X162,'Compte résultat prévi'!$G$5,'Hypotheses expl'!Y162)+SUMIF('Hypotheses expl'!Z162,'Compte résultat prévi'!$G$5,'Hypotheses expl'!AA162)+SUMIF('Hypotheses expl'!AB162,'Compte résultat prévi'!$G$5,'Hypotheses expl'!AC162)+SUMIF('Hypotheses expl'!R161,'Compte résultat prévi'!$G$5,'Hypotheses expl'!S161)+SUMIF('Hypotheses expl'!T161,'Compte résultat prévi'!$G$5,'Hypotheses expl'!U161)+SUMIF('Hypotheses expl'!V161,'Compte résultat prévi'!$G$5,'Hypotheses expl'!W161)+SUMIF('Hypotheses expl'!X161,'Compte résultat prévi'!$G$5,'Hypotheses expl'!Y161)+SUMIF('Hypotheses expl'!Z161,'Compte résultat prévi'!$G$5,'Hypotheses expl'!AA161)+SUMIF('Hypotheses expl'!AB161,'Compte résultat prévi'!$G$5,'Hypotheses expl'!AC161)</f>
        <v>0</v>
      </c>
      <c r="H106" s="240">
        <f>+SUMIF('Hypotheses expl'!R162,'Compte résultat prévi'!$H$5,'Hypotheses expl'!S162)+SUMIF('Hypotheses expl'!T162,'Compte résultat prévi'!$H$5,'Hypotheses expl'!U162)+SUMIF('Hypotheses expl'!V162,'Compte résultat prévi'!$H$5,'Hypotheses expl'!W162)+SUMIF('Hypotheses expl'!X162,'Compte résultat prévi'!$H$5,'Hypotheses expl'!Y162)+SUMIF('Hypotheses expl'!Z162,'Compte résultat prévi'!$H$5,'Hypotheses expl'!AA162)+SUMIF('Hypotheses expl'!AB162,'Compte résultat prévi'!$H$5,'Hypotheses expl'!AC162)+SUMIF('Hypotheses expl'!R161,'Compte résultat prévi'!$H$5,'Hypotheses expl'!S161)+SUMIF('Hypotheses expl'!T161,'Compte résultat prévi'!$H$5,'Hypotheses expl'!U161)+SUMIF('Hypotheses expl'!V161,'Compte résultat prévi'!$H$5,'Hypotheses expl'!W161)+SUMIF('Hypotheses expl'!X161,'Compte résultat prévi'!$H$5,'Hypotheses expl'!Y161)+SUMIF('Hypotheses expl'!Z161,'Compte résultat prévi'!$H$5,'Hypotheses expl'!AA161)+SUMIF('Hypotheses expl'!AB161,'Compte résultat prévi'!$H$5,'Hypotheses expl'!AC161)</f>
        <v>33500</v>
      </c>
      <c r="I106" s="238">
        <f>'Hypotheses expl (3,)'!O161+'Hypotheses expl (3,)'!O162</f>
        <v>33500</v>
      </c>
      <c r="J106" s="239">
        <f>+SUMIF('Hypotheses expl (3,)'!R162,'Compte résultat prévi'!$J$5,'Hypotheses expl (3,)'!S162)+SUMIF('Hypotheses expl (3,)'!T162,'Compte résultat prévi'!$J$5,'Hypotheses expl (3,)'!U162)+SUMIF('Hypotheses expl (3,)'!V162,'Compte résultat prévi'!$J$5,'Hypotheses expl (3,)'!W162)+SUMIF('Hypotheses expl (3,)'!X162,'Compte résultat prévi'!$J$5,'Hypotheses expl (3,)'!Y162)+SUMIF('Hypotheses expl (3,)'!Z162,'Compte résultat prévi'!$J$5,'Hypotheses expl (3,)'!AA162)+SUMIF('Hypotheses expl (3,)'!AB162,'Compte résultat prévi'!$J$5,'Hypotheses expl (3,)'!AC162)+SUMIF('Hypotheses expl (3,)'!R161,'Compte résultat prévi'!$J$5,'Hypotheses expl (3,)'!S161)+SUMIF('Hypotheses expl (3,)'!T161,'Compte résultat prévi'!$J$5,'Hypotheses expl (3,)'!U161)+SUMIF('Hypotheses expl (3,)'!V161,'Compte résultat prévi'!$J$5,'Hypotheses expl (3,)'!W161)+SUMIF('Hypotheses expl (3,)'!X161,'Compte résultat prévi'!$J$5,'Hypotheses expl (3,)'!Y161)+SUMIF('Hypotheses expl (3,)'!Z161,'Compte résultat prévi'!$J$5,'Hypotheses expl (3,)'!AA161)+SUMIF('Hypotheses expl (3,)'!AB161,'Compte résultat prévi'!$J$5,'Hypotheses expl (3,)'!AC161)</f>
        <v>0</v>
      </c>
      <c r="K106" s="239">
        <f>+SUMIF('Hypotheses expl (3,)'!R162,'Compte résultat prévi'!$K$5,'Hypotheses expl (3,)'!S162)+SUMIF('Hypotheses expl (3,)'!T162,'Compte résultat prévi'!$K$5,'Hypotheses expl (3,)'!U162)+SUMIF('Hypotheses expl (3,)'!V162,'Compte résultat prévi'!$K$5,'Hypotheses expl (3,)'!W162)+SUMIF('Hypotheses expl (3,)'!X162,'Compte résultat prévi'!$K$5,'Hypotheses expl (3,)'!Y162)+SUMIF('Hypotheses expl (3,)'!Z162,'Compte résultat prévi'!$K$5,'Hypotheses expl (3,)'!AA162)+SUMIF('Hypotheses expl (3,)'!AB162,'Compte résultat prévi'!$K$5,'Hypotheses expl (3,)'!AC162)+SUMIF('Hypotheses expl (3,)'!R161,'Compte résultat prévi'!$K$5,'Hypotheses expl (3,)'!S161)+SUMIF('Hypotheses expl (3,)'!T161,'Compte résultat prévi'!$K$5,'Hypotheses expl (3,)'!U161)+SUMIF('Hypotheses expl (3,)'!V161,'Compte résultat prévi'!$K$5,'Hypotheses expl (3,)'!W161)+SUMIF('Hypotheses expl (3,)'!X161,'Compte résultat prévi'!$K$5,'Hypotheses expl (3,)'!Y161)+SUMIF('Hypotheses expl (3,)'!Z161,'Compte résultat prévi'!$K$5,'Hypotheses expl (3,)'!AA161)+SUMIF('Hypotheses expl (3,)'!AB161,'Compte résultat prévi'!$K$5,'Hypotheses expl (3,)'!AC161)</f>
        <v>0</v>
      </c>
      <c r="L106" s="239">
        <f>+SUMIF('Hypotheses expl (3,)'!R162,'Compte résultat prévi'!$L$5,'Hypotheses expl (3,)'!S162)+SUMIF('Hypotheses expl (3,)'!T162,'Compte résultat prévi'!$L$5,'Hypotheses expl (3,)'!U162)+SUMIF('Hypotheses expl (3,)'!V162,'Compte résultat prévi'!$L$5,'Hypotheses expl (3,)'!W162)+SUMIF('Hypotheses expl (3,)'!X162,'Compte résultat prévi'!$L$5,'Hypotheses expl (3,)'!Y162)+SUMIF('Hypotheses expl (3,)'!Z162,'Compte résultat prévi'!$L$5,'Hypotheses expl (3,)'!AA162)+SUMIF('Hypotheses expl (3,)'!AB162,'Compte résultat prévi'!$L$5,'Hypotheses expl (3,)'!AC162)+SUMIF('Hypotheses expl (3,)'!R161,'Compte résultat prévi'!$L$5,'Hypotheses expl (3,)'!S161)+SUMIF('Hypotheses expl (3,)'!T161,'Compte résultat prévi'!$L$5,'Hypotheses expl (3,)'!U161)+SUMIF('Hypotheses expl (3,)'!V161,'Compte résultat prévi'!$L$5,'Hypotheses expl (3,)'!W161)+SUMIF('Hypotheses expl (3,)'!X161,'Compte résultat prévi'!$L$5,'Hypotheses expl (3,)'!Y161)+SUMIF('Hypotheses expl (3,)'!Z161,'Compte résultat prévi'!$L$5,'Hypotheses expl (3,)'!AA161)+SUMIF('Hypotheses expl (3,)'!AB161,'Compte résultat prévi'!$L$5,'Hypotheses expl (3,)'!AC161)</f>
        <v>0</v>
      </c>
      <c r="M106" s="239">
        <f>+SUMIF('Hypotheses expl (3,)'!R162,'Compte résultat prévi'!$M$5,'Hypotheses expl (3,)'!S162)+SUMIF('Hypotheses expl (3,)'!T162,'Compte résultat prévi'!$M$5,'Hypotheses expl (3,)'!U162)+SUMIF('Hypotheses expl (3,)'!V162,'Compte résultat prévi'!$M$5,'Hypotheses expl (3,)'!W162)+SUMIF('Hypotheses expl (3,)'!X162,'Compte résultat prévi'!$M$5,'Hypotheses expl (3,)'!Y162)+SUMIF('Hypotheses expl (3,)'!Z162,'Compte résultat prévi'!$M$5,'Hypotheses expl (3,)'!AA162)+SUMIF('Hypotheses expl (3,)'!AB162,'Compte résultat prévi'!$M$5,'Hypotheses expl (3,)'!AC162)+SUMIF('Hypotheses expl (3,)'!R161,'Compte résultat prévi'!$M$5,'Hypotheses expl (3,)'!S161)+SUMIF('Hypotheses expl (3,)'!T161,'Compte résultat prévi'!$M$5,'Hypotheses expl (3,)'!U161)+SUMIF('Hypotheses expl (3,)'!V161,'Compte résultat prévi'!$M$5,'Hypotheses expl (3,)'!W161)+SUMIF('Hypotheses expl (3,)'!X161,'Compte résultat prévi'!$M$5,'Hypotheses expl (3,)'!Y161)+SUMIF('Hypotheses expl (3,)'!Z161,'Compte résultat prévi'!$M$5,'Hypotheses expl (3,)'!AA161)+SUMIF('Hypotheses expl (3,)'!AB161,'Compte résultat prévi'!$M$5,'Hypotheses expl (3,)'!AC161)</f>
        <v>0</v>
      </c>
      <c r="N106" s="240">
        <f>+SUMIF('Hypotheses expl (3,)'!R162,'Compte résultat prévi'!$N$5,'Hypotheses expl (3,)'!S162)+SUMIF('Hypotheses expl (3,)'!T162,'Compte résultat prévi'!$N$5,'Hypotheses expl (3,)'!U162)+SUMIF('Hypotheses expl (3,)'!V162,'Compte résultat prévi'!$N$5,'Hypotheses expl (3,)'!W162)+SUMIF('Hypotheses expl (3,)'!X162,'Compte résultat prévi'!$N$5,'Hypotheses expl (3,)'!Y162)+SUMIF('Hypotheses expl (3,)'!Z162,'Compte résultat prévi'!$N$5,'Hypotheses expl (3,)'!AA162)+SUMIF('Hypotheses expl (3,)'!AB162,'Compte résultat prévi'!$N$5,'Hypotheses expl (3,)'!AC162)+SUMIF('Hypotheses expl (3,)'!R161,'Compte résultat prévi'!$N$5,'Hypotheses expl (3,)'!S161)+SUMIF('Hypotheses expl (3,)'!T161,'Compte résultat prévi'!$N$5,'Hypotheses expl (3,)'!U161)+SUMIF('Hypotheses expl (3,)'!V161,'Compte résultat prévi'!$N$5,'Hypotheses expl (3,)'!W161)+SUMIF('Hypotheses expl (3,)'!X161,'Compte résultat prévi'!$N$5,'Hypotheses expl (3,)'!Y161)+SUMIF('Hypotheses expl (3,)'!Z161,'Compte résultat prévi'!$N$5,'Hypotheses expl (3,)'!AA161)+SUMIF('Hypotheses expl (3,)'!AB161,'Compte résultat prévi'!$N$5,'Hypotheses expl (3,)'!AC161)</f>
        <v>33500</v>
      </c>
      <c r="O106" s="238">
        <f>'Hypotheses expl (2)'!O161+'Hypotheses expl (2)'!O162</f>
        <v>33500</v>
      </c>
      <c r="P106" s="239">
        <f>+SUMIF('Hypotheses expl (2)'!R162,'Compte résultat prévi'!$P$5,'Hypotheses expl (2)'!S162)+SUMIF('Hypotheses expl (2)'!T162,'Compte résultat prévi'!$P$5,'Hypotheses expl (2)'!U162)+SUMIF('Hypotheses expl (2)'!V162,'Compte résultat prévi'!$P$5,'Hypotheses expl (2)'!W162)+SUMIF('Hypotheses expl (2)'!X162,'Compte résultat prévi'!$P$5,'Hypotheses expl (2)'!Y162)+SUMIF('Hypotheses expl (2)'!Z162,'Compte résultat prévi'!$P$5,'Hypotheses expl (2)'!AA162)+SUMIF('Hypotheses expl (2)'!AB162,'Compte résultat prévi'!$P$5,'Hypotheses expl (2)'!AC162)+SUMIF('Hypotheses expl (2)'!R161,'Compte résultat prévi'!$P$5,'Hypotheses expl (2)'!S161)+SUMIF('Hypotheses expl (2)'!T161,'Compte résultat prévi'!$P$5,'Hypotheses expl (2)'!U161)+SUMIF('Hypotheses expl (2)'!V161,'Compte résultat prévi'!$P$5,'Hypotheses expl (2)'!W161)+SUMIF('Hypotheses expl (2)'!X161,'Compte résultat prévi'!$P$5,'Hypotheses expl (2)'!Y161)+SUMIF('Hypotheses expl (2)'!Z161,'Compte résultat prévi'!$P$5,'Hypotheses expl (2)'!AA161)+SUMIF('Hypotheses expl (2)'!AB161,'Compte résultat prévi'!$P$5,'Hypotheses expl (2)'!AC161)</f>
        <v>0</v>
      </c>
      <c r="Q106" s="239">
        <f>+SUMIF('Hypotheses expl (2)'!R162,'Compte résultat prévi'!$Q$5,'Hypotheses expl (2)'!S162)+SUMIF('Hypotheses expl (2)'!T162,'Compte résultat prévi'!$Q$5,'Hypotheses expl (2)'!U162)+SUMIF('Hypotheses expl (2)'!V162,'Compte résultat prévi'!$Q$5,'Hypotheses expl (2)'!W162)+SUMIF('Hypotheses expl (2)'!X162,'Compte résultat prévi'!$Q$5,'Hypotheses expl (2)'!Y162)+SUMIF('Hypotheses expl (2)'!Z162,'Compte résultat prévi'!$Q$5,'Hypotheses expl (2)'!AA162)+SUMIF('Hypotheses expl (2)'!AB162,'Compte résultat prévi'!$Q$5,'Hypotheses expl (2)'!AC162)+SUMIF('Hypotheses expl (2)'!R161,'Compte résultat prévi'!$Q$5,'Hypotheses expl (2)'!S161)+SUMIF('Hypotheses expl (2)'!T161,'Compte résultat prévi'!$Q$5,'Hypotheses expl (2)'!U161)+SUMIF('Hypotheses expl (2)'!V161,'Compte résultat prévi'!$Q$5,'Hypotheses expl (2)'!W161)+SUMIF('Hypotheses expl (2)'!X161,'Compte résultat prévi'!$Q$5,'Hypotheses expl (2)'!Y161)+SUMIF('Hypotheses expl (2)'!Z161,'Compte résultat prévi'!$Q$5,'Hypotheses expl (2)'!AA161)+SUMIF('Hypotheses expl (2)'!AB161,'Compte résultat prévi'!$Q$5,'Hypotheses expl (2)'!AC161)</f>
        <v>0</v>
      </c>
      <c r="R106" s="239">
        <f>+SUMIF('Hypotheses expl (2)'!R162,'Compte résultat prévi'!$R$5,'Hypotheses expl (2)'!S162)+SUMIF('Hypotheses expl (2)'!T162,'Compte résultat prévi'!$R$5,'Hypotheses expl (2)'!U162)+SUMIF('Hypotheses expl (2)'!V162,'Compte résultat prévi'!$R$5,'Hypotheses expl (2)'!W162)+SUMIF('Hypotheses expl (2)'!X162,'Compte résultat prévi'!$R$5,'Hypotheses expl (2)'!Y162)+SUMIF('Hypotheses expl (2)'!Z162,'Compte résultat prévi'!$R$5,'Hypotheses expl (2)'!AA162)+SUMIF('Hypotheses expl (2)'!AB162,'Compte résultat prévi'!$R$5,'Hypotheses expl (2)'!AC162)+SUMIF('Hypotheses expl (2)'!R161,'Compte résultat prévi'!$R$5,'Hypotheses expl (2)'!S161)+SUMIF('Hypotheses expl (2)'!T161,'Compte résultat prévi'!$R$5,'Hypotheses expl (2)'!U161)+SUMIF('Hypotheses expl (2)'!V161,'Compte résultat prévi'!$R$5,'Hypotheses expl (2)'!W161)+SUMIF('Hypotheses expl (2)'!X161,'Compte résultat prévi'!$R$5,'Hypotheses expl (2)'!Y161)+SUMIF('Hypotheses expl (2)'!Z161,'Compte résultat prévi'!$R$5,'Hypotheses expl (2)'!AA161)+SUMIF('Hypotheses expl (2)'!AB161,'Compte résultat prévi'!$R$5,'Hypotheses expl (2)'!AC161)</f>
        <v>0</v>
      </c>
      <c r="S106" s="239">
        <f>+SUMIF('Hypotheses expl (2)'!R162,'Compte résultat prévi'!$S$5,'Hypotheses expl (2)'!S162)+SUMIF('Hypotheses expl (2)'!T162,'Compte résultat prévi'!$S$5,'Hypotheses expl (2)'!U162)+SUMIF('Hypotheses expl (2)'!V162,'Compte résultat prévi'!$S$5,'Hypotheses expl (2)'!W162)+SUMIF('Hypotheses expl (2)'!X162,'Compte résultat prévi'!$S$5,'Hypotheses expl (2)'!Y162)+SUMIF('Hypotheses expl (2)'!Z162,'Compte résultat prévi'!$S$5,'Hypotheses expl (2)'!AA162)+SUMIF('Hypotheses expl (2)'!AB162,'Compte résultat prévi'!$S$5,'Hypotheses expl (2)'!AC162)+SUMIF('Hypotheses expl (2)'!R161,'Compte résultat prévi'!$S$5,'Hypotheses expl (2)'!S161)+SUMIF('Hypotheses expl (2)'!T161,'Compte résultat prévi'!$S$5,'Hypotheses expl (2)'!U161)+SUMIF('Hypotheses expl (2)'!V161,'Compte résultat prévi'!$S$5,'Hypotheses expl (2)'!W161)+SUMIF('Hypotheses expl (2)'!X161,'Compte résultat prévi'!$S$5,'Hypotheses expl (2)'!Y161)+SUMIF('Hypotheses expl (2)'!Z161,'Compte résultat prévi'!$S$5,'Hypotheses expl (2)'!AA161)+SUMIF('Hypotheses expl (2)'!AB161,'Compte résultat prévi'!$S$5,'Hypotheses expl (2)'!AC161)</f>
        <v>0</v>
      </c>
      <c r="T106" s="240">
        <f>+SUMIF('Hypotheses expl (2)'!R162,'Compte résultat prévi'!$T$5,'Hypotheses expl (2)'!S162)+SUMIF('Hypotheses expl (2)'!T162,'Compte résultat prévi'!$T$5,'Hypotheses expl (2)'!U162)+SUMIF('Hypotheses expl (2)'!V162,'Compte résultat prévi'!$T$5,'Hypotheses expl (2)'!W162)+SUMIF('Hypotheses expl (2)'!X162,'Compte résultat prévi'!$T$5,'Hypotheses expl (2)'!Y162)+SUMIF('Hypotheses expl (2)'!Z162,'Compte résultat prévi'!$T$5,'Hypotheses expl (2)'!AA162)+SUMIF('Hypotheses expl (2)'!AB162,'Compte résultat prévi'!$T$5,'Hypotheses expl (2)'!AC162)+SUMIF('Hypotheses expl (2)'!R161,'Compte résultat prévi'!$T$5,'Hypotheses expl (2)'!S161)+SUMIF('Hypotheses expl (2)'!T161,'Compte résultat prévi'!$T$5,'Hypotheses expl (2)'!U161)+SUMIF('Hypotheses expl (2)'!V161,'Compte résultat prévi'!$T$5,'Hypotheses expl (2)'!W161)+SUMIF('Hypotheses expl (2)'!X161,'Compte résultat prévi'!$T$5,'Hypotheses expl (2)'!Y161)+SUMIF('Hypotheses expl (2)'!Z161,'Compte résultat prévi'!$T$5,'Hypotheses expl (2)'!AA161)+SUMIF('Hypotheses expl (2)'!AB161,'Compte résultat prévi'!$T$5,'Hypotheses expl (2)'!AC161)</f>
        <v>33500</v>
      </c>
      <c r="U106" s="241"/>
      <c r="V106" s="242"/>
    </row>
    <row r="107" ht="15">
      <c r="A107" s="243" t="s">
        <v>319</v>
      </c>
      <c r="B107" s="213"/>
      <c r="C107" s="244"/>
      <c r="D107" s="245">
        <f>(D6+D18)/D90</f>
        <v>1.6466953400551585</v>
      </c>
      <c r="E107" s="245">
        <f>(E6+E18)/E90</f>
        <v>3.0660150504939527</v>
      </c>
      <c r="F107" s="245">
        <f>(F6+F18)/F90</f>
        <v>2.5225987738097917</v>
      </c>
      <c r="G107" s="245">
        <f>(G6+G18)/G90</f>
        <v>1.9211516640190365</v>
      </c>
      <c r="H107" s="246"/>
      <c r="I107" s="214"/>
      <c r="J107" s="169"/>
      <c r="K107" s="169"/>
      <c r="L107" s="169"/>
      <c r="M107" s="169"/>
      <c r="N107" s="215"/>
      <c r="O107" s="214"/>
      <c r="P107" s="169"/>
      <c r="Q107" s="169"/>
      <c r="R107" s="169"/>
      <c r="S107" s="169"/>
      <c r="T107" s="215"/>
      <c r="U107" s="216"/>
      <c r="V107" s="217"/>
    </row>
    <row r="108" ht="18.600000000000001">
      <c r="A108" s="218" t="s">
        <v>320</v>
      </c>
      <c r="B108" s="219"/>
      <c r="C108" s="220">
        <f>C45+C83+C90+C102+C106</f>
        <v>1993026.564032963</v>
      </c>
      <c r="D108" s="247">
        <f t="shared" ref="D108:V108" si="225">D45+D83+D90+D102+D106</f>
        <v>426945.83932916523</v>
      </c>
      <c r="E108" s="247">
        <f t="shared" si="225"/>
        <v>331688.81974421837</v>
      </c>
      <c r="F108" s="247">
        <f t="shared" si="225"/>
        <v>189171.12290513175</v>
      </c>
      <c r="G108" s="247">
        <f t="shared" si="225"/>
        <v>192513.82064800218</v>
      </c>
      <c r="H108" s="248">
        <f t="shared" si="225"/>
        <v>950337.19857467082</v>
      </c>
      <c r="I108" s="220">
        <f t="shared" ref="I108:N108" si="226">I45+I83+I90+I102+I106</f>
        <v>2245005.1859400328</v>
      </c>
      <c r="J108" s="247">
        <f t="shared" si="226"/>
        <v>426945.83932916523</v>
      </c>
      <c r="K108" s="247">
        <f t="shared" si="226"/>
        <v>331688.81974421837</v>
      </c>
      <c r="L108" s="247">
        <f t="shared" si="226"/>
        <v>168612.12290513175</v>
      </c>
      <c r="M108" s="247">
        <f t="shared" si="226"/>
        <v>192513.82064800218</v>
      </c>
      <c r="N108" s="248">
        <f t="shared" si="226"/>
        <v>1088680.1985746708</v>
      </c>
      <c r="O108" s="220" t="e">
        <f t="shared" ref="O108:T108" si="227">O45+O83+O90+O102+O106</f>
        <v>#REF!</v>
      </c>
      <c r="P108" s="247" t="e">
        <f t="shared" si="227"/>
        <v>#REF!</v>
      </c>
      <c r="Q108" s="247" t="e">
        <f t="shared" si="227"/>
        <v>#REF!</v>
      </c>
      <c r="R108" s="247" t="e">
        <f t="shared" si="227"/>
        <v>#REF!</v>
      </c>
      <c r="S108" s="247" t="e">
        <f t="shared" si="227"/>
        <v>#REF!</v>
      </c>
      <c r="T108" s="248" t="e">
        <f t="shared" si="227"/>
        <v>#REF!</v>
      </c>
      <c r="U108" s="220">
        <f t="shared" si="225"/>
        <v>0</v>
      </c>
      <c r="V108" s="248">
        <f t="shared" si="225"/>
        <v>0</v>
      </c>
    </row>
    <row r="109">
      <c r="A109" s="212"/>
      <c r="B109" s="213"/>
      <c r="C109" s="214"/>
      <c r="D109" s="169"/>
      <c r="E109" s="169"/>
      <c r="F109" s="169"/>
      <c r="G109" s="169"/>
      <c r="H109" s="215"/>
      <c r="I109" s="214"/>
      <c r="J109" s="169"/>
      <c r="K109" s="169"/>
      <c r="L109" s="169"/>
      <c r="M109" s="169"/>
      <c r="N109" s="215"/>
      <c r="O109" s="214"/>
      <c r="P109" s="169"/>
      <c r="Q109" s="169"/>
      <c r="R109" s="169"/>
      <c r="S109" s="169"/>
      <c r="T109" s="215"/>
      <c r="U109" s="216"/>
      <c r="V109" s="217"/>
    </row>
    <row r="110" ht="18">
      <c r="A110" s="249" t="s">
        <v>321</v>
      </c>
      <c r="B110" s="250"/>
      <c r="C110" s="251">
        <f t="shared" ref="C110:V110" si="228">C43-C108</f>
        <v>151196.01596703706</v>
      </c>
      <c r="D110" s="252">
        <f t="shared" si="228"/>
        <v>150377.11875894788</v>
      </c>
      <c r="E110" s="252">
        <f t="shared" si="228"/>
        <v>536365.75679776003</v>
      </c>
      <c r="F110" s="252">
        <f t="shared" si="228"/>
        <v>186444.92246477681</v>
      </c>
      <c r="G110" s="252">
        <f t="shared" si="228"/>
        <v>130715.17935199782</v>
      </c>
      <c r="H110" s="253">
        <f t="shared" si="228"/>
        <v>-950337.19857467082</v>
      </c>
      <c r="I110" s="251">
        <f t="shared" ref="I110:N110" si="229">I43-I108</f>
        <v>14553.39405996725</v>
      </c>
      <c r="J110" s="252">
        <f>J43-J108</f>
        <v>149877.11875894788</v>
      </c>
      <c r="K110" s="252">
        <f t="shared" si="229"/>
        <v>518745.75679776003</v>
      </c>
      <c r="L110" s="252">
        <f t="shared" si="229"/>
        <v>206503.92246477681</v>
      </c>
      <c r="M110" s="252">
        <f t="shared" si="229"/>
        <v>254671.17935199782</v>
      </c>
      <c r="N110" s="253">
        <f t="shared" si="229"/>
        <v>-1078680.1985746708</v>
      </c>
      <c r="O110" s="251" t="e">
        <f t="shared" ref="O110:T110" si="230">O43-O108</f>
        <v>#REF!</v>
      </c>
      <c r="P110" s="252" t="e">
        <f t="shared" si="230"/>
        <v>#REF!</v>
      </c>
      <c r="Q110" s="252" t="e">
        <f t="shared" si="230"/>
        <v>#REF!</v>
      </c>
      <c r="R110" s="252" t="e">
        <f t="shared" si="230"/>
        <v>#REF!</v>
      </c>
      <c r="S110" s="252" t="e">
        <f t="shared" si="230"/>
        <v>#REF!</v>
      </c>
      <c r="T110" s="253" t="e">
        <f t="shared" si="230"/>
        <v>#REF!</v>
      </c>
      <c r="U110" s="251">
        <f t="shared" si="228"/>
        <v>0</v>
      </c>
      <c r="V110" s="253">
        <f t="shared" si="228"/>
        <v>0</v>
      </c>
    </row>
    <row r="111" ht="15">
      <c r="A111" s="212"/>
      <c r="B111" s="213"/>
      <c r="C111" s="214"/>
      <c r="D111" s="169"/>
      <c r="E111" s="169"/>
      <c r="F111" s="169"/>
      <c r="G111" s="169"/>
      <c r="H111" s="215"/>
      <c r="I111" s="214"/>
      <c r="J111" s="169"/>
      <c r="K111" s="169"/>
      <c r="L111" s="169"/>
      <c r="M111" s="169"/>
      <c r="N111" s="215"/>
      <c r="O111" s="214"/>
      <c r="P111" s="169"/>
      <c r="Q111" s="169"/>
      <c r="R111" s="169"/>
      <c r="S111" s="169"/>
      <c r="T111" s="215"/>
      <c r="U111" s="216"/>
      <c r="V111" s="217"/>
    </row>
    <row r="112" ht="18" customHeight="1">
      <c r="A112" s="229" t="s">
        <v>222</v>
      </c>
      <c r="B112" s="254"/>
      <c r="C112" s="231">
        <f>'Hypotheses expl'!O96</f>
        <v>0</v>
      </c>
      <c r="D112" s="232">
        <f>+SUMIF('Hypotheses expl'!R96,'Compte résultat prévi'!$D$5,'Hypotheses expl'!S96)+SUMIF('Hypotheses expl'!T96,'Compte résultat prévi'!$D$5,'Hypotheses expl'!U96)+SUMIF('Hypotheses expl'!V96,'Compte résultat prévi'!$D$5,'Hypotheses expl'!W96)+SUMIF('Hypotheses expl'!X96,'Compte résultat prévi'!$D$5,'Hypotheses expl'!Y96)+SUMIF('Hypotheses expl'!Z96,'Compte résultat prévi'!$D$5,'Hypotheses expl'!AA96)+SUMIF('Hypotheses expl'!AB96,'Compte résultat prévi'!$D$5,'Hypotheses expl'!AC96)</f>
        <v>0</v>
      </c>
      <c r="E112" s="232">
        <f>+SUMIF('Hypotheses expl'!R96,'Compte résultat prévi'!$E$5,'Hypotheses expl'!S96)+SUMIF('Hypotheses expl'!T96,'Compte résultat prévi'!$E$5,'Hypotheses expl'!U96)+SUMIF('Hypotheses expl'!V96,'Compte résultat prévi'!$E$5,'Hypotheses expl'!W96)+SUMIF('Hypotheses expl'!X96,'Compte résultat prévi'!$E$5,'Hypotheses expl'!Y96)+SUMIF('Hypotheses expl'!Z96,'Compte résultat prévi'!$E$5,'Hypotheses expl'!AA96)+SUMIF('Hypotheses expl'!AB96,'Compte résultat prévi'!$E$5,'Hypotheses expl'!AC96)</f>
        <v>0</v>
      </c>
      <c r="F112" s="232">
        <f>+SUMIF('Hypotheses expl'!R96,'Compte résultat prévi'!$F$5,'Hypotheses expl'!S96)+SUMIF('Hypotheses expl'!T96,'Compte résultat prévi'!$F$5,'Hypotheses expl'!U96)+SUMIF('Hypotheses expl'!V96,'Compte résultat prévi'!$F$5,'Hypotheses expl'!W96)+SUMIF('Hypotheses expl'!X96,'Compte résultat prévi'!$F$5,'Hypotheses expl'!Y96)+SUMIF('Hypotheses expl'!Z96,'Compte résultat prévi'!$F$5,'Hypotheses expl'!AA96)+SUMIF('Hypotheses expl'!AB96,'Compte résultat prévi'!$F$5,'Hypotheses expl'!AC96)</f>
        <v>0</v>
      </c>
      <c r="G112" s="232">
        <f>+SUMIF('Hypotheses expl'!R96,'Compte résultat prévi'!$G$5,'Hypotheses expl'!S96)+SUMIF('Hypotheses expl'!T96,'Compte résultat prévi'!$G$5,'Hypotheses expl'!U96)+SUMIF('Hypotheses expl'!V96,'Compte résultat prévi'!$G$5,'Hypotheses expl'!W96)+SUMIF('Hypotheses expl'!X96,'Compte résultat prévi'!$G$5,'Hypotheses expl'!Y96)+SUMIF('Hypotheses expl'!Z96,'Compte résultat prévi'!$G$5,'Hypotheses expl'!AA96)+SUMIF('Hypotheses expl'!AB96,'Compte résultat prévi'!$G$5,'Hypotheses expl'!AC96)</f>
        <v>0</v>
      </c>
      <c r="H112" s="233">
        <f>+SUMIF('Hypotheses expl'!R96,'Compte résultat prévi'!$H$5,'Hypotheses expl'!S96)+SUMIF('Hypotheses expl'!T96,'Compte résultat prévi'!$H$5,'Hypotheses expl'!U96)+SUMIF('Hypotheses expl'!V96,'Compte résultat prévi'!$H$5,'Hypotheses expl'!W96)+SUMIF('Hypotheses expl'!X96,'Compte résultat prévi'!$H$5,'Hypotheses expl'!Y96)+SUMIF('Hypotheses expl'!Z96,'Compte résultat prévi'!$H$5,'Hypotheses expl'!AA96)+SUMIF('Hypotheses expl'!AB96,'Compte résultat prévi'!$H$5,'Hypotheses expl'!AC96)</f>
        <v>0</v>
      </c>
      <c r="I112" s="231">
        <f>'Hypotheses expl (3,)'!O96</f>
        <v>0</v>
      </c>
      <c r="J112" s="232">
        <f>+SUMIF('Hypotheses expl (3,)'!R96,'Compte résultat prévi'!$J$5,'Hypotheses expl (3,)'!S96)+SUMIF('Hypotheses expl (3,)'!T96,'Compte résultat prévi'!$J$5,'Hypotheses expl (3,)'!U96)+SUMIF('Hypotheses expl (3,)'!V96,'Compte résultat prévi'!$J$5,'Hypotheses expl (3,)'!W96)+SUMIF('Hypotheses expl (3,)'!X96,'Compte résultat prévi'!$J$5,'Hypotheses expl (3,)'!Y96)+SUMIF('Hypotheses expl (3,)'!Z96,'Compte résultat prévi'!$J$5,'Hypotheses expl (3,)'!AA96)+SUMIF('Hypotheses expl (3,)'!AB96,'Compte résultat prévi'!$J$5,'Hypotheses expl (3,)'!AC96)</f>
        <v>0</v>
      </c>
      <c r="K112" s="232">
        <f>+SUMIF('Hypotheses expl (3,)'!R96,'Compte résultat prévi'!$K$5,'Hypotheses expl (3,)'!S96)+SUMIF('Hypotheses expl (3,)'!T96,'Compte résultat prévi'!$K$5,'Hypotheses expl (3,)'!U96)+SUMIF('Hypotheses expl (3,)'!V96,'Compte résultat prévi'!$K$5,'Hypotheses expl (3,)'!W96)+SUMIF('Hypotheses expl (3,)'!X96,'Compte résultat prévi'!$K$5,'Hypotheses expl (3,)'!Y96)+SUMIF('Hypotheses expl (3,)'!Z96,'Compte résultat prévi'!$K$5,'Hypotheses expl (3,)'!AA96)+SUMIF('Hypotheses expl (3,)'!AB96,'Compte résultat prévi'!$K$5,'Hypotheses expl (3,)'!AC96)</f>
        <v>0</v>
      </c>
      <c r="L112" s="232">
        <f>+SUMIF('Hypotheses expl (3,)'!R96,'Compte résultat prévi'!$L$5,'Hypotheses expl (3,)'!S96)+SUMIF('Hypotheses expl (3,)'!T96,'Compte résultat prévi'!$L$5,'Hypotheses expl (3,)'!U96)+SUMIF('Hypotheses expl (3,)'!V96,'Compte résultat prévi'!$L$5,'Hypotheses expl (3,)'!W96)+SUMIF('Hypotheses expl (3,)'!X96,'Compte résultat prévi'!$L$5,'Hypotheses expl (3,)'!Y96)+SUMIF('Hypotheses expl (3,)'!Z96,'Compte résultat prévi'!$L$5,'Hypotheses expl (3,)'!AA96)+SUMIF('Hypotheses expl (3,)'!AB96,'Compte résultat prévi'!$L$5,'Hypotheses expl (3,)'!AC96)</f>
        <v>0</v>
      </c>
      <c r="M112" s="232">
        <f>+SUMIF('Hypotheses expl (3,)'!R96,'Compte résultat prévi'!$M$5,'Hypotheses expl (3,)'!S96)+SUMIF('Hypotheses expl (3,)'!T96,'Compte résultat prévi'!$M$5,'Hypotheses expl (3,)'!U96)+SUMIF('Hypotheses expl (3,)'!V96,'Compte résultat prévi'!$M$5,'Hypotheses expl (3,)'!W96)+SUMIF('Hypotheses expl (3,)'!X96,'Compte résultat prévi'!$M$5,'Hypotheses expl (3,)'!Y96)+SUMIF('Hypotheses expl (3,)'!Z96,'Compte résultat prévi'!$M$5,'Hypotheses expl (3,)'!AA96)+SUMIF('Hypotheses expl (3,)'!AB96,'Compte résultat prévi'!$M$5,'Hypotheses expl (3,)'!AC96)</f>
        <v>0</v>
      </c>
      <c r="N112" s="233">
        <f>+SUMIF('Hypotheses expl (3,)'!R96,'Compte résultat prévi'!$N$5,'Hypotheses expl (3,)'!S96)+SUMIF('Hypotheses expl (3,)'!T96,'Compte résultat prévi'!$N$5,'Hypotheses expl (3,)'!U96)+SUMIF('Hypotheses expl (3,)'!V96,'Compte résultat prévi'!$N$5,'Hypotheses expl (3,)'!W96)+SUMIF('Hypotheses expl (3,)'!X96,'Compte résultat prévi'!$N$5,'Hypotheses expl (3,)'!Y96)+SUMIF('Hypotheses expl (3,)'!Z96,'Compte résultat prévi'!$N$5,'Hypotheses expl (3,)'!AA96)+SUMIF('Hypotheses expl (3,)'!AB96,'Compte résultat prévi'!$N$5,'Hypotheses expl (3,)'!AC96)</f>
        <v>0</v>
      </c>
      <c r="O112" s="231">
        <f>'Hypotheses expl (2)'!O96</f>
        <v>0</v>
      </c>
      <c r="P112" s="232">
        <f>+SUMIF('Hypotheses expl (2)'!R96,'Compte résultat prévi'!$P$5,'Hypotheses expl (2)'!S96)+SUMIF('Hypotheses expl (2)'!T96,'Compte résultat prévi'!$P$5,'Hypotheses expl (2)'!U96)+SUMIF('Hypotheses expl (2)'!V96,'Compte résultat prévi'!$P$5,'Hypotheses expl (2)'!W96)+SUMIF('Hypotheses expl (2)'!X96,'Compte résultat prévi'!$P$5,'Hypotheses expl (2)'!Y96)+SUMIF('Hypotheses expl (2)'!Z96,'Compte résultat prévi'!$P$5,'Hypotheses expl (2)'!AA96)+SUMIF('Hypotheses expl (2)'!AB96,'Compte résultat prévi'!$P$5,'Hypotheses expl (2)'!AC96)</f>
        <v>0</v>
      </c>
      <c r="Q112" s="232">
        <f>+SUMIF('Hypotheses expl (2)'!R96,'Compte résultat prévi'!$Q$5,'Hypotheses expl (2)'!S96)+SUMIF('Hypotheses expl (2)'!T96,'Compte résultat prévi'!$Q$5,'Hypotheses expl (2)'!U96)+SUMIF('Hypotheses expl (2)'!V96,'Compte résultat prévi'!$Q$5,'Hypotheses expl (2)'!W96)+SUMIF('Hypotheses expl (2)'!X96,'Compte résultat prévi'!$Q$5,'Hypotheses expl (2)'!Y96)+SUMIF('Hypotheses expl (2)'!Z96,'Compte résultat prévi'!$Q$5,'Hypotheses expl (2)'!AA96)+SUMIF('Hypotheses expl (2)'!AB96,'Compte résultat prévi'!$Q$5,'Hypotheses expl (2)'!AC96)</f>
        <v>0</v>
      </c>
      <c r="R112" s="232">
        <f>+SUMIF('Hypotheses expl (2)'!R96,'Compte résultat prévi'!$R$5,'Hypotheses expl (2)'!S96)+SUMIF('Hypotheses expl (2)'!T96,'Compte résultat prévi'!$R$5,'Hypotheses expl (2)'!U96)+SUMIF('Hypotheses expl (2)'!V96,'Compte résultat prévi'!$R$5,'Hypotheses expl (2)'!W96)+SUMIF('Hypotheses expl (2)'!X96,'Compte résultat prévi'!$R$5,'Hypotheses expl (2)'!Y96)+SUMIF('Hypotheses expl (2)'!Z96,'Compte résultat prévi'!$R$5,'Hypotheses expl (2)'!AA96)+SUMIF('Hypotheses expl (2)'!AB96,'Compte résultat prévi'!$R$5,'Hypotheses expl (2)'!AC96)</f>
        <v>0</v>
      </c>
      <c r="S112" s="232">
        <f>+SUMIF('Hypotheses expl (2)'!R96,'Compte résultat prévi'!$S$5,'Hypotheses expl (2)'!S96)+SUMIF('Hypotheses expl (2)'!T96,'Compte résultat prévi'!$S$5,'Hypotheses expl (2)'!U96)+SUMIF('Hypotheses expl (2)'!V96,'Compte résultat prévi'!$S$5,'Hypotheses expl (2)'!W96)+SUMIF('Hypotheses expl (2)'!X96,'Compte résultat prévi'!$S$5,'Hypotheses expl (2)'!Y96)+SUMIF('Hypotheses expl (2)'!Z96,'Compte résultat prévi'!$S$5,'Hypotheses expl (2)'!AA96)+SUMIF('Hypotheses expl (2)'!AB96,'Compte résultat prévi'!$S$5,'Hypotheses expl (2)'!AC96)</f>
        <v>0</v>
      </c>
      <c r="T112" s="233">
        <f>+SUMIF('Hypotheses expl (2)'!R96,'Compte résultat prévi'!$T$5,'Hypotheses expl (2)'!S96)+SUMIF('Hypotheses expl (2)'!T96,'Compte résultat prévi'!$T$5,'Hypotheses expl (2)'!U96)+SUMIF('Hypotheses expl (2)'!V96,'Compte résultat prévi'!$T$5,'Hypotheses expl (2)'!W96)+SUMIF('Hypotheses expl (2)'!X96,'Compte résultat prévi'!$T$5,'Hypotheses expl (2)'!Y96)+SUMIF('Hypotheses expl (2)'!Z96,'Compte résultat prévi'!$T$5,'Hypotheses expl (2)'!AA96)+SUMIF('Hypotheses expl (2)'!AB96,'Compte résultat prévi'!$T$5,'Hypotheses expl (2)'!AC96)</f>
        <v>0</v>
      </c>
      <c r="U112" s="255"/>
      <c r="V112" s="256"/>
    </row>
    <row r="113" ht="18">
      <c r="A113" s="229" t="s">
        <v>322</v>
      </c>
      <c r="B113" s="230"/>
      <c r="C113" s="231">
        <f>SUM(C114:C115)</f>
        <v>4000</v>
      </c>
      <c r="D113" s="232">
        <f t="shared" ref="D113:V113" si="231">SUM(D114:D115)</f>
        <v>0</v>
      </c>
      <c r="E113" s="232">
        <f t="shared" si="231"/>
        <v>0</v>
      </c>
      <c r="F113" s="232">
        <f t="shared" si="231"/>
        <v>0</v>
      </c>
      <c r="G113" s="232">
        <f t="shared" si="231"/>
        <v>0</v>
      </c>
      <c r="H113" s="233">
        <f t="shared" si="231"/>
        <v>4000</v>
      </c>
      <c r="I113" s="231">
        <f>SUM(I114:I115)</f>
        <v>4000</v>
      </c>
      <c r="J113" s="232">
        <f t="shared" ref="J113:N113" si="232">SUM(J114:J115)</f>
        <v>0</v>
      </c>
      <c r="K113" s="232">
        <f t="shared" si="232"/>
        <v>0</v>
      </c>
      <c r="L113" s="232">
        <f t="shared" si="232"/>
        <v>0</v>
      </c>
      <c r="M113" s="232">
        <f t="shared" si="232"/>
        <v>0</v>
      </c>
      <c r="N113" s="233">
        <f t="shared" si="232"/>
        <v>4000</v>
      </c>
      <c r="O113" s="231">
        <f>SUM(O114:O115)</f>
        <v>4000</v>
      </c>
      <c r="P113" s="232">
        <f t="shared" ref="P113:T113" si="233">SUM(P114:P115)</f>
        <v>0</v>
      </c>
      <c r="Q113" s="232">
        <f t="shared" si="233"/>
        <v>0</v>
      </c>
      <c r="R113" s="232">
        <f t="shared" si="233"/>
        <v>0</v>
      </c>
      <c r="S113" s="232">
        <f t="shared" si="233"/>
        <v>0</v>
      </c>
      <c r="T113" s="233">
        <f t="shared" si="233"/>
        <v>4000</v>
      </c>
      <c r="U113" s="231">
        <f t="shared" si="231"/>
        <v>0</v>
      </c>
      <c r="V113" s="233">
        <f t="shared" si="231"/>
        <v>0</v>
      </c>
    </row>
    <row r="114" hidden="1" outlineLevel="1">
      <c r="A114" s="198" t="str">
        <f>'Hypotheses expl'!B157</f>
        <v xml:space="preserve">Autres charges financières</v>
      </c>
      <c r="B114" s="234">
        <v>4</v>
      </c>
      <c r="C114" s="200">
        <f>'Hypotheses expl'!O157</f>
        <v>4000</v>
      </c>
      <c r="D114" s="201">
        <f>+SUMIF('Hypotheses expl'!R157,'Compte résultat prévi'!$D$5,'Hypotheses expl'!S157)+SUMIF('Hypotheses expl'!T157,'Compte résultat prévi'!$D$5,'Hypotheses expl'!U157)+SUMIF('Hypotheses expl'!V157,'Compte résultat prévi'!$D$5,'Hypotheses expl'!W157)+SUMIF('Hypotheses expl'!X157,'Compte résultat prévi'!$D$5,'Hypotheses expl'!Y157)+SUMIF('Hypotheses expl'!Z157,'Compte résultat prévi'!$D$5,'Hypotheses expl'!AA157)+SUMIF('Hypotheses expl'!AB157,'Compte résultat prévi'!$D$5,'Hypotheses expl'!AC157)</f>
        <v>0</v>
      </c>
      <c r="E114" s="201">
        <f>+SUMIF('Hypotheses expl'!R157,'Compte résultat prévi'!$E$5,'Hypotheses expl'!S157)+SUMIF('Hypotheses expl'!T157,'Compte résultat prévi'!$E$5,'Hypotheses expl'!U157)+SUMIF('Hypotheses expl'!V157,'Compte résultat prévi'!$E$5,'Hypotheses expl'!W157)+SUMIF('Hypotheses expl'!X157,'Compte résultat prévi'!$E$5,'Hypotheses expl'!Y157)+SUMIF('Hypotheses expl'!Z157,'Compte résultat prévi'!$E$5,'Hypotheses expl'!AA157)+SUMIF('Hypotheses expl'!AB157,'Compte résultat prévi'!$E$5,'Hypotheses expl'!AC157)</f>
        <v>0</v>
      </c>
      <c r="F114" s="201">
        <f>+SUMIF('Hypotheses expl'!R157,'Compte résultat prévi'!$F$5,'Hypotheses expl'!S157)+SUMIF('Hypotheses expl'!T157,'Compte résultat prévi'!$F$5,'Hypotheses expl'!U157)+SUMIF('Hypotheses expl'!V157,'Compte résultat prévi'!$F$5,'Hypotheses expl'!W157)+SUMIF('Hypotheses expl'!X157,'Compte résultat prévi'!$F$5,'Hypotheses expl'!Y157)+SUMIF('Hypotheses expl'!Z157,'Compte résultat prévi'!$F$5,'Hypotheses expl'!AA157)+SUMIF('Hypotheses expl'!AB157,'Compte résultat prévi'!$F$5,'Hypotheses expl'!AC157)</f>
        <v>0</v>
      </c>
      <c r="G114" s="201">
        <f>+SUMIF('Hypotheses expl'!R157,'Compte résultat prévi'!$G$5,'Hypotheses expl'!S157)+SUMIF('Hypotheses expl'!T157,'Compte résultat prévi'!$G$5,'Hypotheses expl'!U157)+SUMIF('Hypotheses expl'!V157,'Compte résultat prévi'!$G$5,'Hypotheses expl'!W157)+SUMIF('Hypotheses expl'!X157,'Compte résultat prévi'!$G$5,'Hypotheses expl'!Y157)+SUMIF('Hypotheses expl'!Z157,'Compte résultat prévi'!$G$5,'Hypotheses expl'!AA157)+SUMIF('Hypotheses expl'!AB157,'Compte résultat prévi'!$G$5,'Hypotheses expl'!AC157)</f>
        <v>0</v>
      </c>
      <c r="H114" s="202">
        <f>+SUMIF('Hypotheses expl'!R157,'Compte résultat prévi'!$H$5,'Hypotheses expl'!S157)+SUMIF('Hypotheses expl'!T157,'Compte résultat prévi'!$H$5,'Hypotheses expl'!U157)+SUMIF('Hypotheses expl'!V157,'Compte résultat prévi'!$H$5,'Hypotheses expl'!W157)+SUMIF('Hypotheses expl'!X157,'Compte résultat prévi'!$H$5,'Hypotheses expl'!Y157)+SUMIF('Hypotheses expl'!Z157,'Compte résultat prévi'!$H$5,'Hypotheses expl'!AA157)+SUMIF('Hypotheses expl'!AB157,'Compte résultat prévi'!$H$5,'Hypotheses expl'!AC157)</f>
        <v>4000</v>
      </c>
      <c r="I114" s="200">
        <f>'Hypotheses expl (3,)'!O157</f>
        <v>4000</v>
      </c>
      <c r="J114" s="201">
        <f>+SUMIF('Hypotheses expl (3,)'!R157,'Compte résultat prévi'!$J$5,'Hypotheses expl (3,)'!S157)+SUMIF('Hypotheses expl (3,)'!T157,'Compte résultat prévi'!$J$5,'Hypotheses expl (3,)'!U157)+SUMIF('Hypotheses expl (3,)'!V157,'Compte résultat prévi'!$J$5,'Hypotheses expl (3,)'!W157)+SUMIF('Hypotheses expl (3,)'!X157,'Compte résultat prévi'!$J$5,'Hypotheses expl (3,)'!Y157)+SUMIF('Hypotheses expl (3,)'!Z157,'Compte résultat prévi'!$J$5,'Hypotheses expl (3,)'!AA157)+SUMIF('Hypotheses expl (3,)'!AB157,'Compte résultat prévi'!$J$5,'Hypotheses expl (3,)'!AC157)</f>
        <v>0</v>
      </c>
      <c r="K114" s="201">
        <f>+SUMIF('Hypotheses expl (3,)'!R157,'Compte résultat prévi'!$K$5,'Hypotheses expl (3,)'!S157)+SUMIF('Hypotheses expl (3,)'!T157,'Compte résultat prévi'!$K$5,'Hypotheses expl (3,)'!U157)+SUMIF('Hypotheses expl (3,)'!V157,'Compte résultat prévi'!$K$5,'Hypotheses expl (3,)'!W157)+SUMIF('Hypotheses expl (3,)'!X157,'Compte résultat prévi'!$K$5,'Hypotheses expl (3,)'!Y157)+SUMIF('Hypotheses expl (3,)'!Z157,'Compte résultat prévi'!$K$5,'Hypotheses expl (3,)'!AA157)+SUMIF('Hypotheses expl (3,)'!AB157,'Compte résultat prévi'!$K$5,'Hypotheses expl (3,)'!AC157)</f>
        <v>0</v>
      </c>
      <c r="L114" s="201">
        <f>+SUMIF('Hypotheses expl (3,)'!R157,'Compte résultat prévi'!$L$5,'Hypotheses expl (3,)'!S157)+SUMIF('Hypotheses expl (3,)'!T157,'Compte résultat prévi'!$L$5,'Hypotheses expl (3,)'!U157)+SUMIF('Hypotheses expl (3,)'!V157,'Compte résultat prévi'!$L$5,'Hypotheses expl (3,)'!W157)+SUMIF('Hypotheses expl (3,)'!X157,'Compte résultat prévi'!$L$5,'Hypotheses expl (3,)'!Y157)+SUMIF('Hypotheses expl (3,)'!Z157,'Compte résultat prévi'!$L$5,'Hypotheses expl (3,)'!AA157)+SUMIF('Hypotheses expl (3,)'!AB157,'Compte résultat prévi'!$L$5,'Hypotheses expl (3,)'!AC157)</f>
        <v>0</v>
      </c>
      <c r="M114" s="201">
        <f>+SUMIF('Hypotheses expl (3,)'!R157,'Compte résultat prévi'!$M$5,'Hypotheses expl (3,)'!S157)+SUMIF('Hypotheses expl (3,)'!T157,'Compte résultat prévi'!$M$5,'Hypotheses expl (3,)'!U157)+SUMIF('Hypotheses expl (3,)'!V157,'Compte résultat prévi'!$M$5,'Hypotheses expl (3,)'!W157)+SUMIF('Hypotheses expl (3,)'!X157,'Compte résultat prévi'!$M$5,'Hypotheses expl (3,)'!Y157)+SUMIF('Hypotheses expl (3,)'!Z157,'Compte résultat prévi'!$M$5,'Hypotheses expl (3,)'!AA157)+SUMIF('Hypotheses expl (3,)'!AB157,'Compte résultat prévi'!$M$5,'Hypotheses expl (3,)'!AC157)</f>
        <v>0</v>
      </c>
      <c r="N114" s="202">
        <f>+SUMIF('Hypotheses expl (3,)'!R157,'Compte résultat prévi'!$N$5,'Hypotheses expl (3,)'!S157)+SUMIF('Hypotheses expl (3,)'!T157,'Compte résultat prévi'!$N$5,'Hypotheses expl (3,)'!U157)+SUMIF('Hypotheses expl (3,)'!V157,'Compte résultat prévi'!$N$5,'Hypotheses expl (3,)'!W157)+SUMIF('Hypotheses expl (3,)'!X157,'Compte résultat prévi'!$N$5,'Hypotheses expl (3,)'!Y157)+SUMIF('Hypotheses expl (3,)'!Z157,'Compte résultat prévi'!$N$5,'Hypotheses expl (3,)'!AA157)+SUMIF('Hypotheses expl (3,)'!AB157,'Compte résultat prévi'!$N$5,'Hypotheses expl (3,)'!AC157)</f>
        <v>4000</v>
      </c>
      <c r="O114" s="200">
        <f>'Hypotheses expl (2)'!O157</f>
        <v>4000</v>
      </c>
      <c r="P114" s="201">
        <f>+SUMIF('Hypotheses expl (2)'!R157,'Compte résultat prévi'!$P$5,'Hypotheses expl (2)'!S157)+SUMIF('Hypotheses expl (2)'!T157,'Compte résultat prévi'!$P$5,'Hypotheses expl (2)'!U157)+SUMIF('Hypotheses expl (2)'!V157,'Compte résultat prévi'!$P$5,'Hypotheses expl (2)'!W157)+SUMIF('Hypotheses expl (2)'!X157,'Compte résultat prévi'!$P$5,'Hypotheses expl (2)'!Y157)+SUMIF('Hypotheses expl (2)'!Z157,'Compte résultat prévi'!$P$5,'Hypotheses expl (2)'!AA157)+SUMIF('Hypotheses expl (2)'!AB157,'Compte résultat prévi'!$P$5,'Hypotheses expl (2)'!AC157)</f>
        <v>0</v>
      </c>
      <c r="Q114" s="201">
        <f>+SUMIF('Hypotheses expl (2)'!R157,'Compte résultat prévi'!$Q$5,'Hypotheses expl (2)'!S157)+SUMIF('Hypotheses expl (2)'!T157,'Compte résultat prévi'!$Q$5,'Hypotheses expl (2)'!U157)+SUMIF('Hypotheses expl (2)'!V157,'Compte résultat prévi'!$Q$5,'Hypotheses expl (2)'!W157)+SUMIF('Hypotheses expl (2)'!X157,'Compte résultat prévi'!$Q$5,'Hypotheses expl (2)'!Y157)+SUMIF('Hypotheses expl (2)'!Z157,'Compte résultat prévi'!$Q$5,'Hypotheses expl (2)'!AA157)+SUMIF('Hypotheses expl (2)'!AB157,'Compte résultat prévi'!$Q$5,'Hypotheses expl (2)'!AC157)</f>
        <v>0</v>
      </c>
      <c r="R114" s="201">
        <f>+SUMIF('Hypotheses expl (2)'!R157,'Compte résultat prévi'!$R$5,'Hypotheses expl (2)'!S157)+SUMIF('Hypotheses expl (2)'!T157,'Compte résultat prévi'!$R$5,'Hypotheses expl (2)'!U157)+SUMIF('Hypotheses expl (2)'!V157,'Compte résultat prévi'!$R$5,'Hypotheses expl (2)'!W157)+SUMIF('Hypotheses expl (2)'!X157,'Compte résultat prévi'!$R$5,'Hypotheses expl (2)'!Y157)+SUMIF('Hypotheses expl (2)'!Z157,'Compte résultat prévi'!$R$5,'Hypotheses expl (2)'!AA157)+SUMIF('Hypotheses expl (2)'!AB157,'Compte résultat prévi'!$R$5,'Hypotheses expl (2)'!AC157)</f>
        <v>0</v>
      </c>
      <c r="S114" s="201">
        <f>+SUMIF('Hypotheses expl (2)'!R157,'Compte résultat prévi'!$S$5,'Hypotheses expl (2)'!S157)+SUMIF('Hypotheses expl (2)'!T157,'Compte résultat prévi'!$S$5,'Hypotheses expl (2)'!U157)+SUMIF('Hypotheses expl (2)'!V157,'Compte résultat prévi'!$S$5,'Hypotheses expl (2)'!W157)+SUMIF('Hypotheses expl (2)'!X157,'Compte résultat prévi'!$S$5,'Hypotheses expl (2)'!Y157)+SUMIF('Hypotheses expl (2)'!Z157,'Compte résultat prévi'!$S$5,'Hypotheses expl (2)'!AA157)+SUMIF('Hypotheses expl (2)'!AB157,'Compte résultat prévi'!$S$5,'Hypotheses expl (2)'!AC157)</f>
        <v>0</v>
      </c>
      <c r="T114" s="202">
        <f>+SUMIF('Hypotheses expl (2)'!R157,'Compte résultat prévi'!$T$5,'Hypotheses expl (2)'!S157)+SUMIF('Hypotheses expl (2)'!T157,'Compte résultat prévi'!$T$5,'Hypotheses expl (2)'!U157)+SUMIF('Hypotheses expl (2)'!V157,'Compte résultat prévi'!$T$5,'Hypotheses expl (2)'!W157)+SUMIF('Hypotheses expl (2)'!X157,'Compte résultat prévi'!$T$5,'Hypotheses expl (2)'!Y157)+SUMIF('Hypotheses expl (2)'!Z157,'Compte résultat prévi'!$T$5,'Hypotheses expl (2)'!AA157)+SUMIF('Hypotheses expl (2)'!AB157,'Compte résultat prévi'!$T$5,'Hypotheses expl (2)'!AC157)</f>
        <v>4000</v>
      </c>
      <c r="U114" s="203"/>
      <c r="V114" s="204"/>
    </row>
    <row r="115" hidden="1" outlineLevel="1">
      <c r="A115" s="198">
        <f>'Hypotheses expl'!B158</f>
        <v>0</v>
      </c>
      <c r="B115" s="234"/>
      <c r="C115" s="200">
        <f>'Hypotheses expl'!O158</f>
        <v>0</v>
      </c>
      <c r="D115" s="201">
        <f>+SUMIF('Hypotheses expl'!R158,'Compte résultat prévi'!$D$5,'Hypotheses expl'!S158)+SUMIF('Hypotheses expl'!T158,'Compte résultat prévi'!$D$5,'Hypotheses expl'!U158)+SUMIF('Hypotheses expl'!V158,'Compte résultat prévi'!$D$5,'Hypotheses expl'!W158)+SUMIF('Hypotheses expl'!X158,'Compte résultat prévi'!$D$5,'Hypotheses expl'!Y158)+SUMIF('Hypotheses expl'!Z158,'Compte résultat prévi'!$D$5,'Hypotheses expl'!AA158)+SUMIF('Hypotheses expl'!AB158,'Compte résultat prévi'!$D$5,'Hypotheses expl'!AC158)</f>
        <v>0</v>
      </c>
      <c r="E115" s="201">
        <f>+SUMIF('Hypotheses expl'!R158,'Compte résultat prévi'!$E$5,'Hypotheses expl'!S158)+SUMIF('Hypotheses expl'!T158,'Compte résultat prévi'!$E$5,'Hypotheses expl'!U158)+SUMIF('Hypotheses expl'!V158,'Compte résultat prévi'!$E$5,'Hypotheses expl'!W158)+SUMIF('Hypotheses expl'!X158,'Compte résultat prévi'!$E$5,'Hypotheses expl'!Y158)+SUMIF('Hypotheses expl'!Z158,'Compte résultat prévi'!$E$5,'Hypotheses expl'!AA158)+SUMIF('Hypotheses expl'!AB158,'Compte résultat prévi'!$E$5,'Hypotheses expl'!AC158)</f>
        <v>0</v>
      </c>
      <c r="F115" s="201">
        <f>+SUMIF('Hypotheses expl'!R158,'Compte résultat prévi'!$F$5,'Hypotheses expl'!S158)+SUMIF('Hypotheses expl'!T158,'Compte résultat prévi'!$F$5,'Hypotheses expl'!U158)+SUMIF('Hypotheses expl'!V158,'Compte résultat prévi'!$F$5,'Hypotheses expl'!W158)+SUMIF('Hypotheses expl'!X158,'Compte résultat prévi'!$F$5,'Hypotheses expl'!Y158)+SUMIF('Hypotheses expl'!Z158,'Compte résultat prévi'!$F$5,'Hypotheses expl'!AA158)+SUMIF('Hypotheses expl'!AB158,'Compte résultat prévi'!$F$5,'Hypotheses expl'!AC158)</f>
        <v>0</v>
      </c>
      <c r="G115" s="201">
        <f>+SUMIF('Hypotheses expl'!R158,'Compte résultat prévi'!$G$5,'Hypotheses expl'!S158)+SUMIF('Hypotheses expl'!T158,'Compte résultat prévi'!$G$5,'Hypotheses expl'!U158)+SUMIF('Hypotheses expl'!V158,'Compte résultat prévi'!$G$5,'Hypotheses expl'!W158)+SUMIF('Hypotheses expl'!X158,'Compte résultat prévi'!$G$5,'Hypotheses expl'!Y158)+SUMIF('Hypotheses expl'!Z158,'Compte résultat prévi'!$G$5,'Hypotheses expl'!AA158)+SUMIF('Hypotheses expl'!AB158,'Compte résultat prévi'!$G$5,'Hypotheses expl'!AC158)</f>
        <v>0</v>
      </c>
      <c r="H115" s="202">
        <f>+SUMIF('Hypotheses expl'!R158,'Compte résultat prévi'!$H$5,'Hypotheses expl'!S158)+SUMIF('Hypotheses expl'!T158,'Compte résultat prévi'!$H$5,'Hypotheses expl'!U158)+SUMIF('Hypotheses expl'!V158,'Compte résultat prévi'!$H$5,'Hypotheses expl'!W158)+SUMIF('Hypotheses expl'!X158,'Compte résultat prévi'!$H$5,'Hypotheses expl'!Y158)+SUMIF('Hypotheses expl'!Z158,'Compte résultat prévi'!$H$5,'Hypotheses expl'!AA158)+SUMIF('Hypotheses expl'!AB158,'Compte résultat prévi'!$H$5,'Hypotheses expl'!AC158)</f>
        <v>0</v>
      </c>
      <c r="I115" s="200">
        <f>'Hypotheses expl (3,)'!O158</f>
        <v>0</v>
      </c>
      <c r="J115" s="201">
        <f>+SUMIF('Hypotheses expl (3,)'!R158,'Compte résultat prévi'!$J$5,'Hypotheses expl (3,)'!S158)+SUMIF('Hypotheses expl (3,)'!T158,'Compte résultat prévi'!$J$5,'Hypotheses expl (3,)'!U158)+SUMIF('Hypotheses expl (3,)'!V158,'Compte résultat prévi'!$J$5,'Hypotheses expl (3,)'!W158)+SUMIF('Hypotheses expl (3,)'!X158,'Compte résultat prévi'!$J$5,'Hypotheses expl (3,)'!Y158)+SUMIF('Hypotheses expl (3,)'!Z158,'Compte résultat prévi'!$J$5,'Hypotheses expl (3,)'!AA158)+SUMIF('Hypotheses expl (3,)'!AB158,'Compte résultat prévi'!$J$5,'Hypotheses expl (3,)'!AC158)</f>
        <v>0</v>
      </c>
      <c r="K115" s="201">
        <f>+SUMIF('Hypotheses expl (3,)'!R158,'Compte résultat prévi'!$K$5,'Hypotheses expl (3,)'!S158)+SUMIF('Hypotheses expl (3,)'!T158,'Compte résultat prévi'!$K$5,'Hypotheses expl (3,)'!U158)+SUMIF('Hypotheses expl (3,)'!V158,'Compte résultat prévi'!$K$5,'Hypotheses expl (3,)'!W158)+SUMIF('Hypotheses expl (3,)'!X158,'Compte résultat prévi'!$K$5,'Hypotheses expl (3,)'!Y158)+SUMIF('Hypotheses expl (3,)'!Z158,'Compte résultat prévi'!$K$5,'Hypotheses expl (3,)'!AA158)+SUMIF('Hypotheses expl (3,)'!AB158,'Compte résultat prévi'!$K$5,'Hypotheses expl (3,)'!AC158)</f>
        <v>0</v>
      </c>
      <c r="L115" s="201">
        <f>+SUMIF('Hypotheses expl (3,)'!R158,'Compte résultat prévi'!$L$5,'Hypotheses expl (3,)'!S158)+SUMIF('Hypotheses expl (3,)'!T158,'Compte résultat prévi'!$L$5,'Hypotheses expl (3,)'!U158)+SUMIF('Hypotheses expl (3,)'!V158,'Compte résultat prévi'!$L$5,'Hypotheses expl (3,)'!W158)+SUMIF('Hypotheses expl (3,)'!X158,'Compte résultat prévi'!$L$5,'Hypotheses expl (3,)'!Y158)+SUMIF('Hypotheses expl (3,)'!Z158,'Compte résultat prévi'!$L$5,'Hypotheses expl (3,)'!AA158)+SUMIF('Hypotheses expl (3,)'!AB158,'Compte résultat prévi'!$L$5,'Hypotheses expl (3,)'!AC158)</f>
        <v>0</v>
      </c>
      <c r="M115" s="201">
        <f>+SUMIF('Hypotheses expl (3,)'!R158,'Compte résultat prévi'!$M$5,'Hypotheses expl (3,)'!S158)+SUMIF('Hypotheses expl (3,)'!T158,'Compte résultat prévi'!$M$5,'Hypotheses expl (3,)'!U158)+SUMIF('Hypotheses expl (3,)'!V158,'Compte résultat prévi'!$M$5,'Hypotheses expl (3,)'!W158)+SUMIF('Hypotheses expl (3,)'!X158,'Compte résultat prévi'!$M$5,'Hypotheses expl (3,)'!Y158)+SUMIF('Hypotheses expl (3,)'!Z158,'Compte résultat prévi'!$M$5,'Hypotheses expl (3,)'!AA158)+SUMIF('Hypotheses expl (3,)'!AB158,'Compte résultat prévi'!$M$5,'Hypotheses expl (3,)'!AC158)</f>
        <v>0</v>
      </c>
      <c r="N115" s="202">
        <f>+SUMIF('Hypotheses expl (3,)'!R158,'Compte résultat prévi'!$N$5,'Hypotheses expl (3,)'!S158)+SUMIF('Hypotheses expl (3,)'!T158,'Compte résultat prévi'!$N$5,'Hypotheses expl (3,)'!U158)+SUMIF('Hypotheses expl (3,)'!V158,'Compte résultat prévi'!$N$5,'Hypotheses expl (3,)'!W158)+SUMIF('Hypotheses expl (3,)'!X158,'Compte résultat prévi'!$N$5,'Hypotheses expl (3,)'!Y158)+SUMIF('Hypotheses expl (3,)'!Z158,'Compte résultat prévi'!$N$5,'Hypotheses expl (3,)'!AA158)+SUMIF('Hypotheses expl (3,)'!AB158,'Compte résultat prévi'!$N$5,'Hypotheses expl (3,)'!AC158)</f>
        <v>0</v>
      </c>
      <c r="O115" s="200">
        <f>'Hypotheses expl (2)'!O158</f>
        <v>0</v>
      </c>
      <c r="P115" s="201">
        <f>+SUMIF('Hypotheses expl (2)'!R158,'Compte résultat prévi'!$P$5,'Hypotheses expl (2)'!S158)+SUMIF('Hypotheses expl (2)'!T158,'Compte résultat prévi'!$P$5,'Hypotheses expl (2)'!U158)+SUMIF('Hypotheses expl (2)'!V158,'Compte résultat prévi'!$P$5,'Hypotheses expl (2)'!W158)+SUMIF('Hypotheses expl (2)'!X158,'Compte résultat prévi'!$P$5,'Hypotheses expl (2)'!Y158)+SUMIF('Hypotheses expl (2)'!Z158,'Compte résultat prévi'!$P$5,'Hypotheses expl (2)'!AA158)+SUMIF('Hypotheses expl (2)'!AB158,'Compte résultat prévi'!$P$5,'Hypotheses expl (2)'!AC158)</f>
        <v>0</v>
      </c>
      <c r="Q115" s="201">
        <f>+SUMIF('Hypotheses expl (2)'!R158,'Compte résultat prévi'!$Q$5,'Hypotheses expl (2)'!S158)+SUMIF('Hypotheses expl (2)'!T158,'Compte résultat prévi'!$Q$5,'Hypotheses expl (2)'!U158)+SUMIF('Hypotheses expl (2)'!V158,'Compte résultat prévi'!$Q$5,'Hypotheses expl (2)'!W158)+SUMIF('Hypotheses expl (2)'!X158,'Compte résultat prévi'!$Q$5,'Hypotheses expl (2)'!Y158)+SUMIF('Hypotheses expl (2)'!Z158,'Compte résultat prévi'!$Q$5,'Hypotheses expl (2)'!AA158)+SUMIF('Hypotheses expl (2)'!AB158,'Compte résultat prévi'!$Q$5,'Hypotheses expl (2)'!AC158)</f>
        <v>0</v>
      </c>
      <c r="R115" s="201">
        <f>+SUMIF('Hypotheses expl (2)'!R158,'Compte résultat prévi'!$R$5,'Hypotheses expl (2)'!S158)+SUMIF('Hypotheses expl (2)'!T158,'Compte résultat prévi'!$R$5,'Hypotheses expl (2)'!U158)+SUMIF('Hypotheses expl (2)'!V158,'Compte résultat prévi'!$R$5,'Hypotheses expl (2)'!W158)+SUMIF('Hypotheses expl (2)'!X158,'Compte résultat prévi'!$R$5,'Hypotheses expl (2)'!Y158)+SUMIF('Hypotheses expl (2)'!Z158,'Compte résultat prévi'!$R$5,'Hypotheses expl (2)'!AA158)+SUMIF('Hypotheses expl (2)'!AB158,'Compte résultat prévi'!$R$5,'Hypotheses expl (2)'!AC158)</f>
        <v>0</v>
      </c>
      <c r="S115" s="201">
        <f>+SUMIF('Hypotheses expl (2)'!R158,'Compte résultat prévi'!$S$5,'Hypotheses expl (2)'!S158)+SUMIF('Hypotheses expl (2)'!T158,'Compte résultat prévi'!$S$5,'Hypotheses expl (2)'!U158)+SUMIF('Hypotheses expl (2)'!V158,'Compte résultat prévi'!$S$5,'Hypotheses expl (2)'!W158)+SUMIF('Hypotheses expl (2)'!X158,'Compte résultat prévi'!$S$5,'Hypotheses expl (2)'!Y158)+SUMIF('Hypotheses expl (2)'!Z158,'Compte résultat prévi'!$S$5,'Hypotheses expl (2)'!AA158)+SUMIF('Hypotheses expl (2)'!AB158,'Compte résultat prévi'!$S$5,'Hypotheses expl (2)'!AC158)</f>
        <v>0</v>
      </c>
      <c r="T115" s="202">
        <f>+SUMIF('Hypotheses expl (2)'!R158,'Compte résultat prévi'!$T$5,'Hypotheses expl (2)'!S158)+SUMIF('Hypotheses expl (2)'!T158,'Compte résultat prévi'!$T$5,'Hypotheses expl (2)'!U158)+SUMIF('Hypotheses expl (2)'!V158,'Compte résultat prévi'!$T$5,'Hypotheses expl (2)'!W158)+SUMIF('Hypotheses expl (2)'!X158,'Compte résultat prévi'!$T$5,'Hypotheses expl (2)'!Y158)+SUMIF('Hypotheses expl (2)'!Z158,'Compte résultat prévi'!$T$5,'Hypotheses expl (2)'!AA158)+SUMIF('Hypotheses expl (2)'!AB158,'Compte résultat prévi'!$T$5,'Hypotheses expl (2)'!AC158)</f>
        <v>0</v>
      </c>
      <c r="U115" s="203"/>
      <c r="V115" s="204"/>
    </row>
    <row r="116" collapsed="1">
      <c r="A116" s="212"/>
      <c r="B116" s="213"/>
      <c r="C116" s="214"/>
      <c r="D116" s="169"/>
      <c r="E116" s="169"/>
      <c r="F116" s="169"/>
      <c r="G116" s="169"/>
      <c r="H116" s="215"/>
      <c r="I116" s="214"/>
      <c r="J116" s="169"/>
      <c r="K116" s="169"/>
      <c r="L116" s="169"/>
      <c r="M116" s="169"/>
      <c r="N116" s="215"/>
      <c r="O116" s="214"/>
      <c r="P116" s="169"/>
      <c r="Q116" s="169"/>
      <c r="R116" s="169"/>
      <c r="S116" s="169"/>
      <c r="T116" s="215"/>
      <c r="U116" s="216"/>
      <c r="V116" s="217"/>
    </row>
    <row r="117" ht="18">
      <c r="A117" s="249" t="s">
        <v>323</v>
      </c>
      <c r="B117" s="250"/>
      <c r="C117" s="251">
        <f>C112-C113</f>
        <v>-4000</v>
      </c>
      <c r="D117" s="252">
        <f t="shared" ref="D117:H117" si="234">D112-D113</f>
        <v>0</v>
      </c>
      <c r="E117" s="252">
        <f t="shared" si="234"/>
        <v>0</v>
      </c>
      <c r="F117" s="252">
        <f t="shared" si="234"/>
        <v>0</v>
      </c>
      <c r="G117" s="252">
        <f t="shared" si="234"/>
        <v>0</v>
      </c>
      <c r="H117" s="253">
        <f t="shared" si="234"/>
        <v>-4000</v>
      </c>
      <c r="I117" s="251">
        <f>I112-I113</f>
        <v>-4000</v>
      </c>
      <c r="J117" s="252">
        <f t="shared" ref="J117:N117" si="235">J112-J113</f>
        <v>0</v>
      </c>
      <c r="K117" s="252">
        <f t="shared" si="235"/>
        <v>0</v>
      </c>
      <c r="L117" s="252">
        <f t="shared" si="235"/>
        <v>0</v>
      </c>
      <c r="M117" s="252">
        <f t="shared" si="235"/>
        <v>0</v>
      </c>
      <c r="N117" s="253">
        <f t="shared" si="235"/>
        <v>-4000</v>
      </c>
      <c r="O117" s="251">
        <f>O112-O113</f>
        <v>-4000</v>
      </c>
      <c r="P117" s="252">
        <f t="shared" ref="P117:T117" si="236">P112-P113</f>
        <v>0</v>
      </c>
      <c r="Q117" s="252">
        <f t="shared" si="236"/>
        <v>0</v>
      </c>
      <c r="R117" s="252">
        <f t="shared" si="236"/>
        <v>0</v>
      </c>
      <c r="S117" s="252">
        <f t="shared" si="236"/>
        <v>0</v>
      </c>
      <c r="T117" s="253">
        <f t="shared" si="236"/>
        <v>-4000</v>
      </c>
      <c r="U117" s="257"/>
      <c r="V117" s="258"/>
    </row>
    <row r="118" ht="15">
      <c r="A118" s="212"/>
      <c r="B118" s="213"/>
      <c r="C118" s="214"/>
      <c r="D118" s="169"/>
      <c r="E118" s="169"/>
      <c r="F118" s="169"/>
      <c r="G118" s="169"/>
      <c r="H118" s="215"/>
      <c r="I118" s="214"/>
      <c r="J118" s="169"/>
      <c r="K118" s="169"/>
      <c r="L118" s="169"/>
      <c r="M118" s="169"/>
      <c r="N118" s="215"/>
      <c r="O118" s="214"/>
      <c r="P118" s="169"/>
      <c r="Q118" s="169"/>
      <c r="R118" s="169"/>
      <c r="S118" s="169"/>
      <c r="T118" s="215"/>
      <c r="U118" s="216"/>
      <c r="V118" s="217"/>
    </row>
    <row r="119" ht="18" customHeight="1">
      <c r="A119" s="229" t="s">
        <v>223</v>
      </c>
      <c r="B119" s="254"/>
      <c r="C119" s="231">
        <f>'Hypotheses expl'!O97</f>
        <v>6000</v>
      </c>
      <c r="D119" s="232">
        <f>+SUMIF('Hypotheses expl'!R97,'Compte résultat prévi'!$D$5,'Hypotheses expl'!S97)+SUMIF('Hypotheses expl'!T97,'Compte résultat prévi'!$D$5,'Hypotheses expl'!U97)+SUMIF('Hypotheses expl'!V97,'Compte résultat prévi'!$D$5,'Hypotheses expl'!W97)+SUMIF('Hypotheses expl'!X97,'Compte résultat prévi'!$D$5,'Hypotheses expl'!Y97)+SUMIF('Hypotheses expl'!Z97,'Compte résultat prévi'!$D$5,'Hypotheses expl'!AA97)+SUMIF('Hypotheses expl'!AB97,'Compte résultat prévi'!$D$5,'Hypotheses expl'!AC97)</f>
        <v>1500</v>
      </c>
      <c r="E119" s="232">
        <f>+SUMIF('Hypotheses expl'!R97,'Compte résultat prévi'!$E$5,'Hypotheses expl'!S97)+SUMIF('Hypotheses expl'!T97,'Compte résultat prévi'!$E$5,'Hypotheses expl'!U97)+SUMIF('Hypotheses expl'!V97,'Compte résultat prévi'!$E$5,'Hypotheses expl'!W97)+SUMIF('Hypotheses expl'!X97,'Compte résultat prévi'!$E$5,'Hypotheses expl'!Y97)+SUMIF('Hypotheses expl'!Z97,'Compte résultat prévi'!$E$5,'Hypotheses expl'!AA97)+SUMIF('Hypotheses expl'!AB97,'Compte résultat prévi'!$E$5,'Hypotheses expl'!AC97)</f>
        <v>1500</v>
      </c>
      <c r="F119" s="232">
        <f>+SUMIF('Hypotheses expl'!R97,'Compte résultat prévi'!$F$5,'Hypotheses expl'!S97)+SUMIF('Hypotheses expl'!T97,'Compte résultat prévi'!$F$5,'Hypotheses expl'!U97)+SUMIF('Hypotheses expl'!V97,'Compte résultat prévi'!$F$5,'Hypotheses expl'!W97)+SUMIF('Hypotheses expl'!X97,'Compte résultat prévi'!$F$5,'Hypotheses expl'!Y97)+SUMIF('Hypotheses expl'!Z97,'Compte résultat prévi'!$F$5,'Hypotheses expl'!AA97)+SUMIF('Hypotheses expl'!AB97,'Compte résultat prévi'!$F$5,'Hypotheses expl'!AC97)</f>
        <v>1500</v>
      </c>
      <c r="G119" s="232">
        <f>+SUMIF('Hypotheses expl'!R97,'Compte résultat prévi'!$G$5,'Hypotheses expl'!S97)+SUMIF('Hypotheses expl'!T97,'Compte résultat prévi'!$G$5,'Hypotheses expl'!U97)+SUMIF('Hypotheses expl'!V97,'Compte résultat prévi'!$G$5,'Hypotheses expl'!W97)+SUMIF('Hypotheses expl'!X97,'Compte résultat prévi'!$G$5,'Hypotheses expl'!Y97)+SUMIF('Hypotheses expl'!Z97,'Compte résultat prévi'!$G$5,'Hypotheses expl'!AA97)+SUMIF('Hypotheses expl'!AB97,'Compte résultat prévi'!$G$5,'Hypotheses expl'!AC97)</f>
        <v>1500</v>
      </c>
      <c r="H119" s="233">
        <f>+SUMIF('Hypotheses expl'!R97,'Compte résultat prévi'!$H$5,'Hypotheses expl'!S97)+SUMIF('Hypotheses expl'!T97,'Compte résultat prévi'!$H$5,'Hypotheses expl'!U97)+SUMIF('Hypotheses expl'!V97,'Compte résultat prévi'!$H$5,'Hypotheses expl'!W97)+SUMIF('Hypotheses expl'!X97,'Compte résultat prévi'!$H$5,'Hypotheses expl'!Y97)+SUMIF('Hypotheses expl'!Z97,'Compte résultat prévi'!$H$5,'Hypotheses expl'!AA97)+SUMIF('Hypotheses expl'!AB97,'Compte résultat prévi'!$H$5,'Hypotheses expl'!AC97)</f>
        <v>0</v>
      </c>
      <c r="I119" s="231">
        <f>'Hypotheses expl (3,)'!O97</f>
        <v>6000</v>
      </c>
      <c r="J119" s="232">
        <f>+SUMIF('Hypotheses expl (3,)'!R97,'Compte résultat prévi'!$J$5,'Hypotheses expl (3,)'!S97)+SUMIF('Hypotheses expl (3,)'!T97,'Compte résultat prévi'!$J$5,'Hypotheses expl (3,)'!U97)+SUMIF('Hypotheses expl (3,)'!V97,'Compte résultat prévi'!$J$5,'Hypotheses expl (3,)'!W97)+SUMIF('Hypotheses expl (3,)'!X97,'Compte résultat prévi'!$J$5,'Hypotheses expl (3,)'!Y97)+SUMIF('Hypotheses expl (3,)'!Z97,'Compte résultat prévi'!$J$5,'Hypotheses expl (3,)'!AA97)+SUMIF('Hypotheses expl (3,)'!AB97,'Compte résultat prévi'!$J$5,'Hypotheses expl (3,)'!AC97)</f>
        <v>1500</v>
      </c>
      <c r="K119" s="232">
        <f>+SUMIF('Hypotheses expl (3,)'!R97,'Compte résultat prévi'!$K$5,'Hypotheses expl (3,)'!S97)+SUMIF('Hypotheses expl (3,)'!T97,'Compte résultat prévi'!$K$5,'Hypotheses expl (3,)'!U97)+SUMIF('Hypotheses expl (3,)'!V97,'Compte résultat prévi'!$K$5,'Hypotheses expl (3,)'!W97)+SUMIF('Hypotheses expl (3,)'!X97,'Compte résultat prévi'!$K$5,'Hypotheses expl (3,)'!Y97)+SUMIF('Hypotheses expl (3,)'!Z97,'Compte résultat prévi'!$K$5,'Hypotheses expl (3,)'!AA97)+SUMIF('Hypotheses expl (3,)'!AB97,'Compte résultat prévi'!$K$5,'Hypotheses expl (3,)'!AC97)</f>
        <v>1500</v>
      </c>
      <c r="L119" s="232">
        <f>+SUMIF('Hypotheses expl (3,)'!R97,'Compte résultat prévi'!$L$5,'Hypotheses expl (3,)'!S97)+SUMIF('Hypotheses expl (3,)'!T97,'Compte résultat prévi'!$L$5,'Hypotheses expl (3,)'!U97)+SUMIF('Hypotheses expl (3,)'!V97,'Compte résultat prévi'!$L$5,'Hypotheses expl (3,)'!W97)+SUMIF('Hypotheses expl (3,)'!X97,'Compte résultat prévi'!$L$5,'Hypotheses expl (3,)'!Y97)+SUMIF('Hypotheses expl (3,)'!Z97,'Compte résultat prévi'!$L$5,'Hypotheses expl (3,)'!AA97)+SUMIF('Hypotheses expl (3,)'!AB97,'Compte résultat prévi'!$L$5,'Hypotheses expl (3,)'!AC97)</f>
        <v>1500</v>
      </c>
      <c r="M119" s="232">
        <f>+SUMIF('Hypotheses expl (3,)'!R97,'Compte résultat prévi'!$M$5,'Hypotheses expl (3,)'!S97)+SUMIF('Hypotheses expl (3,)'!T97,'Compte résultat prévi'!$M$5,'Hypotheses expl (3,)'!U97)+SUMIF('Hypotheses expl (3,)'!V97,'Compte résultat prévi'!$M$5,'Hypotheses expl (3,)'!W97)+SUMIF('Hypotheses expl (3,)'!X97,'Compte résultat prévi'!$M$5,'Hypotheses expl (3,)'!Y97)+SUMIF('Hypotheses expl (3,)'!Z97,'Compte résultat prévi'!$M$5,'Hypotheses expl (3,)'!AA97)+SUMIF('Hypotheses expl (3,)'!AB97,'Compte résultat prévi'!$M$5,'Hypotheses expl (3,)'!AC97)</f>
        <v>1500</v>
      </c>
      <c r="N119" s="233">
        <f>+SUMIF('Hypotheses expl (3,)'!R97,'Compte résultat prévi'!$N$5,'Hypotheses expl (3,)'!S97)+SUMIF('Hypotheses expl (3,)'!T97,'Compte résultat prévi'!$N$5,'Hypotheses expl (3,)'!U97)+SUMIF('Hypotheses expl (3,)'!V97,'Compte résultat prévi'!$N$5,'Hypotheses expl (3,)'!W97)+SUMIF('Hypotheses expl (3,)'!X97,'Compte résultat prévi'!$N$5,'Hypotheses expl (3,)'!Y97)+SUMIF('Hypotheses expl (3,)'!Z97,'Compte résultat prévi'!$N$5,'Hypotheses expl (3,)'!AA97)+SUMIF('Hypotheses expl (3,)'!AB97,'Compte résultat prévi'!$N$5,'Hypotheses expl (3,)'!AC97)</f>
        <v>0</v>
      </c>
      <c r="O119" s="231">
        <f>'Hypotheses expl (2)'!O97</f>
        <v>0</v>
      </c>
      <c r="P119" s="232">
        <f>+SUMIF('Hypotheses expl (2)'!R97,'Compte résultat prévi'!$P$5,'Hypotheses expl (2)'!S97)+SUMIF('Hypotheses expl (2)'!T97,'Compte résultat prévi'!$P$5,'Hypotheses expl (2)'!U97)+SUMIF('Hypotheses expl (2)'!V97,'Compte résultat prévi'!$P$5,'Hypotheses expl (2)'!W97)+SUMIF('Hypotheses expl (2)'!X97,'Compte résultat prévi'!$P$5,'Hypotheses expl (2)'!Y97)+SUMIF('Hypotheses expl (2)'!Z97,'Compte résultat prévi'!$P$5,'Hypotheses expl (2)'!AA97)+SUMIF('Hypotheses expl (2)'!AB97,'Compte résultat prévi'!$P$5,'Hypotheses expl (2)'!AC97)</f>
        <v>0</v>
      </c>
      <c r="Q119" s="232">
        <f>+SUMIF('Hypotheses expl (2)'!R97,'Compte résultat prévi'!$Q$5,'Hypotheses expl (2)'!S97)+SUMIF('Hypotheses expl (2)'!T97,'Compte résultat prévi'!$Q$5,'Hypotheses expl (2)'!U97)+SUMIF('Hypotheses expl (2)'!V97,'Compte résultat prévi'!$Q$5,'Hypotheses expl (2)'!W97)+SUMIF('Hypotheses expl (2)'!X97,'Compte résultat prévi'!$Q$5,'Hypotheses expl (2)'!Y97)+SUMIF('Hypotheses expl (2)'!Z97,'Compte résultat prévi'!$Q$5,'Hypotheses expl (2)'!AA97)+SUMIF('Hypotheses expl (2)'!AB97,'Compte résultat prévi'!$Q$5,'Hypotheses expl (2)'!AC97)</f>
        <v>0</v>
      </c>
      <c r="R119" s="232">
        <f>+SUMIF('Hypotheses expl (2)'!R97,'Compte résultat prévi'!$R$5,'Hypotheses expl (2)'!S97)+SUMIF('Hypotheses expl (2)'!T97,'Compte résultat prévi'!$R$5,'Hypotheses expl (2)'!U97)+SUMIF('Hypotheses expl (2)'!V97,'Compte résultat prévi'!$R$5,'Hypotheses expl (2)'!W97)+SUMIF('Hypotheses expl (2)'!X97,'Compte résultat prévi'!$R$5,'Hypotheses expl (2)'!Y97)+SUMIF('Hypotheses expl (2)'!Z97,'Compte résultat prévi'!$R$5,'Hypotheses expl (2)'!AA97)+SUMIF('Hypotheses expl (2)'!AB97,'Compte résultat prévi'!$R$5,'Hypotheses expl (2)'!AC97)</f>
        <v>0</v>
      </c>
      <c r="S119" s="232">
        <f>+SUMIF('Hypotheses expl (2)'!R97,'Compte résultat prévi'!$S$5,'Hypotheses expl (2)'!S97)+SUMIF('Hypotheses expl (2)'!T97,'Compte résultat prévi'!$S$5,'Hypotheses expl (2)'!U97)+SUMIF('Hypotheses expl (2)'!V97,'Compte résultat prévi'!$S$5,'Hypotheses expl (2)'!W97)+SUMIF('Hypotheses expl (2)'!X97,'Compte résultat prévi'!$S$5,'Hypotheses expl (2)'!Y97)+SUMIF('Hypotheses expl (2)'!Z97,'Compte résultat prévi'!$S$5,'Hypotheses expl (2)'!AA97)+SUMIF('Hypotheses expl (2)'!AB97,'Compte résultat prévi'!$S$5,'Hypotheses expl (2)'!AC97)</f>
        <v>0</v>
      </c>
      <c r="T119" s="233">
        <f>+SUMIF('Hypotheses expl (2)'!R97,'Compte résultat prévi'!$T$5,'Hypotheses expl (2)'!S97)+SUMIF('Hypotheses expl (2)'!T97,'Compte résultat prévi'!$T$5,'Hypotheses expl (2)'!U97)+SUMIF('Hypotheses expl (2)'!V97,'Compte résultat prévi'!$T$5,'Hypotheses expl (2)'!W97)+SUMIF('Hypotheses expl (2)'!X97,'Compte résultat prévi'!$T$5,'Hypotheses expl (2)'!Y97)+SUMIF('Hypotheses expl (2)'!Z97,'Compte résultat prévi'!$T$5,'Hypotheses expl (2)'!AA97)+SUMIF('Hypotheses expl (2)'!AB97,'Compte résultat prévi'!$T$5,'Hypotheses expl (2)'!AC97)</f>
        <v>0</v>
      </c>
      <c r="U119" s="255"/>
      <c r="V119" s="256"/>
    </row>
    <row r="120" ht="18">
      <c r="A120" s="229" t="s">
        <v>324</v>
      </c>
      <c r="B120" s="230"/>
      <c r="C120" s="231">
        <f>SUM(C121:C122)</f>
        <v>0</v>
      </c>
      <c r="D120" s="232">
        <f t="shared" ref="D120:V120" si="237">SUM(D121:D122)</f>
        <v>0</v>
      </c>
      <c r="E120" s="232">
        <f t="shared" si="237"/>
        <v>0</v>
      </c>
      <c r="F120" s="232">
        <f t="shared" si="237"/>
        <v>0</v>
      </c>
      <c r="G120" s="232">
        <f t="shared" si="237"/>
        <v>0</v>
      </c>
      <c r="H120" s="233">
        <f t="shared" si="237"/>
        <v>0</v>
      </c>
      <c r="I120" s="231">
        <f>SUM(I121:I122)</f>
        <v>0</v>
      </c>
      <c r="J120" s="232">
        <f t="shared" ref="J120:N120" si="238">SUM(J121:J122)</f>
        <v>0</v>
      </c>
      <c r="K120" s="232">
        <f t="shared" si="238"/>
        <v>0</v>
      </c>
      <c r="L120" s="232">
        <f t="shared" si="238"/>
        <v>0</v>
      </c>
      <c r="M120" s="232">
        <f t="shared" si="238"/>
        <v>0</v>
      </c>
      <c r="N120" s="233">
        <f t="shared" si="238"/>
        <v>0</v>
      </c>
      <c r="O120" s="231">
        <f>SUM(O121:O122)</f>
        <v>0</v>
      </c>
      <c r="P120" s="232">
        <f t="shared" ref="P120:T120" si="239">SUM(P121:P122)</f>
        <v>0</v>
      </c>
      <c r="Q120" s="232">
        <f t="shared" si="239"/>
        <v>0</v>
      </c>
      <c r="R120" s="232">
        <f t="shared" si="239"/>
        <v>0</v>
      </c>
      <c r="S120" s="232">
        <f t="shared" si="239"/>
        <v>0</v>
      </c>
      <c r="T120" s="233">
        <f t="shared" si="239"/>
        <v>0</v>
      </c>
      <c r="U120" s="231">
        <f t="shared" si="237"/>
        <v>0</v>
      </c>
      <c r="V120" s="233">
        <f t="shared" si="237"/>
        <v>0</v>
      </c>
    </row>
    <row r="121" hidden="1" outlineLevel="1">
      <c r="A121" s="198" t="str">
        <f>'Hypotheses expl'!B159</f>
        <v xml:space="preserve">Provisions pour risques et charges</v>
      </c>
      <c r="B121" s="234"/>
      <c r="C121" s="200">
        <f>'Hypotheses expl'!O159</f>
        <v>0</v>
      </c>
      <c r="D121" s="201">
        <f>+SUMIF('Hypotheses expl'!R159,'Compte résultat prévi'!$D$5,'Hypotheses expl'!S159)+SUMIF('Hypotheses expl'!T159,'Compte résultat prévi'!$D$5,'Hypotheses expl'!U159)+SUMIF('Hypotheses expl'!V159,'Compte résultat prévi'!$D$5,'Hypotheses expl'!W159)+SUMIF('Hypotheses expl'!X159,'Compte résultat prévi'!$D$5,'Hypotheses expl'!Y159)+SUMIF('Hypotheses expl'!Z159,'Compte résultat prévi'!$D$5,'Hypotheses expl'!AA159)+SUMIF('Hypotheses expl'!AB159,'Compte résultat prévi'!$D$5,'Hypotheses expl'!AC159)</f>
        <v>0</v>
      </c>
      <c r="E121" s="201">
        <f>+SUMIF('Hypotheses expl'!R159,'Compte résultat prévi'!$E$5,'Hypotheses expl'!S159)+SUMIF('Hypotheses expl'!T159,'Compte résultat prévi'!$E$5,'Hypotheses expl'!U159)+SUMIF('Hypotheses expl'!V159,'Compte résultat prévi'!$E$5,'Hypotheses expl'!W159)+SUMIF('Hypotheses expl'!X159,'Compte résultat prévi'!$E$5,'Hypotheses expl'!Y159)+SUMIF('Hypotheses expl'!Z159,'Compte résultat prévi'!$E$5,'Hypotheses expl'!AA159)+SUMIF('Hypotheses expl'!AB159,'Compte résultat prévi'!$E$5,'Hypotheses expl'!AC159)</f>
        <v>0</v>
      </c>
      <c r="F121" s="201">
        <f>+SUMIF('Hypotheses expl'!R159,'Compte résultat prévi'!$F$5,'Hypotheses expl'!S159)+SUMIF('Hypotheses expl'!T159,'Compte résultat prévi'!$F$5,'Hypotheses expl'!U159)+SUMIF('Hypotheses expl'!V159,'Compte résultat prévi'!$F$5,'Hypotheses expl'!W159)+SUMIF('Hypotheses expl'!X159,'Compte résultat prévi'!$F$5,'Hypotheses expl'!Y159)+SUMIF('Hypotheses expl'!Z159,'Compte résultat prévi'!$F$5,'Hypotheses expl'!AA159)+SUMIF('Hypotheses expl'!AB159,'Compte résultat prévi'!$F$5,'Hypotheses expl'!AC159)</f>
        <v>0</v>
      </c>
      <c r="G121" s="201">
        <f>+SUMIF('Hypotheses expl'!R159,'Compte résultat prévi'!$G$5,'Hypotheses expl'!S159)+SUMIF('Hypotheses expl'!T159,'Compte résultat prévi'!$G$5,'Hypotheses expl'!U159)+SUMIF('Hypotheses expl'!V159,'Compte résultat prévi'!$G$5,'Hypotheses expl'!W159)+SUMIF('Hypotheses expl'!X159,'Compte résultat prévi'!$G$5,'Hypotheses expl'!Y159)+SUMIF('Hypotheses expl'!Z159,'Compte résultat prévi'!$G$5,'Hypotheses expl'!AA159)+SUMIF('Hypotheses expl'!AB159,'Compte résultat prévi'!$G$5,'Hypotheses expl'!AC159)</f>
        <v>0</v>
      </c>
      <c r="H121" s="202">
        <f>+SUMIF('Hypotheses expl'!R159,'Compte résultat prévi'!$H$5,'Hypotheses expl'!S159)+SUMIF('Hypotheses expl'!T159,'Compte résultat prévi'!$H$5,'Hypotheses expl'!U159)+SUMIF('Hypotheses expl'!V159,'Compte résultat prévi'!$H$5,'Hypotheses expl'!W159)+SUMIF('Hypotheses expl'!X159,'Compte résultat prévi'!$H$5,'Hypotheses expl'!Y159)+SUMIF('Hypotheses expl'!Z159,'Compte résultat prévi'!$H$5,'Hypotheses expl'!AA159)+SUMIF('Hypotheses expl'!AB159,'Compte résultat prévi'!$H$5,'Hypotheses expl'!AC159)</f>
        <v>0</v>
      </c>
      <c r="I121" s="200">
        <f>'Hypotheses expl (3,)'!O159</f>
        <v>0</v>
      </c>
      <c r="J121" s="201">
        <f>+SUMIF('Hypotheses expl (3,)'!R159,'Compte résultat prévi'!$J$5,'Hypotheses expl (3,)'!S159)+SUMIF('Hypotheses expl (3,)'!T159,'Compte résultat prévi'!$J$5,'Hypotheses expl (3,)'!U159)+SUMIF('Hypotheses expl (3,)'!V159,'Compte résultat prévi'!$J$5,'Hypotheses expl (3,)'!W159)+SUMIF('Hypotheses expl (3,)'!X159,'Compte résultat prévi'!$J$5,'Hypotheses expl (3,)'!Y159)+SUMIF('Hypotheses expl (3,)'!Z159,'Compte résultat prévi'!$J$5,'Hypotheses expl (3,)'!AA159)+SUMIF('Hypotheses expl (3,)'!AB159,'Compte résultat prévi'!$J$5,'Hypotheses expl (3,)'!AC159)</f>
        <v>0</v>
      </c>
      <c r="K121" s="201">
        <f>+SUMIF('Hypotheses expl (3,)'!R159,'Compte résultat prévi'!$K$5,'Hypotheses expl (3,)'!S159)+SUMIF('Hypotheses expl (3,)'!T159,'Compte résultat prévi'!$K$5,'Hypotheses expl (3,)'!U159)+SUMIF('Hypotheses expl (3,)'!V159,'Compte résultat prévi'!$K$5,'Hypotheses expl (3,)'!W159)+SUMIF('Hypotheses expl (3,)'!X159,'Compte résultat prévi'!$K$5,'Hypotheses expl (3,)'!Y159)+SUMIF('Hypotheses expl (3,)'!Z159,'Compte résultat prévi'!$K$5,'Hypotheses expl (3,)'!AA159)+SUMIF('Hypotheses expl (3,)'!AB159,'Compte résultat prévi'!$K$5,'Hypotheses expl (3,)'!AC159)</f>
        <v>0</v>
      </c>
      <c r="L121" s="201">
        <f>+SUMIF('Hypotheses expl (3,)'!R159,'Compte résultat prévi'!$L$5,'Hypotheses expl (3,)'!S159)+SUMIF('Hypotheses expl (3,)'!T159,'Compte résultat prévi'!$L$5,'Hypotheses expl (3,)'!U159)+SUMIF('Hypotheses expl (3,)'!V159,'Compte résultat prévi'!$L$5,'Hypotheses expl (3,)'!W159)+SUMIF('Hypotheses expl (3,)'!X159,'Compte résultat prévi'!$L$5,'Hypotheses expl (3,)'!Y159)+SUMIF('Hypotheses expl (3,)'!Z159,'Compte résultat prévi'!$L$5,'Hypotheses expl (3,)'!AA159)+SUMIF('Hypotheses expl (3,)'!AB159,'Compte résultat prévi'!$L$5,'Hypotheses expl (3,)'!AC159)</f>
        <v>0</v>
      </c>
      <c r="M121" s="201">
        <f>+SUMIF('Hypotheses expl (3,)'!R159,'Compte résultat prévi'!$M$5,'Hypotheses expl (3,)'!S159)+SUMIF('Hypotheses expl (3,)'!T159,'Compte résultat prévi'!$M$5,'Hypotheses expl (3,)'!U159)+SUMIF('Hypotheses expl (3,)'!V159,'Compte résultat prévi'!$M$5,'Hypotheses expl (3,)'!W159)+SUMIF('Hypotheses expl (3,)'!X159,'Compte résultat prévi'!$M$5,'Hypotheses expl (3,)'!Y159)+SUMIF('Hypotheses expl (3,)'!Z159,'Compte résultat prévi'!$M$5,'Hypotheses expl (3,)'!AA159)+SUMIF('Hypotheses expl (3,)'!AB159,'Compte résultat prévi'!$M$5,'Hypotheses expl (3,)'!AC159)</f>
        <v>0</v>
      </c>
      <c r="N121" s="202">
        <f>+SUMIF('Hypotheses expl (3,)'!R159,'Compte résultat prévi'!$N$5,'Hypotheses expl (3,)'!S159)+SUMIF('Hypotheses expl (3,)'!T159,'Compte résultat prévi'!$N$5,'Hypotheses expl (3,)'!U159)+SUMIF('Hypotheses expl (3,)'!V159,'Compte résultat prévi'!$N$5,'Hypotheses expl (3,)'!W159)+SUMIF('Hypotheses expl (3,)'!X159,'Compte résultat prévi'!$N$5,'Hypotheses expl (3,)'!Y159)+SUMIF('Hypotheses expl (3,)'!Z159,'Compte résultat prévi'!$N$5,'Hypotheses expl (3,)'!AA159)+SUMIF('Hypotheses expl (3,)'!AB159,'Compte résultat prévi'!$N$5,'Hypotheses expl (3,)'!AC159)</f>
        <v>0</v>
      </c>
      <c r="O121" s="200">
        <f>'Hypotheses expl (2)'!O159</f>
        <v>0</v>
      </c>
      <c r="P121" s="201">
        <f>+SUMIF('Hypotheses expl (2)'!R159,'Compte résultat prévi'!$P$5,'Hypotheses expl (2)'!S159)+SUMIF('Hypotheses expl (2)'!T159,'Compte résultat prévi'!$P$5,'Hypotheses expl (2)'!U159)+SUMIF('Hypotheses expl (2)'!V159,'Compte résultat prévi'!$P$5,'Hypotheses expl (2)'!W159)+SUMIF('Hypotheses expl (2)'!X159,'Compte résultat prévi'!$P$5,'Hypotheses expl (2)'!Y159)+SUMIF('Hypotheses expl (2)'!Z159,'Compte résultat prévi'!$P$5,'Hypotheses expl (2)'!AA159)+SUMIF('Hypotheses expl (2)'!AB159,'Compte résultat prévi'!$P$5,'Hypotheses expl (2)'!AC159)</f>
        <v>0</v>
      </c>
      <c r="Q121" s="201">
        <f>+SUMIF('Hypotheses expl (2)'!R159,'Compte résultat prévi'!$Q$5,'Hypotheses expl (2)'!S159)+SUMIF('Hypotheses expl (2)'!T159,'Compte résultat prévi'!$Q$5,'Hypotheses expl (2)'!U159)+SUMIF('Hypotheses expl (2)'!V159,'Compte résultat prévi'!$Q$5,'Hypotheses expl (2)'!W159)+SUMIF('Hypotheses expl (2)'!X159,'Compte résultat prévi'!$Q$5,'Hypotheses expl (2)'!Y159)+SUMIF('Hypotheses expl (2)'!Z159,'Compte résultat prévi'!$Q$5,'Hypotheses expl (2)'!AA159)+SUMIF('Hypotheses expl (2)'!AB159,'Compte résultat prévi'!$Q$5,'Hypotheses expl (2)'!AC159)</f>
        <v>0</v>
      </c>
      <c r="R121" s="201">
        <f>+SUMIF('Hypotheses expl (2)'!R159,'Compte résultat prévi'!$R$5,'Hypotheses expl (2)'!S159)+SUMIF('Hypotheses expl (2)'!T159,'Compte résultat prévi'!$R$5,'Hypotheses expl (2)'!U159)+SUMIF('Hypotheses expl (2)'!V159,'Compte résultat prévi'!$R$5,'Hypotheses expl (2)'!W159)+SUMIF('Hypotheses expl (2)'!X159,'Compte résultat prévi'!$R$5,'Hypotheses expl (2)'!Y159)+SUMIF('Hypotheses expl (2)'!Z159,'Compte résultat prévi'!$R$5,'Hypotheses expl (2)'!AA159)+SUMIF('Hypotheses expl (2)'!AB159,'Compte résultat prévi'!$R$5,'Hypotheses expl (2)'!AC159)</f>
        <v>0</v>
      </c>
      <c r="S121" s="201">
        <f>+SUMIF('Hypotheses expl (2)'!R159,'Compte résultat prévi'!$S$5,'Hypotheses expl (2)'!S159)+SUMIF('Hypotheses expl (2)'!T159,'Compte résultat prévi'!$S$5,'Hypotheses expl (2)'!U159)+SUMIF('Hypotheses expl (2)'!V159,'Compte résultat prévi'!$S$5,'Hypotheses expl (2)'!W159)+SUMIF('Hypotheses expl (2)'!X159,'Compte résultat prévi'!$S$5,'Hypotheses expl (2)'!Y159)+SUMIF('Hypotheses expl (2)'!Z159,'Compte résultat prévi'!$S$5,'Hypotheses expl (2)'!AA159)+SUMIF('Hypotheses expl (2)'!AB159,'Compte résultat prévi'!$S$5,'Hypotheses expl (2)'!AC159)</f>
        <v>0</v>
      </c>
      <c r="T121" s="202">
        <f>+SUMIF('Hypotheses expl (2)'!R159,'Compte résultat prévi'!$T$5,'Hypotheses expl (2)'!S159)+SUMIF('Hypotheses expl (2)'!T159,'Compte résultat prévi'!$T$5,'Hypotheses expl (2)'!U159)+SUMIF('Hypotheses expl (2)'!V159,'Compte résultat prévi'!$T$5,'Hypotheses expl (2)'!W159)+SUMIF('Hypotheses expl (2)'!X159,'Compte résultat prévi'!$T$5,'Hypotheses expl (2)'!Y159)+SUMIF('Hypotheses expl (2)'!Z159,'Compte résultat prévi'!$T$5,'Hypotheses expl (2)'!AA159)+SUMIF('Hypotheses expl (2)'!AB159,'Compte résultat prévi'!$T$5,'Hypotheses expl (2)'!AC159)</f>
        <v>0</v>
      </c>
      <c r="U121" s="203"/>
      <c r="V121" s="204"/>
    </row>
    <row r="122" hidden="1" outlineLevel="1">
      <c r="A122" s="198" t="str">
        <f>'Hypotheses expl'!B160</f>
        <v xml:space="preserve">Autres charges exceptionnelles</v>
      </c>
      <c r="B122" s="234"/>
      <c r="C122" s="200">
        <f>'Hypotheses expl'!O160</f>
        <v>0</v>
      </c>
      <c r="D122" s="201">
        <f>+SUMIF('Hypotheses expl'!R160,'Compte résultat prévi'!$D$5,'Hypotheses expl'!S160)+SUMIF('Hypotheses expl'!T160,'Compte résultat prévi'!$D$5,'Hypotheses expl'!U160)+SUMIF('Hypotheses expl'!V160,'Compte résultat prévi'!$D$5,'Hypotheses expl'!W160)+SUMIF('Hypotheses expl'!X160,'Compte résultat prévi'!$D$5,'Hypotheses expl'!Y160)+SUMIF('Hypotheses expl'!Z160,'Compte résultat prévi'!$D$5,'Hypotheses expl'!AA160)+SUMIF('Hypotheses expl'!AB160,'Compte résultat prévi'!$D$5,'Hypotheses expl'!AC160)</f>
        <v>0</v>
      </c>
      <c r="E122" s="201">
        <f>+SUMIF('Hypotheses expl'!R160,'Compte résultat prévi'!$E$5,'Hypotheses expl'!S160)+SUMIF('Hypotheses expl'!T160,'Compte résultat prévi'!$E$5,'Hypotheses expl'!U160)+SUMIF('Hypotheses expl'!V160,'Compte résultat prévi'!$E$5,'Hypotheses expl'!W160)+SUMIF('Hypotheses expl'!X160,'Compte résultat prévi'!$E$5,'Hypotheses expl'!Y160)+SUMIF('Hypotheses expl'!Z160,'Compte résultat prévi'!$E$5,'Hypotheses expl'!AA160)+SUMIF('Hypotheses expl'!AB160,'Compte résultat prévi'!$E$5,'Hypotheses expl'!AC160)</f>
        <v>0</v>
      </c>
      <c r="F122" s="201">
        <f>+SUMIF('Hypotheses expl'!R160,'Compte résultat prévi'!$F$5,'Hypotheses expl'!S160)+SUMIF('Hypotheses expl'!T160,'Compte résultat prévi'!$F$5,'Hypotheses expl'!U160)+SUMIF('Hypotheses expl'!V160,'Compte résultat prévi'!$F$5,'Hypotheses expl'!W160)+SUMIF('Hypotheses expl'!X160,'Compte résultat prévi'!$F$5,'Hypotheses expl'!Y160)+SUMIF('Hypotheses expl'!Z160,'Compte résultat prévi'!$F$5,'Hypotheses expl'!AA160)+SUMIF('Hypotheses expl'!AB160,'Compte résultat prévi'!$F$5,'Hypotheses expl'!AC160)</f>
        <v>0</v>
      </c>
      <c r="G122" s="201">
        <f>+SUMIF('Hypotheses expl'!R160,'Compte résultat prévi'!$G$5,'Hypotheses expl'!S160)+SUMIF('Hypotheses expl'!T160,'Compte résultat prévi'!$G$5,'Hypotheses expl'!U160)+SUMIF('Hypotheses expl'!V160,'Compte résultat prévi'!$G$5,'Hypotheses expl'!W160)+SUMIF('Hypotheses expl'!X160,'Compte résultat prévi'!$G$5,'Hypotheses expl'!Y160)+SUMIF('Hypotheses expl'!Z160,'Compte résultat prévi'!$G$5,'Hypotheses expl'!AA160)+SUMIF('Hypotheses expl'!AB160,'Compte résultat prévi'!$G$5,'Hypotheses expl'!AC160)</f>
        <v>0</v>
      </c>
      <c r="H122" s="202">
        <f>+SUMIF('Hypotheses expl'!R160,'Compte résultat prévi'!$H$5,'Hypotheses expl'!S160)+SUMIF('Hypotheses expl'!T160,'Compte résultat prévi'!$H$5,'Hypotheses expl'!U160)+SUMIF('Hypotheses expl'!V160,'Compte résultat prévi'!$H$5,'Hypotheses expl'!W160)+SUMIF('Hypotheses expl'!X160,'Compte résultat prévi'!$H$5,'Hypotheses expl'!Y160)+SUMIF('Hypotheses expl'!Z160,'Compte résultat prévi'!$H$5,'Hypotheses expl'!AA160)+SUMIF('Hypotheses expl'!AB160,'Compte résultat prévi'!$H$5,'Hypotheses expl'!AC160)</f>
        <v>0</v>
      </c>
      <c r="I122" s="200">
        <f>'Hypotheses expl (3,)'!O160</f>
        <v>0</v>
      </c>
      <c r="J122" s="201">
        <f>+SUMIF('Hypotheses expl (3,)'!R160,'Compte résultat prévi'!$J$5,'Hypotheses expl (3,)'!S160)+SUMIF('Hypotheses expl (3,)'!T160,'Compte résultat prévi'!$J$5,'Hypotheses expl (3,)'!U160)+SUMIF('Hypotheses expl (3,)'!V160,'Compte résultat prévi'!$J$5,'Hypotheses expl (3,)'!W160)+SUMIF('Hypotheses expl (3,)'!X160,'Compte résultat prévi'!$J$5,'Hypotheses expl (3,)'!Y160)+SUMIF('Hypotheses expl (3,)'!Z160,'Compte résultat prévi'!$J$5,'Hypotheses expl (3,)'!AA160)+SUMIF('Hypotheses expl (3,)'!AB160,'Compte résultat prévi'!$J$5,'Hypotheses expl (3,)'!AC160)</f>
        <v>0</v>
      </c>
      <c r="K122" s="201">
        <f>+SUMIF('Hypotheses expl (3,)'!R160,'Compte résultat prévi'!$K$5,'Hypotheses expl (3,)'!S160)+SUMIF('Hypotheses expl (3,)'!T160,'Compte résultat prévi'!$K$5,'Hypotheses expl (3,)'!U160)+SUMIF('Hypotheses expl (3,)'!V160,'Compte résultat prévi'!$K$5,'Hypotheses expl (3,)'!W160)+SUMIF('Hypotheses expl (3,)'!X160,'Compte résultat prévi'!$K$5,'Hypotheses expl (3,)'!Y160)+SUMIF('Hypotheses expl (3,)'!Z160,'Compte résultat prévi'!$K$5,'Hypotheses expl (3,)'!AA160)+SUMIF('Hypotheses expl (3,)'!AB160,'Compte résultat prévi'!$K$5,'Hypotheses expl (3,)'!AC160)</f>
        <v>0</v>
      </c>
      <c r="L122" s="201">
        <f>+SUMIF('Hypotheses expl (3,)'!R160,'Compte résultat prévi'!$L$5,'Hypotheses expl (3,)'!S160)+SUMIF('Hypotheses expl (3,)'!T160,'Compte résultat prévi'!$L$5,'Hypotheses expl (3,)'!U160)+SUMIF('Hypotheses expl (3,)'!V160,'Compte résultat prévi'!$L$5,'Hypotheses expl (3,)'!W160)+SUMIF('Hypotheses expl (3,)'!X160,'Compte résultat prévi'!$L$5,'Hypotheses expl (3,)'!Y160)+SUMIF('Hypotheses expl (3,)'!Z160,'Compte résultat prévi'!$L$5,'Hypotheses expl (3,)'!AA160)+SUMIF('Hypotheses expl (3,)'!AB160,'Compte résultat prévi'!$L$5,'Hypotheses expl (3,)'!AC160)</f>
        <v>0</v>
      </c>
      <c r="M122" s="201">
        <f>+SUMIF('Hypotheses expl (3,)'!R160,'Compte résultat prévi'!$M$5,'Hypotheses expl (3,)'!S160)+SUMIF('Hypotheses expl (3,)'!T160,'Compte résultat prévi'!$M$5,'Hypotheses expl (3,)'!U160)+SUMIF('Hypotheses expl (3,)'!V160,'Compte résultat prévi'!$M$5,'Hypotheses expl (3,)'!W160)+SUMIF('Hypotheses expl (3,)'!X160,'Compte résultat prévi'!$M$5,'Hypotheses expl (3,)'!Y160)+SUMIF('Hypotheses expl (3,)'!Z160,'Compte résultat prévi'!$M$5,'Hypotheses expl (3,)'!AA160)+SUMIF('Hypotheses expl (3,)'!AB160,'Compte résultat prévi'!$M$5,'Hypotheses expl (3,)'!AC160)</f>
        <v>0</v>
      </c>
      <c r="N122" s="202">
        <f>+SUMIF('Hypotheses expl (3,)'!R160,'Compte résultat prévi'!$N$5,'Hypotheses expl (3,)'!S160)+SUMIF('Hypotheses expl (3,)'!T160,'Compte résultat prévi'!$N$5,'Hypotheses expl (3,)'!U160)+SUMIF('Hypotheses expl (3,)'!V160,'Compte résultat prévi'!$N$5,'Hypotheses expl (3,)'!W160)+SUMIF('Hypotheses expl (3,)'!X160,'Compte résultat prévi'!$N$5,'Hypotheses expl (3,)'!Y160)+SUMIF('Hypotheses expl (3,)'!Z160,'Compte résultat prévi'!$N$5,'Hypotheses expl (3,)'!AA160)+SUMIF('Hypotheses expl (3,)'!AB160,'Compte résultat prévi'!$N$5,'Hypotheses expl (3,)'!AC160)</f>
        <v>0</v>
      </c>
      <c r="O122" s="200">
        <f>'Hypotheses expl (2)'!O160</f>
        <v>0</v>
      </c>
      <c r="P122" s="201">
        <f>+SUMIF('Hypotheses expl (2)'!R160,'Compte résultat prévi'!$P$5,'Hypotheses expl (2)'!S160)+SUMIF('Hypotheses expl (2)'!T160,'Compte résultat prévi'!$P$5,'Hypotheses expl (2)'!U160)+SUMIF('Hypotheses expl (2)'!V160,'Compte résultat prévi'!$P$5,'Hypotheses expl (2)'!W160)+SUMIF('Hypotheses expl (2)'!X160,'Compte résultat prévi'!$P$5,'Hypotheses expl (2)'!Y160)+SUMIF('Hypotheses expl (2)'!Z160,'Compte résultat prévi'!$P$5,'Hypotheses expl (2)'!AA160)+SUMIF('Hypotheses expl (2)'!AB160,'Compte résultat prévi'!$P$5,'Hypotheses expl (2)'!AC160)</f>
        <v>0</v>
      </c>
      <c r="Q122" s="201">
        <f>+SUMIF('Hypotheses expl (2)'!R160,'Compte résultat prévi'!$Q$5,'Hypotheses expl (2)'!S160)+SUMIF('Hypotheses expl (2)'!T160,'Compte résultat prévi'!$Q$5,'Hypotheses expl (2)'!U160)+SUMIF('Hypotheses expl (2)'!V160,'Compte résultat prévi'!$Q$5,'Hypotheses expl (2)'!W160)+SUMIF('Hypotheses expl (2)'!X160,'Compte résultat prévi'!$Q$5,'Hypotheses expl (2)'!Y160)+SUMIF('Hypotheses expl (2)'!Z160,'Compte résultat prévi'!$Q$5,'Hypotheses expl (2)'!AA160)+SUMIF('Hypotheses expl (2)'!AB160,'Compte résultat prévi'!$Q$5,'Hypotheses expl (2)'!AC160)</f>
        <v>0</v>
      </c>
      <c r="R122" s="201">
        <f>+SUMIF('Hypotheses expl (2)'!R160,'Compte résultat prévi'!$R$5,'Hypotheses expl (2)'!S160)+SUMIF('Hypotheses expl (2)'!T160,'Compte résultat prévi'!$R$5,'Hypotheses expl (2)'!U160)+SUMIF('Hypotheses expl (2)'!V160,'Compte résultat prévi'!$R$5,'Hypotheses expl (2)'!W160)+SUMIF('Hypotheses expl (2)'!X160,'Compte résultat prévi'!$R$5,'Hypotheses expl (2)'!Y160)+SUMIF('Hypotheses expl (2)'!Z160,'Compte résultat prévi'!$R$5,'Hypotheses expl (2)'!AA160)+SUMIF('Hypotheses expl (2)'!AB160,'Compte résultat prévi'!$R$5,'Hypotheses expl (2)'!AC160)</f>
        <v>0</v>
      </c>
      <c r="S122" s="201">
        <f>+SUMIF('Hypotheses expl (2)'!R160,'Compte résultat prévi'!$S$5,'Hypotheses expl (2)'!S160)+SUMIF('Hypotheses expl (2)'!T160,'Compte résultat prévi'!$S$5,'Hypotheses expl (2)'!U160)+SUMIF('Hypotheses expl (2)'!V160,'Compte résultat prévi'!$S$5,'Hypotheses expl (2)'!W160)+SUMIF('Hypotheses expl (2)'!X160,'Compte résultat prévi'!$S$5,'Hypotheses expl (2)'!Y160)+SUMIF('Hypotheses expl (2)'!Z160,'Compte résultat prévi'!$S$5,'Hypotheses expl (2)'!AA160)+SUMIF('Hypotheses expl (2)'!AB160,'Compte résultat prévi'!$S$5,'Hypotheses expl (2)'!AC160)</f>
        <v>0</v>
      </c>
      <c r="T122" s="202">
        <f>+SUMIF('Hypotheses expl (2)'!R160,'Compte résultat prévi'!$T$5,'Hypotheses expl (2)'!S160)+SUMIF('Hypotheses expl (2)'!T160,'Compte résultat prévi'!$T$5,'Hypotheses expl (2)'!U160)+SUMIF('Hypotheses expl (2)'!V160,'Compte résultat prévi'!$T$5,'Hypotheses expl (2)'!W160)+SUMIF('Hypotheses expl (2)'!X160,'Compte résultat prévi'!$T$5,'Hypotheses expl (2)'!Y160)+SUMIF('Hypotheses expl (2)'!Z160,'Compte résultat prévi'!$T$5,'Hypotheses expl (2)'!AA160)+SUMIF('Hypotheses expl (2)'!AB160,'Compte résultat prévi'!$T$5,'Hypotheses expl (2)'!AC160)</f>
        <v>0</v>
      </c>
      <c r="U122" s="203"/>
      <c r="V122" s="204"/>
    </row>
    <row r="123" collapsed="1">
      <c r="A123" s="212"/>
      <c r="B123" s="213"/>
      <c r="C123" s="214"/>
      <c r="D123" s="169"/>
      <c r="E123" s="169"/>
      <c r="F123" s="169"/>
      <c r="G123" s="169"/>
      <c r="H123" s="215"/>
      <c r="I123" s="214"/>
      <c r="J123" s="169"/>
      <c r="K123" s="169"/>
      <c r="L123" s="169"/>
      <c r="M123" s="169"/>
      <c r="N123" s="215"/>
      <c r="O123" s="214"/>
      <c r="P123" s="169"/>
      <c r="Q123" s="169"/>
      <c r="R123" s="169"/>
      <c r="S123" s="169"/>
      <c r="T123" s="215"/>
      <c r="U123" s="216"/>
      <c r="V123" s="217"/>
    </row>
    <row r="124" ht="18">
      <c r="A124" s="249" t="s">
        <v>325</v>
      </c>
      <c r="B124" s="250"/>
      <c r="C124" s="251">
        <f>C119-C120</f>
        <v>6000</v>
      </c>
      <c r="D124" s="252">
        <f t="shared" ref="D124:V124" si="240">D119-D120</f>
        <v>1500</v>
      </c>
      <c r="E124" s="252">
        <f t="shared" si="240"/>
        <v>1500</v>
      </c>
      <c r="F124" s="252">
        <f t="shared" si="240"/>
        <v>1500</v>
      </c>
      <c r="G124" s="252">
        <f t="shared" si="240"/>
        <v>1500</v>
      </c>
      <c r="H124" s="253">
        <f t="shared" si="240"/>
        <v>0</v>
      </c>
      <c r="I124" s="251">
        <f>I119-I120</f>
        <v>6000</v>
      </c>
      <c r="J124" s="252">
        <f t="shared" ref="J124:N124" si="241">J119-J120</f>
        <v>1500</v>
      </c>
      <c r="K124" s="252">
        <f t="shared" si="241"/>
        <v>1500</v>
      </c>
      <c r="L124" s="252">
        <f t="shared" si="241"/>
        <v>1500</v>
      </c>
      <c r="M124" s="252">
        <f t="shared" si="241"/>
        <v>1500</v>
      </c>
      <c r="N124" s="253">
        <f t="shared" si="241"/>
        <v>0</v>
      </c>
      <c r="O124" s="251">
        <f>O119-O120</f>
        <v>0</v>
      </c>
      <c r="P124" s="252">
        <f t="shared" ref="P124:T124" si="242">P119-P120</f>
        <v>0</v>
      </c>
      <c r="Q124" s="252">
        <f t="shared" si="242"/>
        <v>0</v>
      </c>
      <c r="R124" s="252">
        <f t="shared" si="242"/>
        <v>0</v>
      </c>
      <c r="S124" s="252">
        <f t="shared" si="242"/>
        <v>0</v>
      </c>
      <c r="T124" s="253">
        <f t="shared" si="242"/>
        <v>0</v>
      </c>
      <c r="U124" s="251">
        <f t="shared" si="240"/>
        <v>0</v>
      </c>
      <c r="V124" s="253">
        <f t="shared" si="240"/>
        <v>0</v>
      </c>
    </row>
    <row r="125">
      <c r="A125" s="212"/>
      <c r="B125" s="213"/>
      <c r="C125" s="214"/>
      <c r="D125" s="169"/>
      <c r="E125" s="169"/>
      <c r="F125" s="169"/>
      <c r="G125" s="169"/>
      <c r="H125" s="215"/>
      <c r="I125" s="214"/>
      <c r="J125" s="169"/>
      <c r="K125" s="169"/>
      <c r="L125" s="169"/>
      <c r="M125" s="169"/>
      <c r="N125" s="215"/>
      <c r="O125" s="214"/>
      <c r="P125" s="169"/>
      <c r="Q125" s="169"/>
      <c r="R125" s="169"/>
      <c r="S125" s="169"/>
      <c r="T125" s="215"/>
      <c r="U125" s="216"/>
      <c r="V125" s="217"/>
    </row>
    <row r="126" ht="18">
      <c r="A126" s="249" t="s">
        <v>326</v>
      </c>
      <c r="B126" s="250"/>
      <c r="C126" s="251">
        <f>C110+C117+C124</f>
        <v>153196.01596703706</v>
      </c>
      <c r="D126" s="252">
        <f t="shared" ref="D126:V126" si="243">D110+D117+D124</f>
        <v>151877.11875894788</v>
      </c>
      <c r="E126" s="252">
        <f t="shared" si="243"/>
        <v>537865.75679776003</v>
      </c>
      <c r="F126" s="252">
        <f t="shared" si="243"/>
        <v>187944.92246477681</v>
      </c>
      <c r="G126" s="252">
        <f t="shared" si="243"/>
        <v>132215.17935199782</v>
      </c>
      <c r="H126" s="253">
        <f t="shared" si="243"/>
        <v>-954337.19857467082</v>
      </c>
      <c r="I126" s="251">
        <f>I110+I117+I124</f>
        <v>16553.39405996725</v>
      </c>
      <c r="J126" s="252">
        <f>J110+J117+J124</f>
        <v>151377.11875894788</v>
      </c>
      <c r="K126" s="252">
        <f t="shared" ref="K126:N126" si="244">K110+K117+K124</f>
        <v>520245.75679776003</v>
      </c>
      <c r="L126" s="252">
        <f t="shared" si="244"/>
        <v>208003.92246477681</v>
      </c>
      <c r="M126" s="252">
        <f t="shared" si="244"/>
        <v>256171.17935199782</v>
      </c>
      <c r="N126" s="253">
        <f t="shared" si="244"/>
        <v>-1082680.1985746708</v>
      </c>
      <c r="O126" s="251" t="e">
        <f>O110+O117+O124</f>
        <v>#REF!</v>
      </c>
      <c r="P126" s="252" t="e">
        <f t="shared" ref="P126:T126" si="245">P110+P117+P124</f>
        <v>#REF!</v>
      </c>
      <c r="Q126" s="252" t="e">
        <f t="shared" si="245"/>
        <v>#REF!</v>
      </c>
      <c r="R126" s="252" t="e">
        <f t="shared" si="245"/>
        <v>#REF!</v>
      </c>
      <c r="S126" s="252" t="e">
        <f t="shared" si="245"/>
        <v>#REF!</v>
      </c>
      <c r="T126" s="253" t="e">
        <f t="shared" si="245"/>
        <v>#REF!</v>
      </c>
      <c r="U126" s="251">
        <f>U110+U117+U124</f>
        <v>0</v>
      </c>
      <c r="V126" s="253">
        <f t="shared" si="243"/>
        <v>0</v>
      </c>
    </row>
    <row r="127" ht="18">
      <c r="A127" s="212"/>
      <c r="B127" s="213"/>
      <c r="C127" s="259" t="str">
        <f>+IF(ROUND(C126,0)&lt;&gt;ROUND(SUM(D126:H126),0),"risque d'erreur dans le report","")</f>
        <v xml:space="preserve">risque d'erreur dans le report</v>
      </c>
      <c r="D127" s="169"/>
      <c r="E127" s="169"/>
      <c r="F127" s="169"/>
      <c r="G127" s="169"/>
      <c r="H127" s="215"/>
      <c r="I127" s="259" t="str">
        <f>+IF(I126&lt;&gt;SUM(J126:N126),"erreur dans le report","")</f>
        <v xml:space="preserve">erreur dans le report</v>
      </c>
      <c r="J127" s="169"/>
      <c r="K127" s="169"/>
      <c r="L127" s="169"/>
      <c r="M127" s="169"/>
      <c r="N127" s="215"/>
      <c r="O127" s="259" t="e">
        <f>+IF(O126&lt;&gt;SUM(P126:T126),"erreur dans le report","")</f>
        <v>#REF!</v>
      </c>
      <c r="P127" s="169"/>
      <c r="Q127" s="169"/>
      <c r="R127" s="169"/>
      <c r="S127" s="169"/>
      <c r="T127" s="215"/>
      <c r="U127" s="260"/>
      <c r="V127" s="261"/>
    </row>
    <row r="128" ht="18.600000000000001">
      <c r="A128" s="262" t="s">
        <v>327</v>
      </c>
      <c r="B128" s="263"/>
      <c r="C128" s="264">
        <f>+SUM(D128:H128)</f>
        <v>55565.778798811676</v>
      </c>
      <c r="D128" s="265">
        <f>D126-D160-D162-D164-D166-D168</f>
        <v>-142992.8842925239</v>
      </c>
      <c r="E128" s="265">
        <f>E126-E160-E162-E164-E166-E168</f>
        <v>200479.58934509728</v>
      </c>
      <c r="F128" s="265">
        <f>F126-F160-F162-F164-F166-F168</f>
        <v>30922.497367198172</v>
      </c>
      <c r="G128" s="265">
        <f>G126-G160-G162-G164-G166-G168</f>
        <v>-32843.423620959875</v>
      </c>
      <c r="H128" s="266">
        <v>0</v>
      </c>
      <c r="I128" s="264">
        <f>+SUM(J128:N128)</f>
        <v>176460.77879881169</v>
      </c>
      <c r="J128" s="265">
        <f>J126-J160-J162-J164-J166-J168</f>
        <v>-139599.80835349666</v>
      </c>
      <c r="K128" s="265">
        <f>K126-K160-K162-K164-K166-K168</f>
        <v>193613.68626942689</v>
      </c>
      <c r="L128" s="265">
        <f>L126-L160-L162-L164-L166-L168</f>
        <v>53637.681889885789</v>
      </c>
      <c r="M128" s="265">
        <f>M126-M160-M162-M164-M166-M168</f>
        <v>68809.218992995666</v>
      </c>
      <c r="N128" s="266">
        <v>0</v>
      </c>
      <c r="O128" s="264" t="e">
        <f>+SUM(P128:T128)</f>
        <v>#REF!</v>
      </c>
      <c r="P128" s="265" t="e">
        <f>P126-P160-P162-P164-P166-P168</f>
        <v>#REF!</v>
      </c>
      <c r="Q128" s="265" t="e">
        <f>Q126-Q160-Q162-Q164-Q166-Q168</f>
        <v>#REF!</v>
      </c>
      <c r="R128" s="265" t="e">
        <f>R126-R160-R162-R164-R166-R168</f>
        <v>#REF!</v>
      </c>
      <c r="S128" s="265" t="e">
        <f>S126-S160-S162-S164-S166-S168</f>
        <v>#REF!</v>
      </c>
      <c r="T128" s="266">
        <v>0</v>
      </c>
      <c r="U128" s="267"/>
      <c r="V128" s="268"/>
    </row>
    <row r="129" ht="18">
      <c r="A129" s="269"/>
      <c r="B129" s="270"/>
      <c r="C129" s="271" t="str">
        <f>+IF(ROUND(C128,0)&lt;&gt;ROUND(C126,0),"risque d'erreur dans les clés","")</f>
        <v xml:space="preserve">risque d'erreur dans les clés</v>
      </c>
      <c r="D129" s="272"/>
      <c r="E129" s="272"/>
      <c r="F129" s="272"/>
      <c r="G129" s="272"/>
      <c r="H129" s="272"/>
      <c r="I129" s="271" t="str">
        <f>+IF(I128&lt;&gt;I126,"erreur dans les clés","")</f>
        <v xml:space="preserve">erreur dans les clés</v>
      </c>
      <c r="J129" s="272"/>
      <c r="K129" s="272"/>
      <c r="L129" s="272"/>
      <c r="M129" s="272"/>
      <c r="N129" s="272"/>
      <c r="O129" s="271" t="e">
        <f>+IF(O128&lt;&gt;O126,"erreur dans les clés","")</f>
        <v>#REF!</v>
      </c>
      <c r="P129" s="272"/>
      <c r="Q129" s="272"/>
      <c r="R129" s="272"/>
      <c r="S129" s="272"/>
      <c r="T129" s="272"/>
      <c r="U129" s="273"/>
      <c r="V129" s="273"/>
    </row>
    <row r="130" ht="18">
      <c r="A130" s="269"/>
      <c r="B130" s="270"/>
      <c r="C130" s="271"/>
      <c r="D130" s="272"/>
      <c r="E130" s="272"/>
      <c r="F130" s="272"/>
      <c r="G130" s="272"/>
      <c r="H130" s="272"/>
      <c r="I130" s="271"/>
      <c r="K130" s="272"/>
      <c r="L130" s="272"/>
      <c r="M130" s="272"/>
      <c r="N130" s="272"/>
      <c r="O130" s="271"/>
      <c r="P130" s="272"/>
      <c r="Q130" s="272"/>
      <c r="R130" s="272"/>
      <c r="S130" s="272"/>
      <c r="T130" s="272"/>
      <c r="U130" s="273"/>
      <c r="V130" s="273"/>
      <c r="Y130" s="274"/>
    </row>
    <row r="131" ht="18.600000000000001">
      <c r="A131" s="269"/>
      <c r="B131" s="270"/>
      <c r="C131" s="271"/>
      <c r="D131" s="272"/>
      <c r="E131" s="272"/>
      <c r="F131" s="272"/>
      <c r="G131" s="272"/>
      <c r="H131" s="272"/>
      <c r="I131" s="271"/>
      <c r="J131" s="272"/>
      <c r="K131" s="272"/>
      <c r="L131" s="272"/>
      <c r="M131" s="272"/>
      <c r="N131" s="272"/>
      <c r="O131" s="271"/>
      <c r="P131" s="272"/>
      <c r="Q131" s="272"/>
      <c r="R131" s="272"/>
      <c r="S131" s="272"/>
      <c r="T131" s="272"/>
      <c r="U131" s="273"/>
      <c r="V131" s="273"/>
    </row>
    <row r="132" ht="22.5" customHeight="1">
      <c r="A132" s="275" t="s">
        <v>328</v>
      </c>
      <c r="C132" s="276">
        <f>+C3</f>
        <v>45291</v>
      </c>
      <c r="D132" s="277"/>
      <c r="E132" s="277"/>
      <c r="F132" s="277"/>
      <c r="G132" s="277"/>
      <c r="H132" s="278"/>
      <c r="I132" s="276">
        <f t="shared" ref="I132:V132" si="246">+I3</f>
        <v>45657</v>
      </c>
      <c r="J132" s="277">
        <f t="shared" si="246"/>
        <v>0</v>
      </c>
      <c r="K132" s="277">
        <f t="shared" si="246"/>
        <v>0</v>
      </c>
      <c r="L132" s="277">
        <f t="shared" si="246"/>
        <v>0</v>
      </c>
      <c r="M132" s="277">
        <f t="shared" si="246"/>
        <v>0</v>
      </c>
      <c r="N132" s="278">
        <f t="shared" si="246"/>
        <v>0</v>
      </c>
      <c r="O132" s="276">
        <f t="shared" si="246"/>
        <v>46022</v>
      </c>
      <c r="P132" s="277">
        <f t="shared" si="246"/>
        <v>0</v>
      </c>
      <c r="Q132" s="277">
        <f t="shared" si="246"/>
        <v>0</v>
      </c>
      <c r="R132" s="277">
        <f t="shared" si="246"/>
        <v>0</v>
      </c>
      <c r="S132" s="277">
        <f t="shared" si="246"/>
        <v>0</v>
      </c>
      <c r="T132" s="278">
        <f t="shared" si="246"/>
        <v>0</v>
      </c>
      <c r="U132" s="279">
        <f t="shared" si="246"/>
        <v>46387</v>
      </c>
      <c r="V132" s="279">
        <f t="shared" si="246"/>
        <v>46752</v>
      </c>
    </row>
    <row r="133" ht="24">
      <c r="A133" s="275"/>
      <c r="C133" s="188" t="str">
        <f t="shared" ref="C133:T133" si="247">+C5</f>
        <v>GLOBAL</v>
      </c>
      <c r="D133" s="189" t="str">
        <f t="shared" si="247"/>
        <v xml:space="preserve">FI ES</v>
      </c>
      <c r="E133" s="189" t="str">
        <f t="shared" si="247"/>
        <v xml:space="preserve">FI ME</v>
      </c>
      <c r="F133" s="189" t="str">
        <f t="shared" si="247"/>
        <v xml:space="preserve">FI AVION</v>
      </c>
      <c r="G133" s="189" t="str">
        <f t="shared" si="247"/>
        <v>FC</v>
      </c>
      <c r="H133" s="190" t="str">
        <f t="shared" si="247"/>
        <v>Structure</v>
      </c>
      <c r="I133" s="188" t="str">
        <f t="shared" si="247"/>
        <v>GLOBAL</v>
      </c>
      <c r="J133" s="189" t="str">
        <f t="shared" si="247"/>
        <v xml:space="preserve">FI ES</v>
      </c>
      <c r="K133" s="189" t="str">
        <f t="shared" si="247"/>
        <v xml:space="preserve">FI ME</v>
      </c>
      <c r="L133" s="189" t="str">
        <f t="shared" si="247"/>
        <v xml:space="preserve">FI AVION</v>
      </c>
      <c r="M133" s="189" t="str">
        <f t="shared" si="247"/>
        <v>FC</v>
      </c>
      <c r="N133" s="190" t="str">
        <f t="shared" si="247"/>
        <v>Structure</v>
      </c>
      <c r="O133" s="188" t="str">
        <f t="shared" si="247"/>
        <v>GLOBAL</v>
      </c>
      <c r="P133" s="189" t="str">
        <f t="shared" si="247"/>
        <v xml:space="preserve">FI ES</v>
      </c>
      <c r="Q133" s="189" t="str">
        <f t="shared" si="247"/>
        <v xml:space="preserve">FI ME</v>
      </c>
      <c r="R133" s="189" t="str">
        <f t="shared" si="247"/>
        <v xml:space="preserve">FI AVION</v>
      </c>
      <c r="S133" s="189" t="str">
        <f t="shared" si="247"/>
        <v>FC</v>
      </c>
      <c r="T133" s="190" t="str">
        <f t="shared" si="247"/>
        <v>Structure</v>
      </c>
      <c r="U133" s="280"/>
      <c r="V133" s="280">
        <f>+V5</f>
        <v>0</v>
      </c>
    </row>
    <row r="134" ht="15" customHeight="1">
      <c r="A134" s="281" t="s">
        <v>309</v>
      </c>
      <c r="B134" s="281"/>
      <c r="C134" s="282">
        <f t="shared" ref="C134:V134" si="248">C6</f>
        <v>490029</v>
      </c>
      <c r="D134" s="283">
        <f t="shared" si="248"/>
        <v>63331</v>
      </c>
      <c r="E134" s="283">
        <f t="shared" si="248"/>
        <v>55110</v>
      </c>
      <c r="F134" s="283">
        <f t="shared" si="248"/>
        <v>52659</v>
      </c>
      <c r="G134" s="283">
        <f t="shared" si="248"/>
        <v>318929</v>
      </c>
      <c r="H134" s="284">
        <f t="shared" si="248"/>
        <v>0</v>
      </c>
      <c r="I134" s="282">
        <f t="shared" si="248"/>
        <v>607365</v>
      </c>
      <c r="J134" s="283">
        <f t="shared" si="248"/>
        <v>63331</v>
      </c>
      <c r="K134" s="283">
        <f t="shared" si="248"/>
        <v>37990</v>
      </c>
      <c r="L134" s="283">
        <f t="shared" si="248"/>
        <v>52659</v>
      </c>
      <c r="M134" s="283">
        <f t="shared" si="248"/>
        <v>443385</v>
      </c>
      <c r="N134" s="284">
        <f t="shared" si="248"/>
        <v>10000</v>
      </c>
      <c r="O134" s="282">
        <f t="shared" si="248"/>
        <v>670865</v>
      </c>
      <c r="P134" s="283">
        <f t="shared" si="248"/>
        <v>63331</v>
      </c>
      <c r="Q134" s="283">
        <f t="shared" si="248"/>
        <v>37990</v>
      </c>
      <c r="R134" s="283">
        <f t="shared" si="248"/>
        <v>62659</v>
      </c>
      <c r="S134" s="283">
        <f t="shared" si="248"/>
        <v>386885</v>
      </c>
      <c r="T134" s="284">
        <f t="shared" si="248"/>
        <v>120000</v>
      </c>
      <c r="U134" s="282">
        <f t="shared" si="248"/>
        <v>0</v>
      </c>
      <c r="V134" s="284">
        <f t="shared" si="248"/>
        <v>0</v>
      </c>
    </row>
    <row r="135">
      <c r="A135" s="285" t="s">
        <v>329</v>
      </c>
      <c r="B135" s="285"/>
      <c r="C135" s="244"/>
      <c r="D135" s="286"/>
      <c r="E135" s="286"/>
      <c r="F135" s="286"/>
      <c r="G135" s="286"/>
      <c r="H135" s="246"/>
      <c r="I135" s="244"/>
      <c r="J135" s="286"/>
      <c r="K135" s="286"/>
      <c r="L135" s="286"/>
      <c r="M135" s="286"/>
      <c r="N135" s="246"/>
      <c r="O135" s="244"/>
      <c r="P135" s="286"/>
      <c r="Q135" s="286"/>
      <c r="R135" s="286"/>
      <c r="S135" s="286"/>
      <c r="T135" s="246"/>
      <c r="U135" s="244"/>
      <c r="V135" s="246"/>
    </row>
    <row r="136">
      <c r="A136" s="285" t="s">
        <v>330</v>
      </c>
      <c r="B136" s="285"/>
      <c r="C136" s="244"/>
      <c r="D136" s="286"/>
      <c r="E136" s="286"/>
      <c r="F136" s="286"/>
      <c r="G136" s="286"/>
      <c r="H136" s="246"/>
      <c r="I136" s="244"/>
      <c r="J136" s="286"/>
      <c r="K136" s="286"/>
      <c r="L136" s="286"/>
      <c r="M136" s="286"/>
      <c r="N136" s="246"/>
      <c r="O136" s="244"/>
      <c r="P136" s="286"/>
      <c r="Q136" s="286"/>
      <c r="R136" s="286"/>
      <c r="S136" s="286"/>
      <c r="T136" s="246"/>
      <c r="U136" s="244"/>
      <c r="V136" s="246"/>
    </row>
    <row r="137">
      <c r="A137" s="281" t="s">
        <v>331</v>
      </c>
      <c r="B137" s="281"/>
      <c r="C137" s="282">
        <f>C134-C136+C135</f>
        <v>490029</v>
      </c>
      <c r="D137" s="283">
        <f t="shared" ref="D137:V137" si="249">D134-D136+D135</f>
        <v>63331</v>
      </c>
      <c r="E137" s="283">
        <f t="shared" si="249"/>
        <v>55110</v>
      </c>
      <c r="F137" s="283">
        <f t="shared" si="249"/>
        <v>52659</v>
      </c>
      <c r="G137" s="283">
        <f t="shared" si="249"/>
        <v>318929</v>
      </c>
      <c r="H137" s="284">
        <f t="shared" si="249"/>
        <v>0</v>
      </c>
      <c r="I137" s="282">
        <f t="shared" si="249"/>
        <v>607365</v>
      </c>
      <c r="J137" s="283">
        <f t="shared" si="249"/>
        <v>63331</v>
      </c>
      <c r="K137" s="283">
        <f t="shared" si="249"/>
        <v>37990</v>
      </c>
      <c r="L137" s="283">
        <f t="shared" si="249"/>
        <v>52659</v>
      </c>
      <c r="M137" s="283">
        <f t="shared" si="249"/>
        <v>443385</v>
      </c>
      <c r="N137" s="284">
        <f t="shared" si="249"/>
        <v>10000</v>
      </c>
      <c r="O137" s="282">
        <f t="shared" si="249"/>
        <v>670865</v>
      </c>
      <c r="P137" s="283">
        <f t="shared" si="249"/>
        <v>63331</v>
      </c>
      <c r="Q137" s="283">
        <f t="shared" si="249"/>
        <v>37990</v>
      </c>
      <c r="R137" s="283">
        <f t="shared" si="249"/>
        <v>62659</v>
      </c>
      <c r="S137" s="283">
        <f t="shared" si="249"/>
        <v>386885</v>
      </c>
      <c r="T137" s="284">
        <f t="shared" si="249"/>
        <v>120000</v>
      </c>
      <c r="U137" s="282">
        <f t="shared" si="249"/>
        <v>0</v>
      </c>
      <c r="V137" s="284">
        <f t="shared" si="249"/>
        <v>0</v>
      </c>
    </row>
    <row r="138" ht="15">
      <c r="A138" s="285" t="s">
        <v>332</v>
      </c>
      <c r="B138" s="285"/>
      <c r="C138" s="214">
        <f t="shared" ref="C138:V138" si="250">+C45</f>
        <v>549115.09999999998</v>
      </c>
      <c r="D138" s="169">
        <f t="shared" si="250"/>
        <v>52763.825621890552</v>
      </c>
      <c r="E138" s="169">
        <f t="shared" si="250"/>
        <v>29435.712935323387</v>
      </c>
      <c r="F138" s="169">
        <f t="shared" si="250"/>
        <v>31540.588805970146</v>
      </c>
      <c r="G138" s="169">
        <f t="shared" si="250"/>
        <v>12782.972636815923</v>
      </c>
      <c r="H138" s="215">
        <f t="shared" si="250"/>
        <v>422592</v>
      </c>
      <c r="I138" s="214">
        <f t="shared" si="250"/>
        <v>605263.09999999998</v>
      </c>
      <c r="J138" s="169">
        <f t="shared" si="250"/>
        <v>52763.825621890552</v>
      </c>
      <c r="K138" s="169">
        <f t="shared" si="250"/>
        <v>29435.712935323387</v>
      </c>
      <c r="L138" s="169">
        <f t="shared" si="250"/>
        <v>31540.588805970146</v>
      </c>
      <c r="M138" s="169">
        <f t="shared" si="250"/>
        <v>12782.972636815923</v>
      </c>
      <c r="N138" s="215">
        <f t="shared" si="250"/>
        <v>476882</v>
      </c>
      <c r="O138" s="214" t="e">
        <f t="shared" si="250"/>
        <v>#REF!</v>
      </c>
      <c r="P138" s="169" t="e">
        <f t="shared" si="250"/>
        <v>#REF!</v>
      </c>
      <c r="Q138" s="169" t="e">
        <f t="shared" si="250"/>
        <v>#REF!</v>
      </c>
      <c r="R138" s="169" t="e">
        <f t="shared" si="250"/>
        <v>#REF!</v>
      </c>
      <c r="S138" s="169" t="e">
        <f t="shared" si="250"/>
        <v>#REF!</v>
      </c>
      <c r="T138" s="215" t="e">
        <f t="shared" si="250"/>
        <v>#REF!</v>
      </c>
      <c r="U138" s="214">
        <f t="shared" si="250"/>
        <v>0</v>
      </c>
      <c r="V138" s="215">
        <f t="shared" si="250"/>
        <v>0</v>
      </c>
    </row>
    <row r="139" ht="15">
      <c r="A139" s="287" t="s">
        <v>333</v>
      </c>
      <c r="B139" s="288"/>
      <c r="C139" s="289">
        <f>C137-C138</f>
        <v>-59086.099999999977</v>
      </c>
      <c r="D139" s="290">
        <f t="shared" ref="D139:V139" si="251">D137-D138</f>
        <v>10567.174378109448</v>
      </c>
      <c r="E139" s="290">
        <f t="shared" si="251"/>
        <v>25674.287064676613</v>
      </c>
      <c r="F139" s="290">
        <f t="shared" si="251"/>
        <v>21118.411194029854</v>
      </c>
      <c r="G139" s="290">
        <f t="shared" si="251"/>
        <v>306146.02736318408</v>
      </c>
      <c r="H139" s="291">
        <f t="shared" si="251"/>
        <v>-422592</v>
      </c>
      <c r="I139" s="289">
        <f t="shared" si="251"/>
        <v>2101.9000000000233</v>
      </c>
      <c r="J139" s="290">
        <f t="shared" si="251"/>
        <v>10567.174378109448</v>
      </c>
      <c r="K139" s="290">
        <f t="shared" si="251"/>
        <v>8554.2870646766132</v>
      </c>
      <c r="L139" s="290">
        <f t="shared" si="251"/>
        <v>21118.411194029854</v>
      </c>
      <c r="M139" s="290">
        <f t="shared" si="251"/>
        <v>430602.02736318408</v>
      </c>
      <c r="N139" s="291">
        <f t="shared" si="251"/>
        <v>-466882</v>
      </c>
      <c r="O139" s="289" t="e">
        <f t="shared" si="251"/>
        <v>#REF!</v>
      </c>
      <c r="P139" s="290" t="e">
        <f t="shared" si="251"/>
        <v>#REF!</v>
      </c>
      <c r="Q139" s="290" t="e">
        <f t="shared" si="251"/>
        <v>#REF!</v>
      </c>
      <c r="R139" s="290" t="e">
        <f t="shared" si="251"/>
        <v>#REF!</v>
      </c>
      <c r="S139" s="290" t="e">
        <f t="shared" si="251"/>
        <v>#REF!</v>
      </c>
      <c r="T139" s="291" t="e">
        <f t="shared" si="251"/>
        <v>#REF!</v>
      </c>
      <c r="U139" s="289">
        <f t="shared" si="251"/>
        <v>0</v>
      </c>
      <c r="V139" s="291">
        <f t="shared" si="251"/>
        <v>0</v>
      </c>
    </row>
    <row r="140">
      <c r="A140" s="285" t="s">
        <v>334</v>
      </c>
      <c r="B140" s="285"/>
      <c r="C140" s="214">
        <f t="shared" ref="C140:V140" si="252">+C18</f>
        <v>1654193.5800000001</v>
      </c>
      <c r="D140" s="169">
        <f t="shared" si="252"/>
        <v>513991.95808811311</v>
      </c>
      <c r="E140" s="169">
        <f t="shared" si="252"/>
        <v>812944.5765419784</v>
      </c>
      <c r="F140" s="169">
        <f t="shared" si="252"/>
        <v>322957.04536990856</v>
      </c>
      <c r="G140" s="169">
        <f t="shared" si="252"/>
        <v>4300</v>
      </c>
      <c r="H140" s="215">
        <f t="shared" si="252"/>
        <v>0</v>
      </c>
      <c r="I140" s="214">
        <f t="shared" si="252"/>
        <v>1652193.5800000001</v>
      </c>
      <c r="J140" s="169">
        <f t="shared" si="252"/>
        <v>513491.95808811311</v>
      </c>
      <c r="K140" s="169">
        <f t="shared" si="252"/>
        <v>812444.5765419784</v>
      </c>
      <c r="L140" s="169">
        <f t="shared" si="252"/>
        <v>322457.04536990856</v>
      </c>
      <c r="M140" s="169">
        <f t="shared" si="252"/>
        <v>3800</v>
      </c>
      <c r="N140" s="215">
        <f t="shared" si="252"/>
        <v>0</v>
      </c>
      <c r="O140" s="214">
        <f t="shared" si="252"/>
        <v>1672000</v>
      </c>
      <c r="P140" s="169">
        <f t="shared" si="252"/>
        <v>510527.43142144644</v>
      </c>
      <c r="Q140" s="169">
        <f t="shared" si="252"/>
        <v>809480.04987531179</v>
      </c>
      <c r="R140" s="169">
        <f t="shared" si="252"/>
        <v>350492.51870324189</v>
      </c>
      <c r="S140" s="169">
        <f t="shared" si="252"/>
        <v>1500</v>
      </c>
      <c r="T140" s="215">
        <f t="shared" si="252"/>
        <v>0</v>
      </c>
      <c r="U140" s="214">
        <f t="shared" si="252"/>
        <v>0</v>
      </c>
      <c r="V140" s="215">
        <f t="shared" si="252"/>
        <v>0</v>
      </c>
    </row>
    <row r="141">
      <c r="A141" s="285" t="s">
        <v>335</v>
      </c>
      <c r="B141" s="285"/>
      <c r="C141" s="214">
        <f t="shared" ref="C141:V141" si="253">+C90</f>
        <v>1297955.804203683</v>
      </c>
      <c r="D141" s="169">
        <f t="shared" si="253"/>
        <v>350594.88178837916</v>
      </c>
      <c r="E141" s="169">
        <f t="shared" si="253"/>
        <v>283121.43360226811</v>
      </c>
      <c r="F141" s="169">
        <f t="shared" si="253"/>
        <v>148900.43128128099</v>
      </c>
      <c r="G141" s="169">
        <f t="shared" si="253"/>
        <v>168247.51843058923</v>
      </c>
      <c r="H141" s="215">
        <f t="shared" si="253"/>
        <v>438741.08318267076</v>
      </c>
      <c r="I141" s="214">
        <f t="shared" si="253"/>
        <v>1485273.3420407528</v>
      </c>
      <c r="J141" s="169">
        <f t="shared" si="253"/>
        <v>350594.88178837916</v>
      </c>
      <c r="K141" s="169">
        <f t="shared" si="253"/>
        <v>283121.43360226811</v>
      </c>
      <c r="L141" s="169">
        <f t="shared" si="253"/>
        <v>128341.43128128099</v>
      </c>
      <c r="M141" s="169">
        <f t="shared" si="253"/>
        <v>168247.51843058923</v>
      </c>
      <c r="N141" s="215">
        <f t="shared" si="253"/>
        <v>522794.08318267076</v>
      </c>
      <c r="O141" s="214">
        <f t="shared" si="253"/>
        <v>1440829.2124237071</v>
      </c>
      <c r="P141" s="169" t="e">
        <f t="shared" si="253"/>
        <v>#REF!</v>
      </c>
      <c r="Q141" s="169" t="e">
        <f t="shared" si="253"/>
        <v>#REF!</v>
      </c>
      <c r="R141" s="169" t="e">
        <f t="shared" si="253"/>
        <v>#REF!</v>
      </c>
      <c r="S141" s="169" t="e">
        <f t="shared" si="253"/>
        <v>#REF!</v>
      </c>
      <c r="T141" s="215" t="e">
        <f t="shared" si="253"/>
        <v>#REF!</v>
      </c>
      <c r="U141" s="214">
        <f t="shared" si="253"/>
        <v>0</v>
      </c>
      <c r="V141" s="215">
        <f t="shared" si="253"/>
        <v>0</v>
      </c>
    </row>
    <row r="142">
      <c r="A142" s="285" t="s">
        <v>336</v>
      </c>
      <c r="B142" s="285"/>
      <c r="C142" s="214">
        <f t="shared" ref="C142:V142" si="254">+C83</f>
        <v>80555.659829280019</v>
      </c>
      <c r="D142" s="169">
        <f t="shared" si="254"/>
        <v>23587.131918895535</v>
      </c>
      <c r="E142" s="169">
        <f t="shared" si="254"/>
        <v>19131.673206626874</v>
      </c>
      <c r="F142" s="169">
        <f t="shared" si="254"/>
        <v>8730.1028178806009</v>
      </c>
      <c r="G142" s="169">
        <f t="shared" si="254"/>
        <v>11483.329580597019</v>
      </c>
      <c r="H142" s="215">
        <f t="shared" si="254"/>
        <v>23604.115392000011</v>
      </c>
      <c r="I142" s="214">
        <f t="shared" si="254"/>
        <v>89068.743899279987</v>
      </c>
      <c r="J142" s="169">
        <f t="shared" si="254"/>
        <v>23587.131918895531</v>
      </c>
      <c r="K142" s="169">
        <f t="shared" si="254"/>
        <v>19131.673206626871</v>
      </c>
      <c r="L142" s="169">
        <f t="shared" si="254"/>
        <v>8730.1028178805991</v>
      </c>
      <c r="M142" s="169">
        <f t="shared" si="254"/>
        <v>11483.329580597017</v>
      </c>
      <c r="N142" s="215">
        <f t="shared" si="254"/>
        <v>23604.115392000007</v>
      </c>
      <c r="O142" s="214">
        <f t="shared" si="254"/>
        <v>86018.275799280003</v>
      </c>
      <c r="P142" s="169">
        <f t="shared" si="254"/>
        <v>23893.131918895531</v>
      </c>
      <c r="Q142" s="169">
        <f t="shared" si="254"/>
        <v>18263.605548626871</v>
      </c>
      <c r="R142" s="169">
        <f t="shared" si="254"/>
        <v>10248.002281880601</v>
      </c>
      <c r="S142" s="169">
        <f t="shared" si="254"/>
        <v>15269.459999999999</v>
      </c>
      <c r="T142" s="215">
        <f t="shared" si="254"/>
        <v>16665.599999999999</v>
      </c>
      <c r="U142" s="214">
        <f t="shared" si="254"/>
        <v>0</v>
      </c>
      <c r="V142" s="215">
        <f t="shared" si="254"/>
        <v>0</v>
      </c>
    </row>
    <row r="143">
      <c r="A143" s="285" t="s">
        <v>337</v>
      </c>
      <c r="B143" s="285"/>
      <c r="C143" s="214">
        <f t="shared" ref="C143:V143" si="255">+C41</f>
        <v>0</v>
      </c>
      <c r="D143" s="169">
        <f t="shared" si="255"/>
        <v>0</v>
      </c>
      <c r="E143" s="169">
        <f t="shared" si="255"/>
        <v>0</v>
      </c>
      <c r="F143" s="169">
        <f t="shared" si="255"/>
        <v>0</v>
      </c>
      <c r="G143" s="169">
        <f t="shared" si="255"/>
        <v>0</v>
      </c>
      <c r="H143" s="215">
        <f t="shared" si="255"/>
        <v>0</v>
      </c>
      <c r="I143" s="214">
        <f t="shared" si="255"/>
        <v>0</v>
      </c>
      <c r="J143" s="169">
        <f t="shared" si="255"/>
        <v>0</v>
      </c>
      <c r="K143" s="169">
        <f t="shared" si="255"/>
        <v>0</v>
      </c>
      <c r="L143" s="169">
        <f t="shared" si="255"/>
        <v>0</v>
      </c>
      <c r="M143" s="169">
        <f t="shared" si="255"/>
        <v>0</v>
      </c>
      <c r="N143" s="215">
        <f t="shared" si="255"/>
        <v>0</v>
      </c>
      <c r="O143" s="214">
        <f t="shared" si="255"/>
        <v>0</v>
      </c>
      <c r="P143" s="169">
        <f t="shared" si="255"/>
        <v>0</v>
      </c>
      <c r="Q143" s="169">
        <f t="shared" si="255"/>
        <v>0</v>
      </c>
      <c r="R143" s="169">
        <f t="shared" si="255"/>
        <v>0</v>
      </c>
      <c r="S143" s="169">
        <f t="shared" si="255"/>
        <v>0</v>
      </c>
      <c r="T143" s="215">
        <f t="shared" si="255"/>
        <v>0</v>
      </c>
      <c r="U143" s="214">
        <f t="shared" si="255"/>
        <v>0</v>
      </c>
      <c r="V143" s="215">
        <f t="shared" si="255"/>
        <v>0</v>
      </c>
    </row>
    <row r="144">
      <c r="A144" s="281" t="s">
        <v>338</v>
      </c>
      <c r="B144" s="281"/>
      <c r="C144" s="282">
        <f>C139+C140-C141-C142+C143</f>
        <v>216596.01596703692</v>
      </c>
      <c r="D144" s="283">
        <f t="shared" ref="D144:V144" si="256">D139+D140-D141-D142+D143</f>
        <v>150377.11875894782</v>
      </c>
      <c r="E144" s="283">
        <f t="shared" si="256"/>
        <v>536365.75679776003</v>
      </c>
      <c r="F144" s="283">
        <f t="shared" si="256"/>
        <v>186444.92246477681</v>
      </c>
      <c r="G144" s="283">
        <f t="shared" si="256"/>
        <v>130715.17935199782</v>
      </c>
      <c r="H144" s="284">
        <f t="shared" si="256"/>
        <v>-884937.19857467082</v>
      </c>
      <c r="I144" s="282">
        <f t="shared" si="256"/>
        <v>79953.394059967235</v>
      </c>
      <c r="J144" s="283">
        <f t="shared" si="256"/>
        <v>149877.11875894788</v>
      </c>
      <c r="K144" s="283">
        <f t="shared" si="256"/>
        <v>518745.75679776008</v>
      </c>
      <c r="L144" s="283">
        <f t="shared" si="256"/>
        <v>206503.92246477681</v>
      </c>
      <c r="M144" s="283">
        <f t="shared" si="256"/>
        <v>254671.17935199782</v>
      </c>
      <c r="N144" s="284">
        <f t="shared" si="256"/>
        <v>-1013280.1985746708</v>
      </c>
      <c r="O144" s="282" t="e">
        <f t="shared" si="256"/>
        <v>#REF!</v>
      </c>
      <c r="P144" s="283" t="e">
        <f t="shared" si="256"/>
        <v>#REF!</v>
      </c>
      <c r="Q144" s="283" t="e">
        <f t="shared" si="256"/>
        <v>#REF!</v>
      </c>
      <c r="R144" s="283" t="e">
        <f t="shared" si="256"/>
        <v>#REF!</v>
      </c>
      <c r="S144" s="283" t="e">
        <f t="shared" si="256"/>
        <v>#REF!</v>
      </c>
      <c r="T144" s="284" t="e">
        <f t="shared" si="256"/>
        <v>#REF!</v>
      </c>
      <c r="U144" s="282">
        <f t="shared" si="256"/>
        <v>0</v>
      </c>
      <c r="V144" s="284">
        <f t="shared" si="256"/>
        <v>0</v>
      </c>
    </row>
    <row r="145">
      <c r="A145" s="285" t="s">
        <v>339</v>
      </c>
      <c r="B145" s="285"/>
      <c r="C145" s="214">
        <f t="shared" ref="C145:V145" si="257">+C102</f>
        <v>31900</v>
      </c>
      <c r="D145" s="169">
        <f t="shared" si="257"/>
        <v>0</v>
      </c>
      <c r="E145" s="169">
        <f t="shared" si="257"/>
        <v>0</v>
      </c>
      <c r="F145" s="169">
        <f t="shared" si="257"/>
        <v>0</v>
      </c>
      <c r="G145" s="169">
        <f t="shared" si="257"/>
        <v>0</v>
      </c>
      <c r="H145" s="215">
        <f t="shared" si="257"/>
        <v>31900</v>
      </c>
      <c r="I145" s="214">
        <f t="shared" si="257"/>
        <v>31900</v>
      </c>
      <c r="J145" s="169">
        <f t="shared" si="257"/>
        <v>0</v>
      </c>
      <c r="K145" s="169">
        <f t="shared" si="257"/>
        <v>0</v>
      </c>
      <c r="L145" s="169">
        <f t="shared" si="257"/>
        <v>0</v>
      </c>
      <c r="M145" s="169">
        <f t="shared" si="257"/>
        <v>0</v>
      </c>
      <c r="N145" s="215">
        <f t="shared" si="257"/>
        <v>31900</v>
      </c>
      <c r="O145" s="214">
        <f t="shared" si="257"/>
        <v>31900</v>
      </c>
      <c r="P145" s="169">
        <f t="shared" si="257"/>
        <v>0</v>
      </c>
      <c r="Q145" s="169">
        <f t="shared" si="257"/>
        <v>0</v>
      </c>
      <c r="R145" s="169">
        <f t="shared" si="257"/>
        <v>0</v>
      </c>
      <c r="S145" s="169">
        <f t="shared" si="257"/>
        <v>0</v>
      </c>
      <c r="T145" s="215">
        <f t="shared" si="257"/>
        <v>31900</v>
      </c>
      <c r="U145" s="214">
        <f t="shared" si="257"/>
        <v>0</v>
      </c>
      <c r="V145" s="215">
        <f t="shared" si="257"/>
        <v>0</v>
      </c>
    </row>
    <row r="146">
      <c r="A146" s="285" t="s">
        <v>340</v>
      </c>
      <c r="B146" s="285"/>
      <c r="C146" s="214">
        <f t="shared" ref="C146:V146" si="258">+C39</f>
        <v>0</v>
      </c>
      <c r="D146" s="169">
        <f t="shared" si="258"/>
        <v>0</v>
      </c>
      <c r="E146" s="169">
        <f t="shared" si="258"/>
        <v>0</v>
      </c>
      <c r="F146" s="169">
        <f t="shared" si="258"/>
        <v>0</v>
      </c>
      <c r="G146" s="169">
        <f t="shared" si="258"/>
        <v>0</v>
      </c>
      <c r="H146" s="215">
        <f t="shared" si="258"/>
        <v>0</v>
      </c>
      <c r="I146" s="214">
        <f t="shared" si="258"/>
        <v>0</v>
      </c>
      <c r="J146" s="169">
        <f t="shared" si="258"/>
        <v>0</v>
      </c>
      <c r="K146" s="169">
        <f t="shared" si="258"/>
        <v>0</v>
      </c>
      <c r="L146" s="169">
        <f t="shared" si="258"/>
        <v>0</v>
      </c>
      <c r="M146" s="169">
        <f t="shared" si="258"/>
        <v>0</v>
      </c>
      <c r="N146" s="215">
        <f t="shared" si="258"/>
        <v>0</v>
      </c>
      <c r="O146" s="214">
        <f t="shared" si="258"/>
        <v>0</v>
      </c>
      <c r="P146" s="169">
        <f t="shared" si="258"/>
        <v>0</v>
      </c>
      <c r="Q146" s="169">
        <f t="shared" si="258"/>
        <v>0</v>
      </c>
      <c r="R146" s="169">
        <f t="shared" si="258"/>
        <v>0</v>
      </c>
      <c r="S146" s="169">
        <f t="shared" si="258"/>
        <v>0</v>
      </c>
      <c r="T146" s="215">
        <f t="shared" si="258"/>
        <v>0</v>
      </c>
      <c r="U146" s="214">
        <f t="shared" si="258"/>
        <v>0</v>
      </c>
      <c r="V146" s="215">
        <f t="shared" si="258"/>
        <v>0</v>
      </c>
    </row>
    <row r="147">
      <c r="A147" s="285" t="s">
        <v>341</v>
      </c>
      <c r="B147" s="285"/>
      <c r="C147" s="214">
        <f t="shared" ref="C147:V147" si="259">+C106</f>
        <v>33500</v>
      </c>
      <c r="D147" s="169">
        <f t="shared" si="259"/>
        <v>0</v>
      </c>
      <c r="E147" s="169">
        <f t="shared" si="259"/>
        <v>0</v>
      </c>
      <c r="F147" s="169">
        <f t="shared" si="259"/>
        <v>0</v>
      </c>
      <c r="G147" s="169">
        <f t="shared" si="259"/>
        <v>0</v>
      </c>
      <c r="H147" s="215">
        <f t="shared" si="259"/>
        <v>33500</v>
      </c>
      <c r="I147" s="214">
        <f t="shared" si="259"/>
        <v>33500</v>
      </c>
      <c r="J147" s="169">
        <f t="shared" si="259"/>
        <v>0</v>
      </c>
      <c r="K147" s="169">
        <f t="shared" si="259"/>
        <v>0</v>
      </c>
      <c r="L147" s="169">
        <f t="shared" si="259"/>
        <v>0</v>
      </c>
      <c r="M147" s="169">
        <f t="shared" si="259"/>
        <v>0</v>
      </c>
      <c r="N147" s="215">
        <f t="shared" si="259"/>
        <v>33500</v>
      </c>
      <c r="O147" s="214">
        <f t="shared" si="259"/>
        <v>33500</v>
      </c>
      <c r="P147" s="169">
        <f t="shared" si="259"/>
        <v>0</v>
      </c>
      <c r="Q147" s="169">
        <f t="shared" si="259"/>
        <v>0</v>
      </c>
      <c r="R147" s="169">
        <f t="shared" si="259"/>
        <v>0</v>
      </c>
      <c r="S147" s="169">
        <f t="shared" si="259"/>
        <v>0</v>
      </c>
      <c r="T147" s="215">
        <f t="shared" si="259"/>
        <v>33500</v>
      </c>
      <c r="U147" s="214">
        <f t="shared" si="259"/>
        <v>0</v>
      </c>
      <c r="V147" s="215">
        <f t="shared" si="259"/>
        <v>0</v>
      </c>
    </row>
    <row r="148">
      <c r="A148" s="285" t="s">
        <v>342</v>
      </c>
      <c r="B148" s="285"/>
      <c r="C148" s="214">
        <f t="shared" ref="C148:V148" si="260">+C40</f>
        <v>0</v>
      </c>
      <c r="D148" s="169">
        <f t="shared" si="260"/>
        <v>0</v>
      </c>
      <c r="E148" s="169">
        <f t="shared" si="260"/>
        <v>0</v>
      </c>
      <c r="F148" s="169">
        <f t="shared" si="260"/>
        <v>0</v>
      </c>
      <c r="G148" s="169">
        <f t="shared" si="260"/>
        <v>0</v>
      </c>
      <c r="H148" s="215">
        <f t="shared" si="260"/>
        <v>0</v>
      </c>
      <c r="I148" s="214">
        <f t="shared" si="260"/>
        <v>0</v>
      </c>
      <c r="J148" s="169">
        <f t="shared" si="260"/>
        <v>0</v>
      </c>
      <c r="K148" s="169">
        <f t="shared" si="260"/>
        <v>0</v>
      </c>
      <c r="L148" s="169">
        <f t="shared" si="260"/>
        <v>0</v>
      </c>
      <c r="M148" s="169">
        <f t="shared" si="260"/>
        <v>0</v>
      </c>
      <c r="N148" s="215">
        <f t="shared" si="260"/>
        <v>0</v>
      </c>
      <c r="O148" s="214">
        <f t="shared" si="260"/>
        <v>0</v>
      </c>
      <c r="P148" s="169">
        <f t="shared" si="260"/>
        <v>0</v>
      </c>
      <c r="Q148" s="169">
        <f t="shared" si="260"/>
        <v>0</v>
      </c>
      <c r="R148" s="169">
        <f t="shared" si="260"/>
        <v>0</v>
      </c>
      <c r="S148" s="169">
        <f t="shared" si="260"/>
        <v>0</v>
      </c>
      <c r="T148" s="215">
        <f t="shared" si="260"/>
        <v>0</v>
      </c>
      <c r="U148" s="214">
        <f t="shared" si="260"/>
        <v>0</v>
      </c>
      <c r="V148" s="215">
        <f t="shared" si="260"/>
        <v>0</v>
      </c>
    </row>
    <row r="149">
      <c r="A149" s="281" t="s">
        <v>343</v>
      </c>
      <c r="B149" s="281"/>
      <c r="C149" s="282">
        <f>C144-C145+C146-C147+C148</f>
        <v>151196.01596703692</v>
      </c>
      <c r="D149" s="283">
        <f t="shared" ref="D149:V149" si="261">D144-D145+D146-D147+D148</f>
        <v>150377.11875894782</v>
      </c>
      <c r="E149" s="283">
        <f t="shared" si="261"/>
        <v>536365.75679776003</v>
      </c>
      <c r="F149" s="283">
        <f t="shared" si="261"/>
        <v>186444.92246477681</v>
      </c>
      <c r="G149" s="283">
        <f t="shared" si="261"/>
        <v>130715.17935199782</v>
      </c>
      <c r="H149" s="284">
        <f t="shared" si="261"/>
        <v>-950337.19857467082</v>
      </c>
      <c r="I149" s="282">
        <f t="shared" si="261"/>
        <v>14553.394059967235</v>
      </c>
      <c r="J149" s="283">
        <f t="shared" si="261"/>
        <v>149877.11875894788</v>
      </c>
      <c r="K149" s="283">
        <f t="shared" si="261"/>
        <v>518745.75679776008</v>
      </c>
      <c r="L149" s="283">
        <f t="shared" si="261"/>
        <v>206503.92246477681</v>
      </c>
      <c r="M149" s="283">
        <f t="shared" si="261"/>
        <v>254671.17935199782</v>
      </c>
      <c r="N149" s="284">
        <f t="shared" si="261"/>
        <v>-1078680.1985746708</v>
      </c>
      <c r="O149" s="282" t="e">
        <f t="shared" si="261"/>
        <v>#REF!</v>
      </c>
      <c r="P149" s="283" t="e">
        <f t="shared" si="261"/>
        <v>#REF!</v>
      </c>
      <c r="Q149" s="283" t="e">
        <f t="shared" si="261"/>
        <v>#REF!</v>
      </c>
      <c r="R149" s="283" t="e">
        <f t="shared" si="261"/>
        <v>#REF!</v>
      </c>
      <c r="S149" s="283" t="e">
        <f t="shared" si="261"/>
        <v>#REF!</v>
      </c>
      <c r="T149" s="284" t="e">
        <f t="shared" si="261"/>
        <v>#REF!</v>
      </c>
      <c r="U149" s="282">
        <f t="shared" si="261"/>
        <v>0</v>
      </c>
      <c r="V149" s="284">
        <f t="shared" si="261"/>
        <v>0</v>
      </c>
    </row>
    <row r="150">
      <c r="A150" s="281" t="s">
        <v>344</v>
      </c>
      <c r="B150" s="281"/>
      <c r="C150" s="282">
        <f t="shared" ref="C150:V150" si="262">+C117</f>
        <v>-4000</v>
      </c>
      <c r="D150" s="283">
        <f t="shared" si="262"/>
        <v>0</v>
      </c>
      <c r="E150" s="283">
        <f t="shared" si="262"/>
        <v>0</v>
      </c>
      <c r="F150" s="283">
        <f t="shared" si="262"/>
        <v>0</v>
      </c>
      <c r="G150" s="283">
        <f t="shared" si="262"/>
        <v>0</v>
      </c>
      <c r="H150" s="284">
        <f t="shared" si="262"/>
        <v>-4000</v>
      </c>
      <c r="I150" s="282">
        <f t="shared" si="262"/>
        <v>-4000</v>
      </c>
      <c r="J150" s="283">
        <f t="shared" si="262"/>
        <v>0</v>
      </c>
      <c r="K150" s="283">
        <f t="shared" si="262"/>
        <v>0</v>
      </c>
      <c r="L150" s="283">
        <f t="shared" si="262"/>
        <v>0</v>
      </c>
      <c r="M150" s="283">
        <f t="shared" si="262"/>
        <v>0</v>
      </c>
      <c r="N150" s="284">
        <f t="shared" si="262"/>
        <v>-4000</v>
      </c>
      <c r="O150" s="282">
        <f t="shared" si="262"/>
        <v>-4000</v>
      </c>
      <c r="P150" s="283">
        <f t="shared" si="262"/>
        <v>0</v>
      </c>
      <c r="Q150" s="283">
        <f t="shared" si="262"/>
        <v>0</v>
      </c>
      <c r="R150" s="283">
        <f t="shared" si="262"/>
        <v>0</v>
      </c>
      <c r="S150" s="283">
        <f t="shared" si="262"/>
        <v>0</v>
      </c>
      <c r="T150" s="284">
        <f t="shared" si="262"/>
        <v>-4000</v>
      </c>
      <c r="U150" s="282">
        <f t="shared" si="262"/>
        <v>0</v>
      </c>
      <c r="V150" s="284">
        <f t="shared" si="262"/>
        <v>0</v>
      </c>
    </row>
    <row r="151">
      <c r="A151" s="281" t="s">
        <v>345</v>
      </c>
      <c r="B151" s="281"/>
      <c r="C151" s="282">
        <f t="shared" ref="C151:V151" si="263">+C124</f>
        <v>6000</v>
      </c>
      <c r="D151" s="283">
        <f t="shared" si="263"/>
        <v>1500</v>
      </c>
      <c r="E151" s="283">
        <f t="shared" si="263"/>
        <v>1500</v>
      </c>
      <c r="F151" s="283">
        <f t="shared" si="263"/>
        <v>1500</v>
      </c>
      <c r="G151" s="283">
        <f t="shared" si="263"/>
        <v>1500</v>
      </c>
      <c r="H151" s="284">
        <f t="shared" si="263"/>
        <v>0</v>
      </c>
      <c r="I151" s="282">
        <f t="shared" si="263"/>
        <v>6000</v>
      </c>
      <c r="J151" s="283">
        <f t="shared" si="263"/>
        <v>1500</v>
      </c>
      <c r="K151" s="283">
        <f t="shared" si="263"/>
        <v>1500</v>
      </c>
      <c r="L151" s="283">
        <f t="shared" si="263"/>
        <v>1500</v>
      </c>
      <c r="M151" s="283">
        <f t="shared" si="263"/>
        <v>1500</v>
      </c>
      <c r="N151" s="284">
        <f t="shared" si="263"/>
        <v>0</v>
      </c>
      <c r="O151" s="282">
        <f t="shared" si="263"/>
        <v>0</v>
      </c>
      <c r="P151" s="283">
        <f t="shared" si="263"/>
        <v>0</v>
      </c>
      <c r="Q151" s="283">
        <f t="shared" si="263"/>
        <v>0</v>
      </c>
      <c r="R151" s="283">
        <f t="shared" si="263"/>
        <v>0</v>
      </c>
      <c r="S151" s="283">
        <f t="shared" si="263"/>
        <v>0</v>
      </c>
      <c r="T151" s="284">
        <f t="shared" si="263"/>
        <v>0</v>
      </c>
      <c r="U151" s="282">
        <f t="shared" si="263"/>
        <v>0</v>
      </c>
      <c r="V151" s="284">
        <f t="shared" si="263"/>
        <v>0</v>
      </c>
    </row>
    <row r="152">
      <c r="A152" s="281" t="s">
        <v>346</v>
      </c>
      <c r="B152" s="281"/>
      <c r="C152" s="282">
        <f>SUM(D152:H152)</f>
        <v>0</v>
      </c>
      <c r="D152" s="283">
        <f>IF(VLOOKUP(D133,BDD!$A$1:$B$6,2,FALSE)="NON",0,IF((D149+D150+D151)&lt;=38120,(D149+D150+D151)*15%,38120*15%+((D149+D150+D151)-38120)*25%))</f>
        <v>0</v>
      </c>
      <c r="E152" s="283">
        <f>IF(VLOOKUP(E133,BDD!$A$1:$B$6,2,FALSE)="NON",0,IF((E149+E150+E151)&lt;=38120,(E149+E150+E151)*15%,38120*15%+((E149+E150+E151)-38120)*25%))</f>
        <v>0</v>
      </c>
      <c r="F152" s="283">
        <f>IF(VLOOKUP(F133,BDD!$A$1:$B$6,2,FALSE)="NON",0,IF((F149+F150+F151)&lt;=38120,(F149+F150+F151)*15%,38120*15%+((F149+F150+F151)-38120)*25%))</f>
        <v>0</v>
      </c>
      <c r="G152" s="283">
        <f>IF(VLOOKUP(G133,BDD!$A$1:$B$6,2,FALSE)="NON",0,IF((G149+G150+G151)&lt;=38120,(G149+G150+G151)*15%,38120*15%+((G149+G150+G151)-38120)*25%))</f>
        <v>0</v>
      </c>
      <c r="H152" s="284">
        <f>IF(VLOOKUP(H133,BDD!$A$1:$B$6,2,FALSE)="NON",0,IF((H149+H150+H151)&lt;=38120,(H149+H150+H151)*15%,38120*15%+((H149+H150+H151)-38120)*25%))</f>
        <v>0</v>
      </c>
      <c r="I152" s="282">
        <f>SUM(J152:N152)</f>
        <v>0</v>
      </c>
      <c r="J152" s="283">
        <f>IF(VLOOKUP(J133,BDD!$A$1:$B$6,2,FALSE)="NON",0,IF((J149+J150+J151)&lt;=38120,(J149+J150+J151)*15%,38120*15%+((J149+J150+J151)-38120)*25%))</f>
        <v>0</v>
      </c>
      <c r="K152" s="283">
        <f>IF(VLOOKUP(K133,BDD!$A$1:$B$6,2,FALSE)="NON",0,IF((K149+K150+K151)&lt;=38120,(K149+K150+K151)*15%,38120*15%+((K149+K150+K151)-38120)*25%))</f>
        <v>0</v>
      </c>
      <c r="L152" s="283">
        <f>IF(VLOOKUP(L133,BDD!$A$1:$B$6,2,FALSE)="NON",0,IF((L149+L150+L151)&lt;=38120,(L149+L150+L151)*15%,38120*15%+((L149+L150+L151)-38120)*25%))</f>
        <v>0</v>
      </c>
      <c r="M152" s="283">
        <f>IF(VLOOKUP(M133,BDD!$A$1:$B$6,2,FALSE)="NON",0,IF((M149+M150+M151)&lt;=38120,(M149+M150+M151)*15%,38120*15%+((M149+M150+M151)-38120)*25%))</f>
        <v>0</v>
      </c>
      <c r="N152" s="284">
        <f>IF(VLOOKUP(N133,BDD!$A$1:$B$6,2,FALSE)="NON",0,IF((N149+N150+N151)&lt;=38120,(N149+N150+N151)*15%,38120*15%+((N149+N150+N151)-38120)*25%))</f>
        <v>0</v>
      </c>
      <c r="O152" s="282">
        <f>SUM(P152:T152)</f>
        <v>0</v>
      </c>
      <c r="P152" s="283">
        <f>IF(VLOOKUP(P133,BDD!$A$1:$B$6,2,FALSE)="NON",0,IF((P149+P150+P151)&lt;=38120,(P149+P150+P151)*15%,38120*15%+((P149+P150+P151)-38120)*25%))</f>
        <v>0</v>
      </c>
      <c r="Q152" s="283">
        <f>IF(VLOOKUP(Q133,BDD!$A$1:$B$6,2,FALSE)="NON",0,IF((Q149+Q150+Q151)&lt;=38120,(Q149+Q150+Q151)*15%,38120*15%+((Q149+Q150+Q151)-38120)*25%))</f>
        <v>0</v>
      </c>
      <c r="R152" s="283">
        <f>IF(VLOOKUP(R133,BDD!$A$1:$B$6,2,FALSE)="NON",0,IF((R149+R150+R151)&lt;=38120,(R149+R150+R151)*15%,38120*15%+((R149+R150+R151)-38120)*25%))</f>
        <v>0</v>
      </c>
      <c r="S152" s="283">
        <f>IF(VLOOKUP(S133,BDD!$A$1:$B$6,2,FALSE)="NON",0,IF((S149+S150+S151)&lt;=38120,(S149+S150+S151)*15%,38120*15%+((S149+S150+S151)-38120)*25%))</f>
        <v>0</v>
      </c>
      <c r="T152" s="284">
        <f>IF(VLOOKUP(T133,BDD!$A$1:$B$6,2,FALSE)="NON",0,IF((T149+T150+T151)&lt;=38120,(T149+T150+T151)*15%,38120*15%+((T149+T150+T151)-38120)*25%))</f>
        <v>0</v>
      </c>
      <c r="U152" s="292"/>
      <c r="V152" s="293"/>
    </row>
    <row r="153" ht="15">
      <c r="A153" s="281" t="s">
        <v>347</v>
      </c>
      <c r="B153" s="281"/>
      <c r="C153" s="282">
        <f>C149+C150+C151-C152</f>
        <v>153196.01596703692</v>
      </c>
      <c r="D153" s="283">
        <f t="shared" ref="D153:V153" si="264">D149+D150+D151-D152</f>
        <v>151877.11875894782</v>
      </c>
      <c r="E153" s="283">
        <f t="shared" si="264"/>
        <v>537865.75679776003</v>
      </c>
      <c r="F153" s="283">
        <f t="shared" si="264"/>
        <v>187944.92246477681</v>
      </c>
      <c r="G153" s="283">
        <f t="shared" si="264"/>
        <v>132215.17935199782</v>
      </c>
      <c r="H153" s="284">
        <f t="shared" si="264"/>
        <v>-954337.19857467082</v>
      </c>
      <c r="I153" s="282">
        <f t="shared" si="264"/>
        <v>16553.394059967235</v>
      </c>
      <c r="J153" s="283">
        <f t="shared" si="264"/>
        <v>151377.11875894788</v>
      </c>
      <c r="K153" s="283">
        <f t="shared" si="264"/>
        <v>520245.75679776008</v>
      </c>
      <c r="L153" s="283">
        <f t="shared" si="264"/>
        <v>208003.92246477681</v>
      </c>
      <c r="M153" s="283">
        <f t="shared" si="264"/>
        <v>256171.17935199782</v>
      </c>
      <c r="N153" s="284">
        <f t="shared" si="264"/>
        <v>-1082680.1985746708</v>
      </c>
      <c r="O153" s="282" t="e">
        <f t="shared" si="264"/>
        <v>#REF!</v>
      </c>
      <c r="P153" s="283" t="e">
        <f t="shared" si="264"/>
        <v>#REF!</v>
      </c>
      <c r="Q153" s="283" t="e">
        <f t="shared" si="264"/>
        <v>#REF!</v>
      </c>
      <c r="R153" s="283" t="e">
        <f t="shared" si="264"/>
        <v>#REF!</v>
      </c>
      <c r="S153" s="283" t="e">
        <f t="shared" si="264"/>
        <v>#REF!</v>
      </c>
      <c r="T153" s="284" t="e">
        <f t="shared" si="264"/>
        <v>#REF!</v>
      </c>
      <c r="U153" s="282">
        <f>U149+U150+U151-U152</f>
        <v>0</v>
      </c>
      <c r="V153" s="284">
        <f t="shared" si="264"/>
        <v>0</v>
      </c>
    </row>
    <row r="154" ht="15">
      <c r="A154" s="287" t="s">
        <v>348</v>
      </c>
      <c r="B154" s="288"/>
      <c r="C154" s="289">
        <f t="shared" ref="C154:V154" si="265">C153+C147-C148-C151</f>
        <v>180696.01596703692</v>
      </c>
      <c r="D154" s="290">
        <f t="shared" si="265"/>
        <v>150377.11875894782</v>
      </c>
      <c r="E154" s="290">
        <f t="shared" si="265"/>
        <v>536365.75679776003</v>
      </c>
      <c r="F154" s="290">
        <f t="shared" si="265"/>
        <v>186444.92246477681</v>
      </c>
      <c r="G154" s="290">
        <f t="shared" si="265"/>
        <v>130715.17935199782</v>
      </c>
      <c r="H154" s="291">
        <f t="shared" si="265"/>
        <v>-920837.19857467082</v>
      </c>
      <c r="I154" s="289">
        <f t="shared" si="265"/>
        <v>44053.394059967235</v>
      </c>
      <c r="J154" s="290">
        <f t="shared" si="265"/>
        <v>149877.11875894788</v>
      </c>
      <c r="K154" s="290">
        <f t="shared" si="265"/>
        <v>518745.75679776008</v>
      </c>
      <c r="L154" s="290">
        <f t="shared" si="265"/>
        <v>206503.92246477681</v>
      </c>
      <c r="M154" s="290">
        <f t="shared" si="265"/>
        <v>254671.17935199782</v>
      </c>
      <c r="N154" s="291">
        <f t="shared" si="265"/>
        <v>-1049180.1985746708</v>
      </c>
      <c r="O154" s="289" t="e">
        <f t="shared" si="265"/>
        <v>#REF!</v>
      </c>
      <c r="P154" s="290" t="e">
        <f t="shared" si="265"/>
        <v>#REF!</v>
      </c>
      <c r="Q154" s="290" t="e">
        <f t="shared" si="265"/>
        <v>#REF!</v>
      </c>
      <c r="R154" s="290" t="e">
        <f t="shared" si="265"/>
        <v>#REF!</v>
      </c>
      <c r="S154" s="290" t="e">
        <f t="shared" si="265"/>
        <v>#REF!</v>
      </c>
      <c r="T154" s="291" t="e">
        <f t="shared" si="265"/>
        <v>#REF!</v>
      </c>
      <c r="U154" s="289">
        <f t="shared" si="265"/>
        <v>0</v>
      </c>
      <c r="V154" s="291">
        <f t="shared" si="265"/>
        <v>0</v>
      </c>
    </row>
    <row r="155" ht="15"/>
    <row r="156" ht="15">
      <c r="A156" s="287" t="s">
        <v>349</v>
      </c>
      <c r="B156" s="288"/>
      <c r="C156" s="289">
        <f>+SUM(D156:H156)</f>
        <v>0</v>
      </c>
      <c r="D156" s="290">
        <f>IF(VLOOKUP(D133,BDD!$A$1:$C$6,2,FALSE)="NON",0,VLOOKUP(D133,BDD!$A$1:$C$6,3,FALSE)*D139)</f>
        <v>0</v>
      </c>
      <c r="E156" s="290">
        <f>IF(VLOOKUP(E133,BDD!$A$1:$C$6,2,FALSE)="NON",0,VLOOKUP(E133,BDD!$A$1:$C$6,3,FALSE)*E139)</f>
        <v>0</v>
      </c>
      <c r="F156" s="290">
        <f>IF(VLOOKUP(F133,BDD!$A$1:$C$6,2,FALSE)="NON",0,VLOOKUP(F133,BDD!$A$1:$C$6,3,FALSE)*F139)</f>
        <v>0</v>
      </c>
      <c r="G156" s="290">
        <f>IF(VLOOKUP(G133,BDD!$A$1:$C$6,2,FALSE)="NON",0,VLOOKUP(G133,BDD!$A$1:$C$6,3,FALSE)*G139)</f>
        <v>0</v>
      </c>
      <c r="H156" s="291">
        <f>IF(VLOOKUP(H133,BDD!$A$1:$C$6,2,FALSE)="NON",0,VLOOKUP(H133,BDD!$A$1:$C$6,3,FALSE)*H139)</f>
        <v>0</v>
      </c>
      <c r="I156" s="289">
        <f>+SUM(J156:N156)</f>
        <v>0</v>
      </c>
      <c r="J156" s="290">
        <f>IF(VLOOKUP(J133,BDD!$A$1:$C$6,2,FALSE)="NON",0,VLOOKUP(J133,BDD!$A$1:$C$6,3,FALSE)*J139)</f>
        <v>0</v>
      </c>
      <c r="K156" s="290">
        <f>IF(VLOOKUP(K133,BDD!$A$1:$C$6,2,FALSE)="NON",0,VLOOKUP(K133,BDD!$A$1:$C$6,3,FALSE)*K139)</f>
        <v>0</v>
      </c>
      <c r="L156" s="290">
        <f>IF(VLOOKUP(L133,BDD!$A$1:$C$6,2,FALSE)="NON",0,VLOOKUP(L133,BDD!$A$1:$C$6,3,FALSE)*L139)</f>
        <v>0</v>
      </c>
      <c r="M156" s="290">
        <f>IF(VLOOKUP(M133,BDD!$A$1:$C$6,2,FALSE)="NON",0,VLOOKUP(M133,BDD!$A$1:$C$6,3,FALSE)*M139)</f>
        <v>0</v>
      </c>
      <c r="N156" s="291">
        <f>IF(VLOOKUP(N133,BDD!$A$1:$C$6,2,FALSE)="NON",0,VLOOKUP(N133,BDD!$A$1:$C$6,3,FALSE)*N139)</f>
        <v>0</v>
      </c>
      <c r="O156" s="289">
        <f>+SUM(P156:T156)</f>
        <v>0</v>
      </c>
      <c r="P156" s="290">
        <f>IF(VLOOKUP(P133,BDD!$A$1:$C$6,2,FALSE)="NON",0,VLOOKUP(P133,BDD!$A$1:$C$6,3,FALSE)*P139)</f>
        <v>0</v>
      </c>
      <c r="Q156" s="290">
        <f>IF(VLOOKUP(Q133,BDD!$A$1:$C$6,2,FALSE)="NON",0,VLOOKUP(Q133,BDD!$A$1:$C$6,3,FALSE)*Q139)</f>
        <v>0</v>
      </c>
      <c r="R156" s="290">
        <f>IF(VLOOKUP(R133,BDD!$A$1:$C$6,2,FALSE)="NON",0,VLOOKUP(R133,BDD!$A$1:$C$6,3,FALSE)*R139)</f>
        <v>0</v>
      </c>
      <c r="S156" s="290">
        <f>IF(VLOOKUP(S133,BDD!$A$1:$C$6,2,FALSE)="NON",0,VLOOKUP(S133,BDD!$A$1:$C$6,3,FALSE)*S139)</f>
        <v>0</v>
      </c>
      <c r="T156" s="291">
        <f>IF(VLOOKUP(T133,BDD!$A$1:$C$6,2,FALSE)="NON",0,VLOOKUP(T133,BDD!$A$1:$C$6,3,FALSE)*T139)</f>
        <v>0</v>
      </c>
      <c r="U156" s="294"/>
      <c r="V156" s="295"/>
    </row>
    <row r="157" ht="18">
      <c r="A157" s="269"/>
      <c r="B157" s="270"/>
      <c r="C157" s="271"/>
      <c r="D157" s="272"/>
      <c r="E157" s="272"/>
      <c r="F157" s="272"/>
      <c r="G157" s="272"/>
      <c r="H157" s="272"/>
      <c r="I157" s="271"/>
      <c r="J157" s="272"/>
      <c r="K157" s="272"/>
      <c r="L157" s="272"/>
      <c r="M157" s="272"/>
      <c r="N157" s="272"/>
      <c r="O157" s="271"/>
      <c r="P157" s="272"/>
      <c r="Q157" s="272"/>
      <c r="R157" s="272"/>
      <c r="S157" s="272"/>
      <c r="T157" s="272"/>
      <c r="U157" s="273"/>
      <c r="V157" s="273"/>
    </row>
    <row r="158" ht="18">
      <c r="A158" s="296" t="s">
        <v>350</v>
      </c>
      <c r="B158" s="297"/>
      <c r="C158" s="252"/>
      <c r="D158" s="252"/>
      <c r="E158" s="252"/>
      <c r="F158" s="252"/>
      <c r="G158" s="252"/>
      <c r="H158" s="252"/>
      <c r="I158" s="252"/>
      <c r="J158" s="252"/>
      <c r="K158" s="252"/>
      <c r="L158" s="252"/>
      <c r="M158" s="252"/>
      <c r="N158" s="252"/>
      <c r="O158" s="252"/>
      <c r="P158" s="252"/>
      <c r="Q158" s="252"/>
      <c r="R158" s="252"/>
      <c r="S158" s="252"/>
      <c r="T158" s="252"/>
      <c r="U158" s="298"/>
      <c r="V158" s="298"/>
    </row>
    <row r="159" s="52" customFormat="1">
      <c r="A159" s="299" t="s">
        <v>351</v>
      </c>
      <c r="B159" s="300">
        <v>1</v>
      </c>
      <c r="C159" s="301"/>
      <c r="D159" s="301"/>
      <c r="E159" s="301"/>
      <c r="F159" s="301"/>
      <c r="G159" s="301"/>
      <c r="H159" s="302">
        <f>+SUMIF($B$3:$B$126,$B$159,H3:H126)</f>
        <v>44894.128473747827</v>
      </c>
      <c r="I159" s="301"/>
      <c r="J159" s="301"/>
      <c r="K159" s="301"/>
      <c r="L159" s="301"/>
      <c r="M159" s="301"/>
      <c r="N159" s="302">
        <f>+SUMIF($B$3:$B$126,$B$159,N3:N126)</f>
        <v>44894.128473747827</v>
      </c>
      <c r="O159" s="301"/>
      <c r="P159" s="301"/>
      <c r="Q159" s="301"/>
      <c r="R159" s="301"/>
      <c r="S159" s="301"/>
      <c r="T159" s="302" t="e">
        <f>+SUMIF($B$3:$B$126,$B$159,T3:T126)</f>
        <v>#REF!</v>
      </c>
      <c r="U159" s="303"/>
      <c r="V159" s="303"/>
    </row>
    <row r="160" s="52" customFormat="1">
      <c r="A160" s="304" t="s">
        <v>100</v>
      </c>
      <c r="B160" s="305"/>
      <c r="C160" s="306"/>
      <c r="D160" s="307">
        <f>IFERROR($H$159*(D173/$C$173),0)</f>
        <v>18295.89482320545</v>
      </c>
      <c r="E160" s="307">
        <f>IFERROR($H$159*(E173/$C$173),0)</f>
        <v>17834.653777242285</v>
      </c>
      <c r="F160" s="307">
        <f>IFERROR($H$159*(F173/$C$173),0)</f>
        <v>8763.5798733000902</v>
      </c>
      <c r="G160" s="307">
        <f>IFERROR($H$159*(G173/$C$173),0)</f>
        <v>0</v>
      </c>
      <c r="H160" s="307">
        <f>IFERROR($H$159*(H173/$C$173),0)</f>
        <v>0</v>
      </c>
      <c r="I160" s="306"/>
      <c r="J160" s="307">
        <f>IFERROR($N$159*(J173/$I$173),0)</f>
        <v>18811.272142168982</v>
      </c>
      <c r="K160" s="307">
        <f t="shared" ref="K160:L160" si="266">IFERROR($N$159*(K173/$I$173),0)</f>
        <v>17072.415053397061</v>
      </c>
      <c r="L160" s="307">
        <f t="shared" si="266"/>
        <v>9010.4412781817828</v>
      </c>
      <c r="M160" s="307">
        <f>IFERROR($N$159*(M173/$I$173),0)</f>
        <v>0</v>
      </c>
      <c r="N160" s="307">
        <f>IFERROR($N$159*(N173/$I$173),0)</f>
        <v>0</v>
      </c>
      <c r="O160" s="306"/>
      <c r="P160" s="307">
        <f>IFERROR($T$159*(P173/$O$173),0)</f>
        <v>0</v>
      </c>
      <c r="Q160" s="307">
        <f t="shared" ref="Q160:S160" si="267">IFERROR($T$159*(Q173/$O$173),0)</f>
        <v>0</v>
      </c>
      <c r="R160" s="307">
        <f t="shared" si="267"/>
        <v>0</v>
      </c>
      <c r="S160" s="307">
        <f t="shared" si="267"/>
        <v>0</v>
      </c>
      <c r="T160" s="307">
        <f>IFERROR($T$159*(T173/$O$173),0)</f>
        <v>0</v>
      </c>
      <c r="U160" s="308"/>
      <c r="V160" s="308"/>
    </row>
    <row r="161" s="52" customFormat="1">
      <c r="A161" s="299" t="s">
        <v>351</v>
      </c>
      <c r="B161" s="300">
        <v>2</v>
      </c>
      <c r="C161" s="301"/>
      <c r="D161" s="301"/>
      <c r="E161" s="301"/>
      <c r="F161" s="301"/>
      <c r="G161" s="301"/>
      <c r="H161" s="302">
        <f>+SUMIF($B$3:$B$126,$B$161,H3:H126)</f>
        <v>0</v>
      </c>
      <c r="I161" s="301"/>
      <c r="J161" s="301"/>
      <c r="K161" s="301"/>
      <c r="L161" s="301"/>
      <c r="M161" s="301"/>
      <c r="N161" s="302">
        <f>+SUMIF($B$3:$B$126,$B$161,N3:N126)</f>
        <v>0</v>
      </c>
      <c r="O161" s="301"/>
      <c r="P161" s="301"/>
      <c r="Q161" s="301"/>
      <c r="R161" s="301"/>
      <c r="S161" s="301"/>
      <c r="T161" s="302">
        <f>+SUMIF($B$3:$B$126,$B$161,T3:T126)</f>
        <v>0</v>
      </c>
      <c r="U161" s="303"/>
      <c r="V161" s="303"/>
    </row>
    <row r="162" s="52" customFormat="1">
      <c r="A162" s="304" t="s">
        <v>100</v>
      </c>
      <c r="B162" s="305"/>
      <c r="C162" s="306"/>
      <c r="D162" s="307">
        <f>IFERROR($H$161*(D174/$C$174),0)</f>
        <v>0</v>
      </c>
      <c r="E162" s="307">
        <f>IFERROR($H$161*(E174/$C$174),0)</f>
        <v>0</v>
      </c>
      <c r="F162" s="307">
        <f>IFERROR($H$161*(F174/$C$174),0)</f>
        <v>0</v>
      </c>
      <c r="G162" s="307">
        <f>IFERROR($H$161*(G174/$C$174),0)</f>
        <v>0</v>
      </c>
      <c r="H162" s="307">
        <f>IFERROR($H$161*(H174/$C$174),0)</f>
        <v>0</v>
      </c>
      <c r="I162" s="306"/>
      <c r="J162" s="307">
        <f>IFERROR($N$161*(J174/$I$174),0)</f>
        <v>0</v>
      </c>
      <c r="K162" s="307">
        <f>IFERROR($N$161*(K174/$I$174),0)</f>
        <v>0</v>
      </c>
      <c r="L162" s="307">
        <f t="shared" ref="L162:N162" si="268">IFERROR($N$161*(L174/$I$174),0)</f>
        <v>0</v>
      </c>
      <c r="M162" s="307">
        <f t="shared" si="268"/>
        <v>0</v>
      </c>
      <c r="N162" s="307">
        <f t="shared" si="268"/>
        <v>0</v>
      </c>
      <c r="O162" s="306"/>
      <c r="P162" s="307">
        <f>IFERROR($T$161*(P174/$O$174),0)</f>
        <v>0</v>
      </c>
      <c r="Q162" s="307">
        <f t="shared" ref="Q162:T162" si="269">IFERROR($T$161*(Q174/$O$174),0)</f>
        <v>0</v>
      </c>
      <c r="R162" s="307">
        <f t="shared" si="269"/>
        <v>0</v>
      </c>
      <c r="S162" s="307">
        <f t="shared" si="269"/>
        <v>0</v>
      </c>
      <c r="T162" s="307">
        <f t="shared" si="269"/>
        <v>0</v>
      </c>
      <c r="U162" s="308"/>
      <c r="V162" s="308"/>
    </row>
    <row r="163" s="52" customFormat="1">
      <c r="A163" s="299" t="s">
        <v>351</v>
      </c>
      <c r="B163" s="300">
        <v>3</v>
      </c>
      <c r="C163" s="301"/>
      <c r="D163" s="301"/>
      <c r="E163" s="301"/>
      <c r="F163" s="301"/>
      <c r="G163" s="301"/>
      <c r="H163" s="302">
        <f>+SUMIF($B$3:$B$126,$B$163,H3:H126)</f>
        <v>465901.07010092295</v>
      </c>
      <c r="I163" s="301"/>
      <c r="J163" s="301"/>
      <c r="K163" s="301"/>
      <c r="L163" s="301"/>
      <c r="M163" s="301"/>
      <c r="N163" s="302">
        <f>+SUMIF($B$3:$B$126,$B$163,N3:N126)</f>
        <v>465901.07010092295</v>
      </c>
      <c r="O163" s="301"/>
      <c r="P163" s="301"/>
      <c r="Q163" s="301"/>
      <c r="R163" s="301"/>
      <c r="S163" s="301"/>
      <c r="T163" s="302">
        <f>+SUMIF($B$3:$B$126,$B$163,T3:T126)</f>
        <v>337650.38253658428</v>
      </c>
      <c r="U163" s="303"/>
      <c r="V163" s="303"/>
    </row>
    <row r="164" s="52" customFormat="1">
      <c r="A164" s="304" t="s">
        <v>100</v>
      </c>
      <c r="B164" s="305"/>
      <c r="C164" s="306"/>
      <c r="D164" s="307">
        <f>IFERROR($H$163*(D175/$C$175),0)</f>
        <v>157152.28053894226</v>
      </c>
      <c r="E164" s="307">
        <f>IFERROR($H$163*(E175/$C$175),0)</f>
        <v>139990.55457546443</v>
      </c>
      <c r="F164" s="307">
        <f>IFERROR($H$163*(F175/$C$175),0)</f>
        <v>70560.991676136167</v>
      </c>
      <c r="G164" s="307">
        <f>IFERROR($H$163*(G175/$C$175),0)</f>
        <v>98197.24331038013</v>
      </c>
      <c r="H164" s="307">
        <f>IFERROR($H$163*(H175/$C$175),0)</f>
        <v>0</v>
      </c>
      <c r="I164" s="306"/>
      <c r="J164" s="307">
        <f>IFERROR($N$163*(J175/$I$175),0)</f>
        <v>157152.28053894226</v>
      </c>
      <c r="K164" s="307">
        <f t="shared" ref="K164:M164" si="270">IFERROR($N$163*(K175/$I$175),0)</f>
        <v>139990.55457546443</v>
      </c>
      <c r="L164" s="307">
        <f t="shared" si="270"/>
        <v>70560.991676136167</v>
      </c>
      <c r="M164" s="307">
        <f t="shared" si="270"/>
        <v>98197.24331038013</v>
      </c>
      <c r="N164" s="307">
        <f>IFERROR($N$163*(N175/$I$175),0)</f>
        <v>0</v>
      </c>
      <c r="O164" s="306"/>
      <c r="P164" s="307">
        <f>IFERROR($T$163*(P175/$O$175),0)</f>
        <v>0</v>
      </c>
      <c r="Q164" s="307">
        <f t="shared" ref="Q164:T164" si="271">IFERROR($T$163*(Q175/$O$175),0)</f>
        <v>0</v>
      </c>
      <c r="R164" s="307">
        <f t="shared" si="271"/>
        <v>0</v>
      </c>
      <c r="S164" s="307">
        <f t="shared" si="271"/>
        <v>0</v>
      </c>
      <c r="T164" s="307">
        <f t="shared" si="271"/>
        <v>0</v>
      </c>
      <c r="U164" s="308"/>
      <c r="V164" s="308"/>
    </row>
    <row r="165" s="52" customFormat="1">
      <c r="A165" s="299" t="s">
        <v>351</v>
      </c>
      <c r="B165" s="300">
        <v>4</v>
      </c>
      <c r="C165" s="301"/>
      <c r="D165" s="301"/>
      <c r="E165" s="301"/>
      <c r="F165" s="301"/>
      <c r="G165" s="301"/>
      <c r="H165" s="302">
        <f>+SUMIF($B$3:$B$126,$B$165,H3:H126)</f>
        <v>443542</v>
      </c>
      <c r="I165" s="301"/>
      <c r="J165" s="301"/>
      <c r="K165" s="301"/>
      <c r="L165" s="301"/>
      <c r="M165" s="301"/>
      <c r="N165" s="302">
        <f>+SUMIF($B$3:$B$126,$B$165,N3:N126)</f>
        <v>448542</v>
      </c>
      <c r="O165" s="301"/>
      <c r="P165" s="301"/>
      <c r="Q165" s="301"/>
      <c r="R165" s="301"/>
      <c r="S165" s="301"/>
      <c r="T165" s="302">
        <f>+SUMIF($B$3:$B$126,$B$165,T3:T126)</f>
        <v>467417</v>
      </c>
      <c r="U165" s="303"/>
      <c r="V165" s="303"/>
    </row>
    <row r="166" s="52" customFormat="1">
      <c r="A166" s="304" t="s">
        <v>100</v>
      </c>
      <c r="B166" s="305"/>
      <c r="C166" s="306"/>
      <c r="D166" s="307">
        <f>IFERROR($H$165*(D176/$C$176),0)</f>
        <v>119421.82768932405</v>
      </c>
      <c r="E166" s="307">
        <f>IFERROR($H$165*(E176/$C$176),0)</f>
        <v>179560.959099956</v>
      </c>
      <c r="F166" s="307">
        <f>IFERROR($H$165*(F176/$C$176),0)</f>
        <v>77697.853548142375</v>
      </c>
      <c r="G166" s="307">
        <f>IFERROR($H$165*(G176/$C$176),0)</f>
        <v>66861.359662577568</v>
      </c>
      <c r="H166" s="307">
        <f>IFERROR($H$165*(H176/$C$176),0)</f>
        <v>0</v>
      </c>
      <c r="I166" s="306"/>
      <c r="J166" s="307">
        <f>IFERROR($N$165*(J176/$I$176),0)</f>
        <v>115013.37443133329</v>
      </c>
      <c r="K166" s="307">
        <f t="shared" ref="K166:N166" si="272">IFERROR($N$165*(K176/$I$176),0)</f>
        <v>169569.10089947161</v>
      </c>
      <c r="L166" s="307">
        <f t="shared" si="272"/>
        <v>74794.807620573061</v>
      </c>
      <c r="M166" s="307">
        <f t="shared" si="272"/>
        <v>89164.717048622042</v>
      </c>
      <c r="N166" s="307">
        <f t="shared" si="272"/>
        <v>0</v>
      </c>
      <c r="O166" s="306"/>
      <c r="P166" s="307">
        <f>IFERROR($T$165*(P176/$O$176),0)</f>
        <v>120669.1303519189</v>
      </c>
      <c r="Q166" s="307">
        <f t="shared" ref="Q166:T166" si="273">IFERROR($T$165*(Q176/$O$176),0)</f>
        <v>178203.31342774691</v>
      </c>
      <c r="R166" s="307">
        <f t="shared" si="273"/>
        <v>86876.190599839945</v>
      </c>
      <c r="S166" s="307">
        <f t="shared" si="273"/>
        <v>81668.365620494282</v>
      </c>
      <c r="T166" s="307">
        <f t="shared" si="273"/>
        <v>0</v>
      </c>
      <c r="U166" s="308"/>
      <c r="V166" s="308"/>
    </row>
    <row r="167" s="52" customFormat="1">
      <c r="A167" s="299" t="s">
        <v>351</v>
      </c>
      <c r="B167" s="300">
        <v>5</v>
      </c>
      <c r="C167" s="301"/>
      <c r="D167" s="301"/>
      <c r="E167" s="301"/>
      <c r="F167" s="301"/>
      <c r="G167" s="301"/>
      <c r="H167" s="302">
        <f>+SUMIF($B$3:$B$126,$B$167,H3:H126)</f>
        <v>0</v>
      </c>
      <c r="I167" s="301"/>
      <c r="J167" s="301"/>
      <c r="K167" s="301"/>
      <c r="L167" s="301"/>
      <c r="M167" s="301"/>
      <c r="N167" s="302">
        <f>+SUMIF($B$3:$B$126,$B$167,N3:N126)</f>
        <v>0</v>
      </c>
      <c r="O167" s="301"/>
      <c r="P167" s="301"/>
      <c r="Q167" s="301"/>
      <c r="R167" s="301"/>
      <c r="S167" s="301"/>
      <c r="T167" s="302">
        <f>+SUMIF($B$3:$B$126,$B$167,T3:T126)</f>
        <v>0</v>
      </c>
      <c r="U167" s="303"/>
      <c r="V167" s="303"/>
    </row>
    <row r="168" s="52" customFormat="1">
      <c r="A168" s="299" t="s">
        <v>100</v>
      </c>
      <c r="B168" s="309"/>
      <c r="C168" s="301"/>
      <c r="D168" s="302">
        <f>IFERROR($H$167*(D177/$C$177),0)</f>
        <v>0</v>
      </c>
      <c r="E168" s="302">
        <f>IFERROR($H$167*(E177/$C$177),0)</f>
        <v>0</v>
      </c>
      <c r="F168" s="302">
        <f>IFERROR($H$167*(F177/$C$177),0)</f>
        <v>0</v>
      </c>
      <c r="G168" s="302">
        <f>IFERROR($H$167*(G177/$C$177),0)</f>
        <v>0</v>
      </c>
      <c r="H168" s="302">
        <f>IFERROR($H$167*(H177/$C$177),0)</f>
        <v>0</v>
      </c>
      <c r="I168" s="301"/>
      <c r="J168" s="302">
        <f>IFERROR($N$167*(J177/$I$177),0)</f>
        <v>0</v>
      </c>
      <c r="K168" s="302">
        <f t="shared" ref="K168:L168" si="274">IFERROR($N$167*(K177/$I$177),0)</f>
        <v>0</v>
      </c>
      <c r="L168" s="302">
        <f t="shared" si="274"/>
        <v>0</v>
      </c>
      <c r="M168" s="302">
        <f>IFERROR($N$167*(M177/$I$177),0)</f>
        <v>0</v>
      </c>
      <c r="N168" s="302">
        <f>IFERROR($N$167*(N177/$I$177),0)</f>
        <v>0</v>
      </c>
      <c r="O168" s="301"/>
      <c r="P168" s="302">
        <f>IFERROR($T$167*(P177/$O$177),0)</f>
        <v>0</v>
      </c>
      <c r="Q168" s="302">
        <f t="shared" ref="Q168:T168" si="275">IFERROR($T$167*(Q177/$O$177),0)</f>
        <v>0</v>
      </c>
      <c r="R168" s="302">
        <f t="shared" si="275"/>
        <v>0</v>
      </c>
      <c r="S168" s="302">
        <f>IFERROR($T$167*(S177/$O$177),0)</f>
        <v>0</v>
      </c>
      <c r="T168" s="302">
        <f t="shared" si="275"/>
        <v>0</v>
      </c>
      <c r="U168" s="303"/>
      <c r="V168" s="303"/>
    </row>
    <row r="169" s="52" customFormat="1">
      <c r="A169" s="304"/>
      <c r="B169" s="310"/>
      <c r="C169" s="307"/>
      <c r="D169" s="307"/>
      <c r="E169" s="307"/>
      <c r="F169" s="307"/>
      <c r="G169" s="307"/>
      <c r="H169" s="307"/>
      <c r="I169" s="307"/>
      <c r="J169" s="307"/>
      <c r="K169" s="307"/>
      <c r="L169" s="307"/>
      <c r="M169" s="307"/>
      <c r="N169" s="307"/>
      <c r="O169" s="307"/>
      <c r="P169" s="307"/>
      <c r="Q169" s="307"/>
      <c r="R169" s="307"/>
      <c r="S169" s="307"/>
      <c r="T169" s="307"/>
      <c r="U169" s="311"/>
      <c r="V169" s="311"/>
    </row>
    <row r="170" s="52" customFormat="1" ht="18.600000000000001">
      <c r="A170" s="275" t="s">
        <v>352</v>
      </c>
      <c r="B170" s="310"/>
      <c r="C170" s="307"/>
      <c r="D170" s="307"/>
      <c r="E170" s="307"/>
      <c r="F170" s="307"/>
      <c r="G170" s="307"/>
      <c r="H170" s="307"/>
      <c r="I170" s="307"/>
      <c r="J170" s="307"/>
      <c r="K170" s="307"/>
      <c r="L170" s="307"/>
      <c r="M170" s="307"/>
      <c r="N170" s="307"/>
      <c r="O170" s="307"/>
      <c r="P170" s="307"/>
      <c r="Q170" s="307"/>
      <c r="R170" s="307"/>
      <c r="S170" s="307"/>
      <c r="T170" s="307"/>
      <c r="U170" s="311"/>
      <c r="V170" s="311"/>
    </row>
    <row r="171" ht="18.600000000000001" customHeight="1">
      <c r="A171" s="312" t="s">
        <v>353</v>
      </c>
      <c r="B171" s="313" t="s">
        <v>354</v>
      </c>
      <c r="C171" s="314" t="s">
        <v>355</v>
      </c>
      <c r="D171" s="315"/>
      <c r="E171" s="315"/>
      <c r="F171" s="315"/>
      <c r="G171" s="315"/>
      <c r="H171" s="316"/>
      <c r="I171" s="314" t="s">
        <v>355</v>
      </c>
      <c r="J171" s="315"/>
      <c r="K171" s="315"/>
      <c r="L171" s="315"/>
      <c r="M171" s="315"/>
      <c r="N171" s="316"/>
      <c r="O171" s="314" t="s">
        <v>355</v>
      </c>
      <c r="P171" s="315"/>
      <c r="Q171" s="315"/>
      <c r="R171" s="315"/>
      <c r="S171" s="315"/>
      <c r="T171" s="316"/>
      <c r="U171" s="317"/>
      <c r="V171" s="317"/>
    </row>
    <row r="172" ht="24.75" customHeight="1">
      <c r="A172" s="318"/>
      <c r="B172" s="319"/>
      <c r="C172" s="320" t="s">
        <v>356</v>
      </c>
      <c r="D172" s="321" t="str">
        <f>D5</f>
        <v xml:space="preserve">FI ES</v>
      </c>
      <c r="E172" s="321" t="str">
        <f>E5</f>
        <v xml:space="preserve">FI ME</v>
      </c>
      <c r="F172" s="321" t="str">
        <f>F5</f>
        <v xml:space="preserve">FI AVION</v>
      </c>
      <c r="G172" s="321" t="str">
        <f>G5</f>
        <v>FC</v>
      </c>
      <c r="H172" s="322" t="str">
        <f>H5</f>
        <v>Structure</v>
      </c>
      <c r="I172" s="320" t="s">
        <v>356</v>
      </c>
      <c r="J172" s="321" t="str">
        <f>J5</f>
        <v xml:space="preserve">FI ES</v>
      </c>
      <c r="K172" s="321" t="str">
        <f>K5</f>
        <v xml:space="preserve">FI ME</v>
      </c>
      <c r="L172" s="321" t="str">
        <f>L5</f>
        <v xml:space="preserve">FI AVION</v>
      </c>
      <c r="M172" s="321" t="str">
        <f>M5</f>
        <v>FC</v>
      </c>
      <c r="N172" s="322" t="str">
        <f>N5</f>
        <v>Structure</v>
      </c>
      <c r="O172" s="320" t="s">
        <v>356</v>
      </c>
      <c r="P172" s="321" t="str">
        <f>P5</f>
        <v xml:space="preserve">FI ES</v>
      </c>
      <c r="Q172" s="321" t="str">
        <f>Q5</f>
        <v xml:space="preserve">FI ME</v>
      </c>
      <c r="R172" s="321" t="str">
        <f>R5</f>
        <v xml:space="preserve">FI AVION</v>
      </c>
      <c r="S172" s="321" t="str">
        <f>S5</f>
        <v>FC</v>
      </c>
      <c r="T172" s="322" t="str">
        <f>T5</f>
        <v>Structure</v>
      </c>
      <c r="U172" s="323"/>
      <c r="V172" s="323"/>
    </row>
    <row r="173">
      <c r="A173" s="324" t="s">
        <v>357</v>
      </c>
      <c r="B173" s="325">
        <v>1</v>
      </c>
      <c r="C173" s="326">
        <f t="shared" ref="C173:C177" si="276">SUM(D173:G173)</f>
        <v>292</v>
      </c>
      <c r="D173" s="327">
        <v>119</v>
      </c>
      <c r="E173" s="327">
        <v>116</v>
      </c>
      <c r="F173" s="327">
        <v>57</v>
      </c>
      <c r="G173" s="327">
        <v>0</v>
      </c>
      <c r="H173" s="328">
        <v>0</v>
      </c>
      <c r="I173" s="326">
        <f t="shared" ref="I173:I177" si="277">SUM(J173:M173)</f>
        <v>284</v>
      </c>
      <c r="J173" s="327">
        <v>119</v>
      </c>
      <c r="K173" s="327">
        <f>116-8</f>
        <v>108</v>
      </c>
      <c r="L173" s="327">
        <v>57</v>
      </c>
      <c r="M173" s="327">
        <v>0</v>
      </c>
      <c r="N173" s="328">
        <v>0</v>
      </c>
      <c r="O173" s="326">
        <f>SUM(P173:S173)</f>
        <v>0</v>
      </c>
      <c r="P173" s="329"/>
      <c r="Q173" s="329"/>
      <c r="R173" s="329"/>
      <c r="S173" s="329"/>
      <c r="T173" s="328">
        <v>0</v>
      </c>
      <c r="U173" s="330"/>
      <c r="V173" s="330"/>
    </row>
    <row r="174">
      <c r="A174" s="331" t="s">
        <v>358</v>
      </c>
      <c r="B174" s="332">
        <v>2</v>
      </c>
      <c r="C174" s="326">
        <f t="shared" si="276"/>
        <v>5750</v>
      </c>
      <c r="D174" s="333">
        <v>1450</v>
      </c>
      <c r="E174" s="333">
        <v>1900</v>
      </c>
      <c r="F174" s="333">
        <v>2400</v>
      </c>
      <c r="G174" s="333">
        <v>0</v>
      </c>
      <c r="H174" s="334">
        <v>0</v>
      </c>
      <c r="I174" s="326">
        <f t="shared" si="277"/>
        <v>5750</v>
      </c>
      <c r="J174" s="333">
        <f>1450</f>
        <v>1450</v>
      </c>
      <c r="K174" s="333">
        <v>1900</v>
      </c>
      <c r="L174" s="333">
        <v>2400</v>
      </c>
      <c r="M174" s="333">
        <v>0</v>
      </c>
      <c r="N174" s="334">
        <v>0</v>
      </c>
      <c r="O174" s="326">
        <f>SUM(P174:T174)</f>
        <v>0</v>
      </c>
      <c r="P174" s="335"/>
      <c r="Q174" s="335"/>
      <c r="R174" s="335"/>
      <c r="S174" s="335"/>
      <c r="T174" s="334">
        <v>0</v>
      </c>
      <c r="U174" s="330"/>
      <c r="V174" s="330"/>
    </row>
    <row r="175">
      <c r="A175" s="331" t="s">
        <v>359</v>
      </c>
      <c r="B175" s="332">
        <v>3</v>
      </c>
      <c r="C175" s="326">
        <f t="shared" si="276"/>
        <v>714443.32352590538</v>
      </c>
      <c r="D175" s="336">
        <f>D91+D94</f>
        <v>240987.63624560076</v>
      </c>
      <c r="E175" s="336">
        <f t="shared" ref="E175:G175" si="278">E91+E94</f>
        <v>214670.71765141952</v>
      </c>
      <c r="F175" s="336">
        <f t="shared" si="278"/>
        <v>108202.86245202724</v>
      </c>
      <c r="G175" s="336">
        <f t="shared" si="278"/>
        <v>150582.10717685788</v>
      </c>
      <c r="H175" s="337"/>
      <c r="I175" s="326">
        <f t="shared" si="277"/>
        <v>714443.32352590538</v>
      </c>
      <c r="J175" s="336">
        <f>J91+J94</f>
        <v>240987.63624560076</v>
      </c>
      <c r="K175" s="336">
        <f t="shared" ref="K175:M175" si="279">K91+K94</f>
        <v>214670.71765141952</v>
      </c>
      <c r="L175" s="336">
        <f t="shared" si="279"/>
        <v>108202.86245202724</v>
      </c>
      <c r="M175" s="336">
        <f t="shared" si="279"/>
        <v>150582.10717685788</v>
      </c>
      <c r="N175" s="337"/>
      <c r="O175" s="326" t="e">
        <f t="shared" ref="O175:O177" si="280">SUM(P175:S175)</f>
        <v>#REF!</v>
      </c>
      <c r="P175" s="336" t="e">
        <f>P91+P94</f>
        <v>#REF!</v>
      </c>
      <c r="Q175" s="336" t="e">
        <f t="shared" ref="Q175:S175" si="281">Q91+Q94</f>
        <v>#REF!</v>
      </c>
      <c r="R175" s="336" t="e">
        <f t="shared" si="281"/>
        <v>#REF!</v>
      </c>
      <c r="S175" s="336" t="e">
        <f t="shared" si="281"/>
        <v>#REF!</v>
      </c>
      <c r="T175" s="337"/>
      <c r="U175" s="330"/>
      <c r="V175" s="330"/>
    </row>
    <row r="176">
      <c r="A176" s="331" t="s">
        <v>360</v>
      </c>
      <c r="B176" s="332">
        <v>4</v>
      </c>
      <c r="C176" s="326">
        <f t="shared" si="276"/>
        <v>2144222.5800000001</v>
      </c>
      <c r="D176" s="327">
        <f>D6+D18</f>
        <v>577322.95808811311</v>
      </c>
      <c r="E176" s="327">
        <f>E6+E18</f>
        <v>868054.5765419784</v>
      </c>
      <c r="F176" s="327">
        <f>F6+F18</f>
        <v>375616.04536990856</v>
      </c>
      <c r="G176" s="327">
        <f>G6+G18</f>
        <v>323229</v>
      </c>
      <c r="H176" s="328"/>
      <c r="I176" s="326">
        <f t="shared" si="277"/>
        <v>2249558.5800000001</v>
      </c>
      <c r="J176" s="327">
        <f>J6+J18</f>
        <v>576822.95808811311</v>
      </c>
      <c r="K176" s="327">
        <f>K6+K18</f>
        <v>850434.5765419784</v>
      </c>
      <c r="L176" s="327">
        <f>L6+L18</f>
        <v>375116.04536990856</v>
      </c>
      <c r="M176" s="327">
        <f>M6+M18</f>
        <v>447185</v>
      </c>
      <c r="N176" s="328"/>
      <c r="O176" s="326">
        <f t="shared" si="280"/>
        <v>2222865</v>
      </c>
      <c r="P176" s="327">
        <f>P6+P18</f>
        <v>573858.43142144638</v>
      </c>
      <c r="Q176" s="327">
        <f>Q6+Q18</f>
        <v>847470.04987531179</v>
      </c>
      <c r="R176" s="327">
        <f>R6+R18</f>
        <v>413151.51870324189</v>
      </c>
      <c r="S176" s="327">
        <f>S6+S18</f>
        <v>388385</v>
      </c>
      <c r="T176" s="328"/>
      <c r="U176" s="330"/>
      <c r="V176" s="330"/>
    </row>
    <row r="177" ht="15">
      <c r="A177" s="338"/>
      <c r="B177" s="339">
        <v>5</v>
      </c>
      <c r="C177" s="340">
        <f t="shared" si="276"/>
        <v>0</v>
      </c>
      <c r="D177" s="341"/>
      <c r="E177" s="341"/>
      <c r="F177" s="341"/>
      <c r="G177" s="341"/>
      <c r="H177" s="342"/>
      <c r="I177" s="340">
        <f t="shared" si="277"/>
        <v>0</v>
      </c>
      <c r="J177" s="341"/>
      <c r="K177" s="341"/>
      <c r="L177" s="341"/>
      <c r="M177" s="341"/>
      <c r="N177" s="342"/>
      <c r="O177" s="340">
        <f t="shared" si="280"/>
        <v>0</v>
      </c>
      <c r="P177" s="341"/>
      <c r="Q177" s="341"/>
      <c r="R177" s="341"/>
      <c r="S177" s="341"/>
      <c r="T177" s="342"/>
      <c r="U177" s="343"/>
      <c r="V177" s="343"/>
    </row>
    <row r="179">
      <c r="C179" s="61"/>
      <c r="D179" s="61"/>
      <c r="E179" s="61"/>
      <c r="F179" s="61"/>
      <c r="G179" s="61"/>
    </row>
    <row r="180">
      <c r="C180" s="61"/>
      <c r="D180" s="61"/>
      <c r="E180" s="61"/>
      <c r="F180" s="61"/>
      <c r="G180" s="61"/>
      <c r="J180" s="274"/>
    </row>
  </sheetData>
  <mergeCells count="38">
    <mergeCell ref="U132:U133"/>
    <mergeCell ref="V132:V133"/>
    <mergeCell ref="A153:B153"/>
    <mergeCell ref="A154:B154"/>
    <mergeCell ref="C132:H132"/>
    <mergeCell ref="I132:N132"/>
    <mergeCell ref="O132:T132"/>
    <mergeCell ref="A147:B147"/>
    <mergeCell ref="A148:B148"/>
    <mergeCell ref="A149:B149"/>
    <mergeCell ref="A150:B150"/>
    <mergeCell ref="A151:B151"/>
    <mergeCell ref="A142:B142"/>
    <mergeCell ref="A143:B143"/>
    <mergeCell ref="A144:B144"/>
    <mergeCell ref="A145:B145"/>
    <mergeCell ref="A146:B146"/>
    <mergeCell ref="A137:B137"/>
    <mergeCell ref="A138:B138"/>
    <mergeCell ref="A139:B139"/>
    <mergeCell ref="A140:B140"/>
    <mergeCell ref="A141:B141"/>
    <mergeCell ref="U3:U5"/>
    <mergeCell ref="V3:V5"/>
    <mergeCell ref="A171:A172"/>
    <mergeCell ref="B171:B172"/>
    <mergeCell ref="C171:H171"/>
    <mergeCell ref="A3:A5"/>
    <mergeCell ref="B3:B5"/>
    <mergeCell ref="C3:H4"/>
    <mergeCell ref="I3:N4"/>
    <mergeCell ref="I171:N171"/>
    <mergeCell ref="O3:T4"/>
    <mergeCell ref="O171:T171"/>
    <mergeCell ref="A156:B156"/>
    <mergeCell ref="A134:B134"/>
    <mergeCell ref="A135:B135"/>
    <mergeCell ref="A136:B136"/>
  </mergeCells>
  <printOptions headings="0" gridLines="0"/>
  <pageMargins left="0.25" right="0.25" top="0.75" bottom="0.75" header="0.29999999999999999" footer="0.29999999999999999"/>
  <pageSetup paperSize="9" scale="55" fitToWidth="1" fitToHeight="2" pageOrder="downThenOver" orientation="portrait" usePrinterDefaults="1" blackAndWhite="0" draft="0" cellComments="none" useFirstPageNumber="0" errors="displayed" horizontalDpi="600" verticalDpi="300" copies="1"/>
  <headerFooter/>
  <drawing r:id="rId1"/>
  <extLst>
    <ext xmlns:x14="http://schemas.microsoft.com/office/spreadsheetml/2009/9/main" uri="{CCE6A557-97BC-4b89-ADB6-D9C93CAAB3DF}">
      <x14:dataValidations xmlns:xm="http://schemas.microsoft.com/office/excel/2006/main" count="2" disablePrompts="0">
        <x14:dataValidation xr:uid="{004E00F5-0054-46F5-9E80-00F9004F0051}" type="list" allowBlank="1" errorStyle="stop" imeMode="noControl" operator="between" showDropDown="0" showErrorMessage="1" showInputMessage="1">
          <x14:formula1>
            <xm:f>$B$172:$B$176</xm:f>
          </x14:formula1>
          <xm:sqref>B132:B133 B136:B154 B156</xm:sqref>
        </x14:dataValidation>
        <x14:dataValidation xr:uid="{00EE0071-000A-48EE-9471-0000007B0048}" type="list" allowBlank="1" errorStyle="stop" imeMode="noControl" operator="between" showDropDown="0" showErrorMessage="1" showInputMessage="1">
          <x14:formula1>
            <xm:f>$B$173:$B$177</xm:f>
          </x14:formula1>
          <xm:sqref>B:B</xm:sqref>
        </x14:dataValidation>
      </x14:dataValidations>
    </ext>
  </extLst>
</worksheet>
</file>

<file path=xl/worksheets/sheet1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sheetPr>
    <tabColor rgb="FF00B0F0"/>
    <outlinePr applyStyles="0" summaryBelow="1" summaryRight="1" showOutlineSymbols="1"/>
    <pageSetUpPr autoPageBreaks="1" fitToPage="1"/>
  </sheetPr>
  <sheetViews>
    <sheetView topLeftCell="C1" zoomScale="100" workbookViewId="0">
      <selection activeCell="N2" activeCellId="0" sqref="N2"/>
    </sheetView>
  </sheetViews>
  <sheetFormatPr baseColWidth="10" defaultColWidth="10.6640625" defaultRowHeight="14.4" outlineLevelRow="1"/>
  <cols>
    <col bestFit="1" customWidth="1" min="1" max="1" style="344" width="38.5546875"/>
    <col customWidth="1" min="2" max="13" style="345" width="12.44140625"/>
    <col min="14" max="40" style="144" width="10.6640625"/>
    <col min="41" max="16384" style="344" width="10.6640625"/>
  </cols>
  <sheetData>
    <row r="1" s="144" customFormat="1" ht="21">
      <c r="A1" s="346" t="s">
        <v>361</v>
      </c>
      <c r="B1" s="87"/>
      <c r="C1" s="87"/>
      <c r="D1" s="87"/>
      <c r="E1" s="87"/>
      <c r="F1" s="87"/>
      <c r="G1" s="87"/>
      <c r="H1" s="87"/>
      <c r="I1" s="87"/>
      <c r="J1" s="87"/>
      <c r="K1" s="87"/>
      <c r="L1" s="87"/>
      <c r="M1" s="87"/>
    </row>
    <row r="2" s="144" customFormat="1" ht="15">
      <c r="B2" s="87"/>
      <c r="C2" s="87"/>
      <c r="D2" s="87"/>
      <c r="E2" s="87"/>
      <c r="F2" s="87"/>
      <c r="G2" s="87"/>
      <c r="H2" s="87"/>
      <c r="I2" s="87"/>
      <c r="J2" s="87"/>
      <c r="K2" s="87"/>
      <c r="L2" s="87"/>
      <c r="M2" s="87"/>
    </row>
    <row r="3" ht="15">
      <c r="A3" s="347"/>
      <c r="B3" s="348">
        <f>'Hypotheses expl'!C3</f>
        <v>44927</v>
      </c>
      <c r="C3" s="348">
        <f>'Hypotheses expl'!D3</f>
        <v>44958</v>
      </c>
      <c r="D3" s="348">
        <f>'Hypotheses expl'!E3</f>
        <v>44986</v>
      </c>
      <c r="E3" s="348">
        <f>'Hypotheses expl'!F3</f>
        <v>45017</v>
      </c>
      <c r="F3" s="348">
        <f>'Hypotheses expl'!G3</f>
        <v>45047</v>
      </c>
      <c r="G3" s="348">
        <f>'Hypotheses expl'!H3</f>
        <v>45078</v>
      </c>
      <c r="H3" s="348">
        <f>'Hypotheses expl'!I3</f>
        <v>45108</v>
      </c>
      <c r="I3" s="348">
        <f>'Hypotheses expl'!J3</f>
        <v>45139</v>
      </c>
      <c r="J3" s="348">
        <f>'Hypotheses expl'!K3</f>
        <v>45170</v>
      </c>
      <c r="K3" s="348">
        <f>'Hypotheses expl'!L3</f>
        <v>45200</v>
      </c>
      <c r="L3" s="348">
        <f>'Hypotheses expl'!M3</f>
        <v>45231</v>
      </c>
      <c r="M3" s="348">
        <f>'Hypotheses expl'!N3</f>
        <v>45261</v>
      </c>
    </row>
    <row r="4" ht="15">
      <c r="A4" s="349" t="s">
        <v>362</v>
      </c>
      <c r="B4" s="350"/>
      <c r="C4" s="351">
        <f>+B118</f>
        <v>0</v>
      </c>
      <c r="D4" s="351">
        <f t="shared" ref="D4:M4" si="282">+C118</f>
        <v>0</v>
      </c>
      <c r="E4" s="351">
        <f t="shared" si="282"/>
        <v>0</v>
      </c>
      <c r="F4" s="351">
        <f t="shared" si="282"/>
        <v>0</v>
      </c>
      <c r="G4" s="351">
        <f t="shared" si="282"/>
        <v>0</v>
      </c>
      <c r="H4" s="351">
        <f t="shared" si="282"/>
        <v>0</v>
      </c>
      <c r="I4" s="351">
        <f t="shared" si="282"/>
        <v>0</v>
      </c>
      <c r="J4" s="351">
        <f t="shared" si="282"/>
        <v>0</v>
      </c>
      <c r="K4" s="351">
        <f t="shared" si="282"/>
        <v>0</v>
      </c>
      <c r="L4" s="351">
        <f t="shared" si="282"/>
        <v>0</v>
      </c>
      <c r="M4" s="351">
        <f t="shared" si="282"/>
        <v>0</v>
      </c>
    </row>
    <row r="5" s="144" customFormat="1">
      <c r="B5" s="87"/>
      <c r="C5" s="87"/>
      <c r="D5" s="87"/>
      <c r="E5" s="87"/>
      <c r="F5" s="87"/>
      <c r="G5" s="87"/>
      <c r="H5" s="87"/>
      <c r="I5" s="352"/>
      <c r="J5" s="352"/>
      <c r="K5" s="353">
        <v>138000</v>
      </c>
      <c r="L5" s="352"/>
      <c r="M5" s="352"/>
    </row>
    <row r="6" s="354" customFormat="1">
      <c r="A6" s="355" t="s">
        <v>363</v>
      </c>
      <c r="B6" s="356">
        <f>B7+B14+B30+B31+B32+B33</f>
        <v>0</v>
      </c>
      <c r="C6" s="356">
        <f t="shared" ref="C6:M6" si="283">C7+C14+C30+C31+C32+C33</f>
        <v>0</v>
      </c>
      <c r="D6" s="356">
        <f t="shared" si="283"/>
        <v>0</v>
      </c>
      <c r="E6" s="356">
        <f t="shared" si="283"/>
        <v>0</v>
      </c>
      <c r="F6" s="356">
        <f t="shared" si="283"/>
        <v>0</v>
      </c>
      <c r="G6" s="356">
        <f t="shared" si="283"/>
        <v>0</v>
      </c>
      <c r="H6" s="356">
        <f t="shared" si="283"/>
        <v>0</v>
      </c>
      <c r="I6" s="356">
        <f t="shared" si="283"/>
        <v>0</v>
      </c>
      <c r="J6" s="356">
        <f t="shared" si="283"/>
        <v>0</v>
      </c>
      <c r="K6" s="356">
        <f t="shared" si="283"/>
        <v>0</v>
      </c>
      <c r="L6" s="356">
        <f t="shared" si="283"/>
        <v>0</v>
      </c>
      <c r="M6" s="356">
        <f t="shared" si="283"/>
        <v>0</v>
      </c>
      <c r="N6" s="144"/>
      <c r="O6" s="144"/>
      <c r="P6" s="144"/>
      <c r="Q6" s="144"/>
      <c r="R6" s="144"/>
      <c r="S6" s="144"/>
      <c r="T6" s="144"/>
      <c r="U6" s="144"/>
      <c r="V6" s="144"/>
      <c r="W6" s="144"/>
      <c r="X6" s="144"/>
      <c r="Y6" s="144"/>
      <c r="Z6" s="144"/>
      <c r="AA6" s="144"/>
      <c r="AB6" s="144"/>
      <c r="AC6" s="144"/>
      <c r="AD6" s="144"/>
      <c r="AE6" s="144"/>
      <c r="AF6" s="144"/>
      <c r="AG6" s="144"/>
      <c r="AH6" s="144"/>
      <c r="AI6" s="144"/>
      <c r="AJ6" s="144"/>
      <c r="AK6" s="144"/>
      <c r="AL6" s="144"/>
      <c r="AM6" s="144"/>
      <c r="AN6" s="144"/>
    </row>
    <row r="7" s="357" customFormat="1">
      <c r="A7" s="358" t="s">
        <v>364</v>
      </c>
      <c r="B7" s="359">
        <f>SUM(B8:B13)</f>
        <v>0</v>
      </c>
      <c r="C7" s="359">
        <f t="shared" ref="C7:H7" si="284">SUM(C8:C13)</f>
        <v>0</v>
      </c>
      <c r="D7" s="359">
        <f t="shared" si="284"/>
        <v>0</v>
      </c>
      <c r="E7" s="359">
        <f t="shared" si="284"/>
        <v>0</v>
      </c>
      <c r="F7" s="359">
        <f t="shared" si="284"/>
        <v>0</v>
      </c>
      <c r="G7" s="359">
        <f t="shared" si="284"/>
        <v>0</v>
      </c>
      <c r="H7" s="359">
        <f t="shared" si="284"/>
        <v>0</v>
      </c>
      <c r="I7" s="359">
        <f>SUM(I8:I13)</f>
        <v>0</v>
      </c>
      <c r="J7" s="359">
        <f>SUM(J8:J13)</f>
        <v>0</v>
      </c>
      <c r="K7" s="359">
        <f>SUM(K8:K13)</f>
        <v>0</v>
      </c>
      <c r="L7" s="359">
        <f>SUM(L8:L13)</f>
        <v>0</v>
      </c>
      <c r="M7" s="359">
        <f>SUM(M8:M13)</f>
        <v>0</v>
      </c>
      <c r="N7" s="360"/>
      <c r="O7" s="360"/>
      <c r="P7" s="360"/>
      <c r="Q7" s="360"/>
      <c r="R7" s="360"/>
      <c r="S7" s="360"/>
      <c r="T7" s="360"/>
      <c r="U7" s="360"/>
      <c r="V7" s="360"/>
      <c r="W7" s="360"/>
      <c r="X7" s="360"/>
      <c r="Y7" s="360"/>
      <c r="Z7" s="360"/>
      <c r="AA7" s="360"/>
      <c r="AB7" s="360"/>
      <c r="AC7" s="360"/>
      <c r="AD7" s="360"/>
      <c r="AE7" s="360"/>
      <c r="AF7" s="360"/>
      <c r="AG7" s="360"/>
      <c r="AH7" s="360"/>
      <c r="AI7" s="360"/>
      <c r="AJ7" s="360"/>
      <c r="AK7" s="360"/>
      <c r="AL7" s="360"/>
      <c r="AM7" s="360"/>
      <c r="AN7" s="360"/>
    </row>
    <row r="8" outlineLevel="1">
      <c r="A8" s="361" t="str">
        <f>'Compte résultat prévi'!A7</f>
        <v xml:space="preserve">Droits d'inscription</v>
      </c>
      <c r="B8" s="362"/>
      <c r="C8" s="362"/>
      <c r="D8" s="362"/>
      <c r="E8" s="362"/>
      <c r="F8" s="362"/>
      <c r="G8" s="362"/>
      <c r="H8" s="362"/>
      <c r="I8" s="362"/>
      <c r="J8" s="362"/>
      <c r="K8" s="362"/>
      <c r="L8" s="362"/>
      <c r="M8" s="362"/>
    </row>
    <row r="9" outlineLevel="1">
      <c r="A9" s="361" t="str">
        <f>'Compte résultat prévi'!A8</f>
        <v xml:space="preserve">Frais de selection</v>
      </c>
      <c r="B9" s="362"/>
      <c r="C9" s="362"/>
      <c r="D9" s="362"/>
      <c r="E9" s="362"/>
      <c r="F9" s="362"/>
      <c r="G9" s="362"/>
      <c r="H9" s="362"/>
      <c r="I9" s="362"/>
      <c r="J9" s="362"/>
      <c r="K9" s="362"/>
      <c r="L9" s="362"/>
      <c r="M9" s="362"/>
    </row>
    <row r="10" outlineLevel="1">
      <c r="A10" s="361" t="str">
        <f>'Compte résultat prévi'!A9</f>
        <v xml:space="preserve">Conventions formation (CAFERUIS, ALEFPA, Prepa, CNFPT, GAP, Formation perm)</v>
      </c>
      <c r="B10" s="362"/>
      <c r="C10" s="362"/>
      <c r="D10" s="362"/>
      <c r="E10" s="362"/>
      <c r="F10" s="362"/>
      <c r="G10" s="362"/>
      <c r="H10" s="362"/>
      <c r="I10" s="362"/>
      <c r="J10" s="362"/>
      <c r="K10" s="362"/>
      <c r="L10" s="362"/>
      <c r="M10" s="362"/>
    </row>
    <row r="11" outlineLevel="1">
      <c r="A11" s="361" t="str">
        <f>'Compte résultat prévi'!A10</f>
        <v xml:space="preserve">Conventions formation CAFERUISE</v>
      </c>
      <c r="B11" s="362"/>
      <c r="C11" s="362"/>
      <c r="D11" s="362"/>
      <c r="E11" s="362"/>
      <c r="F11" s="362"/>
      <c r="G11" s="362"/>
      <c r="H11" s="362"/>
      <c r="I11" s="362"/>
      <c r="J11" s="362"/>
      <c r="K11" s="362"/>
      <c r="L11" s="362"/>
      <c r="M11" s="362"/>
    </row>
    <row r="12" outlineLevel="1">
      <c r="A12" s="361" t="str">
        <f>'Compte résultat prévi'!A11</f>
        <v>Apprentissage</v>
      </c>
      <c r="B12" s="362"/>
      <c r="C12" s="362"/>
      <c r="D12" s="362"/>
      <c r="E12" s="362"/>
      <c r="F12" s="362"/>
      <c r="G12" s="362"/>
      <c r="H12" s="362"/>
      <c r="I12" s="362"/>
      <c r="J12" s="362"/>
      <c r="K12" s="362"/>
      <c r="L12" s="362"/>
      <c r="M12" s="362"/>
    </row>
    <row r="13" outlineLevel="1">
      <c r="A13" s="361" t="str">
        <f>'Compte résultat prévi'!A12</f>
        <v>VAE</v>
      </c>
      <c r="B13" s="362"/>
      <c r="C13" s="362"/>
      <c r="D13" s="362"/>
      <c r="E13" s="362"/>
      <c r="F13" s="362"/>
      <c r="G13" s="362"/>
      <c r="H13" s="362"/>
      <c r="I13" s="362"/>
      <c r="J13" s="362"/>
      <c r="K13" s="362"/>
      <c r="L13" s="362"/>
      <c r="M13" s="362"/>
    </row>
    <row r="14" s="357" customFormat="1">
      <c r="A14" s="358" t="str">
        <f>'Compte résultat prévi'!A18</f>
        <v xml:space="preserve">Subventions d'exploitation</v>
      </c>
      <c r="B14" s="359">
        <f>SUM(B15:B29)</f>
        <v>0</v>
      </c>
      <c r="C14" s="359">
        <f t="shared" ref="C14:H14" si="285">SUM(C15:C29)</f>
        <v>0</v>
      </c>
      <c r="D14" s="359">
        <f t="shared" si="285"/>
        <v>0</v>
      </c>
      <c r="E14" s="359">
        <f t="shared" si="285"/>
        <v>0</v>
      </c>
      <c r="F14" s="359">
        <f t="shared" si="285"/>
        <v>0</v>
      </c>
      <c r="G14" s="359">
        <f t="shared" si="285"/>
        <v>0</v>
      </c>
      <c r="H14" s="359">
        <f t="shared" si="285"/>
        <v>0</v>
      </c>
      <c r="I14" s="359">
        <f>SUM(I15:I29)</f>
        <v>0</v>
      </c>
      <c r="J14" s="359">
        <f t="shared" ref="J14:M14" si="286">SUM(J15:J29)</f>
        <v>0</v>
      </c>
      <c r="K14" s="359">
        <f t="shared" si="286"/>
        <v>0</v>
      </c>
      <c r="L14" s="359">
        <f t="shared" si="286"/>
        <v>0</v>
      </c>
      <c r="M14" s="359">
        <f t="shared" si="286"/>
        <v>0</v>
      </c>
      <c r="N14" s="360"/>
      <c r="O14" s="360"/>
      <c r="P14" s="360"/>
      <c r="Q14" s="360"/>
      <c r="R14" s="360"/>
      <c r="S14" s="360"/>
      <c r="T14" s="360"/>
      <c r="U14" s="360"/>
      <c r="V14" s="360"/>
      <c r="W14" s="360"/>
      <c r="X14" s="360"/>
      <c r="Y14" s="360"/>
      <c r="Z14" s="360"/>
      <c r="AA14" s="360"/>
      <c r="AB14" s="360"/>
      <c r="AC14" s="360"/>
      <c r="AD14" s="360"/>
      <c r="AE14" s="360"/>
      <c r="AF14" s="360"/>
      <c r="AG14" s="360"/>
      <c r="AH14" s="360"/>
      <c r="AI14" s="360"/>
      <c r="AJ14" s="360"/>
      <c r="AK14" s="360"/>
      <c r="AL14" s="360"/>
      <c r="AM14" s="360"/>
      <c r="AN14" s="360"/>
    </row>
    <row r="15" outlineLevel="1">
      <c r="A15" s="361" t="str">
        <f>'Compte résultat prévi'!A19</f>
        <v>Région</v>
      </c>
      <c r="B15" s="362"/>
      <c r="C15" s="362"/>
      <c r="D15" s="362"/>
      <c r="E15" s="362"/>
      <c r="F15" s="362"/>
      <c r="G15" s="362"/>
      <c r="H15" s="362"/>
      <c r="I15" s="362"/>
      <c r="J15" s="362"/>
      <c r="K15" s="362"/>
      <c r="L15" s="362"/>
      <c r="M15" s="362"/>
    </row>
    <row r="16" outlineLevel="1">
      <c r="A16" s="361" t="str">
        <f>'Compte résultat prévi'!A20</f>
        <v>Département</v>
      </c>
      <c r="B16" s="362"/>
      <c r="C16" s="362"/>
      <c r="D16" s="362"/>
      <c r="E16" s="362"/>
      <c r="F16" s="362"/>
      <c r="G16" s="362"/>
      <c r="H16" s="362"/>
      <c r="I16" s="362"/>
      <c r="J16" s="362"/>
      <c r="K16" s="362"/>
      <c r="L16" s="362"/>
      <c r="M16" s="362"/>
    </row>
    <row r="17" s="144" customFormat="1" outlineLevel="1">
      <c r="A17" s="361" t="str">
        <f>'Compte résultat prévi'!A21</f>
        <v>Communes</v>
      </c>
      <c r="B17" s="362"/>
      <c r="C17" s="362"/>
      <c r="D17" s="362"/>
      <c r="E17" s="362"/>
      <c r="F17" s="362"/>
      <c r="G17" s="362"/>
      <c r="H17" s="362"/>
      <c r="I17" s="362"/>
      <c r="J17" s="362"/>
      <c r="K17" s="362"/>
      <c r="L17" s="362"/>
      <c r="M17" s="362"/>
    </row>
    <row r="18" s="144" customFormat="1" outlineLevel="1">
      <c r="A18" s="361" t="str">
        <f>'Compte résultat prévi'!A22</f>
        <v xml:space="preserve">Autres financeurs</v>
      </c>
      <c r="B18" s="362"/>
      <c r="C18" s="362"/>
      <c r="D18" s="362"/>
      <c r="E18" s="362"/>
      <c r="F18" s="362"/>
      <c r="G18" s="362"/>
      <c r="H18" s="362"/>
      <c r="I18" s="362"/>
      <c r="J18" s="362"/>
      <c r="K18" s="362"/>
      <c r="L18" s="362"/>
      <c r="M18" s="362"/>
    </row>
    <row r="19" s="144" customFormat="1" outlineLevel="1">
      <c r="A19" s="361" t="str">
        <f>'Compte résultat prévi'!A23</f>
        <v xml:space="preserve">Aides à l'emploi</v>
      </c>
      <c r="B19" s="362"/>
      <c r="C19" s="362"/>
      <c r="D19" s="362"/>
      <c r="E19" s="362"/>
      <c r="F19" s="362"/>
      <c r="G19" s="362"/>
      <c r="H19" s="362"/>
      <c r="I19" s="362"/>
      <c r="J19" s="362"/>
      <c r="K19" s="362"/>
      <c r="L19" s="362"/>
      <c r="M19" s="362"/>
    </row>
    <row r="20" s="144" customFormat="1" outlineLevel="1">
      <c r="A20" s="361" t="str">
        <f>'Compte résultat prévi'!A24</f>
        <v xml:space="preserve">Aide apprentissage</v>
      </c>
      <c r="B20" s="362"/>
      <c r="C20" s="362"/>
      <c r="D20" s="362"/>
      <c r="E20" s="362"/>
      <c r="F20" s="362"/>
      <c r="G20" s="362"/>
      <c r="H20" s="362"/>
      <c r="I20" s="362"/>
      <c r="J20" s="362"/>
      <c r="K20" s="362"/>
      <c r="L20" s="362"/>
      <c r="M20" s="362"/>
    </row>
    <row r="21" s="144" customFormat="1" outlineLevel="1">
      <c r="A21" s="361" t="str">
        <f>'Compte résultat prévi'!A25</f>
        <v xml:space="preserve">Financeur 7</v>
      </c>
      <c r="B21" s="362"/>
      <c r="C21" s="362"/>
      <c r="D21" s="362"/>
      <c r="E21" s="362"/>
      <c r="F21" s="362"/>
      <c r="G21" s="362"/>
      <c r="H21" s="362"/>
      <c r="I21" s="362"/>
      <c r="J21" s="362"/>
      <c r="K21" s="362"/>
      <c r="L21" s="362"/>
      <c r="M21" s="362"/>
    </row>
    <row r="22" s="144" customFormat="1" outlineLevel="1">
      <c r="A22" s="361" t="str">
        <f>'Compte résultat prévi'!A26</f>
        <v xml:space="preserve">Financeur 8</v>
      </c>
      <c r="B22" s="362"/>
      <c r="C22" s="362"/>
      <c r="D22" s="362"/>
      <c r="E22" s="362"/>
      <c r="F22" s="362"/>
      <c r="G22" s="362"/>
      <c r="H22" s="362"/>
      <c r="I22" s="362"/>
      <c r="J22" s="362"/>
      <c r="K22" s="362"/>
      <c r="L22" s="362"/>
      <c r="M22" s="362"/>
    </row>
    <row r="23" s="144" customFormat="1" outlineLevel="1">
      <c r="A23" s="361" t="str">
        <f>'Compte résultat prévi'!A27</f>
        <v xml:space="preserve">Financeur 9</v>
      </c>
      <c r="B23" s="362"/>
      <c r="C23" s="362"/>
      <c r="D23" s="362"/>
      <c r="E23" s="362"/>
      <c r="F23" s="362"/>
      <c r="G23" s="362"/>
      <c r="H23" s="362"/>
      <c r="I23" s="362"/>
      <c r="J23" s="362"/>
      <c r="K23" s="362"/>
      <c r="L23" s="362"/>
      <c r="M23" s="362"/>
    </row>
    <row r="24" s="144" customFormat="1" outlineLevel="1">
      <c r="A24" s="361" t="str">
        <f>'Compte résultat prévi'!A28</f>
        <v xml:space="preserve">Financeur 10</v>
      </c>
      <c r="B24" s="362"/>
      <c r="C24" s="362"/>
      <c r="D24" s="362"/>
      <c r="E24" s="362"/>
      <c r="F24" s="362"/>
      <c r="G24" s="362"/>
      <c r="H24" s="362"/>
      <c r="I24" s="362"/>
      <c r="J24" s="362"/>
      <c r="K24" s="362"/>
      <c r="L24" s="362"/>
      <c r="M24" s="362"/>
    </row>
    <row r="25" s="144" customFormat="1" outlineLevel="1">
      <c r="A25" s="361" t="str">
        <f>'Compte résultat prévi'!A29</f>
        <v xml:space="preserve">Financeur 11</v>
      </c>
      <c r="B25" s="362"/>
      <c r="C25" s="362"/>
      <c r="D25" s="362"/>
      <c r="E25" s="362"/>
      <c r="F25" s="362"/>
      <c r="G25" s="362"/>
      <c r="H25" s="362"/>
      <c r="I25" s="362"/>
      <c r="J25" s="362"/>
      <c r="K25" s="362"/>
      <c r="L25" s="362"/>
      <c r="M25" s="362"/>
    </row>
    <row r="26" s="144" customFormat="1" outlineLevel="1">
      <c r="A26" s="361" t="str">
        <f>'Compte résultat prévi'!A30</f>
        <v xml:space="preserve">Financeur 12</v>
      </c>
      <c r="B26" s="362"/>
      <c r="C26" s="362"/>
      <c r="D26" s="362"/>
      <c r="E26" s="362"/>
      <c r="F26" s="362"/>
      <c r="G26" s="362"/>
      <c r="H26" s="362"/>
      <c r="I26" s="362"/>
      <c r="J26" s="362"/>
      <c r="K26" s="362"/>
      <c r="L26" s="362"/>
      <c r="M26" s="362"/>
    </row>
    <row r="27" s="144" customFormat="1" outlineLevel="1">
      <c r="A27" s="361" t="str">
        <f>'Compte résultat prévi'!A31</f>
        <v xml:space="preserve">Financeur 13</v>
      </c>
      <c r="B27" s="362"/>
      <c r="C27" s="362"/>
      <c r="D27" s="362"/>
      <c r="E27" s="362"/>
      <c r="F27" s="362"/>
      <c r="G27" s="362"/>
      <c r="H27" s="362"/>
      <c r="I27" s="362"/>
      <c r="J27" s="362"/>
      <c r="K27" s="362"/>
      <c r="L27" s="362"/>
      <c r="M27" s="362"/>
    </row>
    <row r="28" s="144" customFormat="1" outlineLevel="1">
      <c r="A28" s="361" t="str">
        <f>'Compte résultat prévi'!A32</f>
        <v xml:space="preserve">Financeur 14</v>
      </c>
      <c r="B28" s="362"/>
      <c r="C28" s="362"/>
      <c r="D28" s="362"/>
      <c r="E28" s="362"/>
      <c r="F28" s="362"/>
      <c r="G28" s="362"/>
      <c r="H28" s="362"/>
      <c r="I28" s="362"/>
      <c r="J28" s="362"/>
      <c r="K28" s="362"/>
      <c r="L28" s="362"/>
      <c r="M28" s="362"/>
    </row>
    <row r="29" s="144" customFormat="1" outlineLevel="1">
      <c r="A29" s="361" t="str">
        <f>'Compte résultat prévi'!A33</f>
        <v xml:space="preserve">Financeur 15</v>
      </c>
      <c r="B29" s="362"/>
      <c r="C29" s="362"/>
      <c r="D29" s="362"/>
      <c r="E29" s="362"/>
      <c r="F29" s="362"/>
      <c r="G29" s="362"/>
      <c r="H29" s="362"/>
      <c r="I29" s="362"/>
      <c r="J29" s="362"/>
      <c r="K29" s="362"/>
      <c r="L29" s="362"/>
      <c r="M29" s="362"/>
    </row>
    <row r="30" s="144" customFormat="1">
      <c r="A30" s="363" t="s">
        <v>219</v>
      </c>
      <c r="B30" s="364"/>
      <c r="C30" s="364"/>
      <c r="D30" s="364"/>
      <c r="E30" s="364"/>
      <c r="F30" s="364"/>
      <c r="G30" s="364"/>
      <c r="H30" s="364"/>
      <c r="I30" s="364"/>
      <c r="J30" s="364"/>
      <c r="K30" s="364"/>
      <c r="L30" s="364"/>
      <c r="M30" s="364"/>
    </row>
    <row r="31" s="144" customFormat="1">
      <c r="A31" s="363" t="s">
        <v>221</v>
      </c>
      <c r="B31" s="364"/>
      <c r="C31" s="364"/>
      <c r="D31" s="364"/>
      <c r="E31" s="364"/>
      <c r="F31" s="364"/>
      <c r="G31" s="364"/>
      <c r="H31" s="364"/>
      <c r="I31" s="364"/>
      <c r="J31" s="364"/>
      <c r="K31" s="364"/>
      <c r="L31" s="364"/>
      <c r="M31" s="364"/>
    </row>
    <row r="32" s="144" customFormat="1">
      <c r="A32" s="363" t="s">
        <v>222</v>
      </c>
      <c r="B32" s="364"/>
      <c r="C32" s="364"/>
      <c r="D32" s="364"/>
      <c r="E32" s="364"/>
      <c r="F32" s="364"/>
      <c r="G32" s="364"/>
      <c r="H32" s="364"/>
      <c r="I32" s="364"/>
      <c r="J32" s="364"/>
      <c r="K32" s="364"/>
      <c r="L32" s="364"/>
      <c r="M32" s="364"/>
    </row>
    <row r="33">
      <c r="A33" s="363" t="s">
        <v>223</v>
      </c>
      <c r="B33" s="364"/>
      <c r="C33" s="364"/>
      <c r="D33" s="364"/>
      <c r="E33" s="364"/>
      <c r="F33" s="364"/>
      <c r="G33" s="364"/>
      <c r="H33" s="364"/>
      <c r="I33" s="364"/>
      <c r="J33" s="364"/>
      <c r="K33" s="364"/>
      <c r="L33" s="364"/>
      <c r="M33" s="364"/>
    </row>
    <row r="34" s="144" customFormat="1">
      <c r="B34" s="87"/>
      <c r="C34" s="87"/>
      <c r="D34" s="87"/>
      <c r="E34" s="87"/>
      <c r="F34" s="87"/>
      <c r="G34" s="87"/>
      <c r="H34" s="87"/>
      <c r="I34" s="352"/>
      <c r="J34" s="352"/>
      <c r="K34" s="352"/>
      <c r="L34" s="352"/>
      <c r="M34" s="352"/>
    </row>
    <row r="35" s="354" customFormat="1">
      <c r="A35" s="355" t="s">
        <v>365</v>
      </c>
      <c r="B35" s="365">
        <f>SUM(B36:B38)</f>
        <v>0</v>
      </c>
      <c r="C35" s="365">
        <f t="shared" ref="C35:M35" si="287">SUM(C36:C38)</f>
        <v>0</v>
      </c>
      <c r="D35" s="365">
        <f t="shared" si="287"/>
        <v>0</v>
      </c>
      <c r="E35" s="365">
        <f t="shared" si="287"/>
        <v>0</v>
      </c>
      <c r="F35" s="365">
        <f t="shared" si="287"/>
        <v>0</v>
      </c>
      <c r="G35" s="365">
        <f t="shared" si="287"/>
        <v>0</v>
      </c>
      <c r="H35" s="365">
        <f t="shared" si="287"/>
        <v>0</v>
      </c>
      <c r="I35" s="365">
        <f t="shared" si="287"/>
        <v>0</v>
      </c>
      <c r="J35" s="365">
        <f t="shared" si="287"/>
        <v>0</v>
      </c>
      <c r="K35" s="365">
        <f t="shared" si="287"/>
        <v>0</v>
      </c>
      <c r="L35" s="365">
        <f t="shared" si="287"/>
        <v>0</v>
      </c>
      <c r="M35" s="365">
        <f t="shared" si="287"/>
        <v>0</v>
      </c>
      <c r="N35" s="144"/>
      <c r="O35" s="144"/>
      <c r="P35" s="144"/>
      <c r="Q35" s="144"/>
      <c r="R35" s="144"/>
      <c r="S35" s="144"/>
      <c r="T35" s="144"/>
      <c r="U35" s="144"/>
      <c r="V35" s="144"/>
      <c r="W35" s="144"/>
      <c r="X35" s="144"/>
      <c r="Y35" s="144"/>
      <c r="Z35" s="144"/>
      <c r="AA35" s="144"/>
      <c r="AB35" s="144"/>
      <c r="AC35" s="144"/>
      <c r="AD35" s="144"/>
      <c r="AE35" s="144"/>
      <c r="AF35" s="144"/>
      <c r="AG35" s="144"/>
      <c r="AH35" s="144"/>
      <c r="AI35" s="144"/>
      <c r="AJ35" s="144"/>
      <c r="AK35" s="144"/>
      <c r="AL35" s="144"/>
      <c r="AM35" s="144"/>
      <c r="AN35" s="144"/>
    </row>
    <row r="36">
      <c r="A36" s="366" t="s">
        <v>298</v>
      </c>
      <c r="B36" s="367"/>
      <c r="C36" s="367"/>
      <c r="D36" s="367"/>
      <c r="E36" s="367"/>
      <c r="F36" s="367"/>
      <c r="G36" s="367"/>
      <c r="H36" s="367"/>
      <c r="I36" s="367"/>
      <c r="J36" s="367"/>
      <c r="K36" s="367"/>
      <c r="L36" s="367"/>
      <c r="M36" s="367"/>
    </row>
    <row r="37">
      <c r="A37" s="366" t="s">
        <v>299</v>
      </c>
      <c r="B37" s="367"/>
      <c r="C37" s="367"/>
      <c r="D37" s="367"/>
      <c r="E37" s="367"/>
      <c r="F37" s="367"/>
      <c r="G37" s="367"/>
      <c r="H37" s="367"/>
      <c r="I37" s="367"/>
      <c r="J37" s="367"/>
      <c r="K37" s="367"/>
      <c r="L37" s="367"/>
      <c r="M37" s="367"/>
    </row>
    <row r="38">
      <c r="A38" s="366" t="s">
        <v>300</v>
      </c>
      <c r="B38" s="367"/>
      <c r="C38" s="367"/>
      <c r="D38" s="367"/>
      <c r="E38" s="367"/>
      <c r="F38" s="367"/>
      <c r="G38" s="367"/>
      <c r="H38" s="367"/>
      <c r="I38" s="367"/>
      <c r="J38" s="367"/>
      <c r="K38" s="367"/>
      <c r="L38" s="367"/>
      <c r="M38" s="367"/>
    </row>
    <row r="39" s="144" customFormat="1">
      <c r="B39" s="87"/>
      <c r="C39" s="87"/>
      <c r="D39" s="87"/>
      <c r="E39" s="87"/>
      <c r="F39" s="87"/>
      <c r="G39" s="87"/>
      <c r="H39" s="87"/>
      <c r="I39" s="352"/>
      <c r="J39" s="352"/>
      <c r="K39" s="352"/>
      <c r="L39" s="352"/>
      <c r="M39" s="352"/>
    </row>
    <row r="40" s="354" customFormat="1">
      <c r="A40" s="355" t="s">
        <v>366</v>
      </c>
      <c r="B40" s="368">
        <f>+B41+B78+B85+B97+B101+B104</f>
        <v>0</v>
      </c>
      <c r="C40" s="368">
        <f t="shared" ref="C40:M40" si="288">+C41+C78+C85+C97+C101+C104</f>
        <v>0</v>
      </c>
      <c r="D40" s="368">
        <f t="shared" si="288"/>
        <v>0</v>
      </c>
      <c r="E40" s="368">
        <f t="shared" si="288"/>
        <v>0</v>
      </c>
      <c r="F40" s="368">
        <f t="shared" si="288"/>
        <v>0</v>
      </c>
      <c r="G40" s="368">
        <f t="shared" si="288"/>
        <v>0</v>
      </c>
      <c r="H40" s="368">
        <f t="shared" si="288"/>
        <v>0</v>
      </c>
      <c r="I40" s="368">
        <f t="shared" si="288"/>
        <v>0</v>
      </c>
      <c r="J40" s="368">
        <f t="shared" si="288"/>
        <v>0</v>
      </c>
      <c r="K40" s="368">
        <f t="shared" si="288"/>
        <v>0</v>
      </c>
      <c r="L40" s="368">
        <f t="shared" si="288"/>
        <v>0</v>
      </c>
      <c r="M40" s="368">
        <f t="shared" si="288"/>
        <v>0</v>
      </c>
      <c r="N40" s="144"/>
      <c r="O40" s="144"/>
      <c r="P40" s="144"/>
      <c r="Q40" s="144"/>
      <c r="R40" s="144"/>
      <c r="S40" s="144"/>
      <c r="T40" s="144"/>
      <c r="U40" s="144"/>
      <c r="V40" s="144"/>
      <c r="W40" s="144"/>
      <c r="X40" s="144"/>
      <c r="Y40" s="144"/>
      <c r="Z40" s="144"/>
      <c r="AA40" s="144"/>
      <c r="AB40" s="144"/>
      <c r="AC40" s="144"/>
      <c r="AD40" s="144"/>
      <c r="AE40" s="144"/>
      <c r="AF40" s="144"/>
      <c r="AG40" s="144"/>
      <c r="AH40" s="144"/>
      <c r="AI40" s="144"/>
      <c r="AJ40" s="144"/>
      <c r="AK40" s="144"/>
      <c r="AL40" s="144"/>
      <c r="AM40" s="144"/>
      <c r="AN40" s="144"/>
    </row>
    <row r="41">
      <c r="A41" s="369" t="str">
        <f>'Compte résultat prévi'!A45</f>
        <v xml:space="preserve">Achats/Frais généraux</v>
      </c>
      <c r="B41" s="359">
        <f>SUM(B42:B77)</f>
        <v>0</v>
      </c>
      <c r="C41" s="359">
        <f t="shared" ref="C41:M41" si="289">SUM(C42:C77)</f>
        <v>0</v>
      </c>
      <c r="D41" s="359">
        <f t="shared" si="289"/>
        <v>0</v>
      </c>
      <c r="E41" s="359">
        <f t="shared" si="289"/>
        <v>0</v>
      </c>
      <c r="F41" s="359">
        <f t="shared" si="289"/>
        <v>0</v>
      </c>
      <c r="G41" s="359">
        <f t="shared" si="289"/>
        <v>0</v>
      </c>
      <c r="H41" s="359">
        <f t="shared" si="289"/>
        <v>0</v>
      </c>
      <c r="I41" s="359">
        <f t="shared" si="289"/>
        <v>0</v>
      </c>
      <c r="J41" s="359">
        <f t="shared" si="289"/>
        <v>0</v>
      </c>
      <c r="K41" s="359">
        <f t="shared" si="289"/>
        <v>0</v>
      </c>
      <c r="L41" s="359">
        <f t="shared" si="289"/>
        <v>0</v>
      </c>
      <c r="M41" s="359">
        <f t="shared" si="289"/>
        <v>0</v>
      </c>
    </row>
    <row r="42" outlineLevel="1">
      <c r="A42" s="366" t="str">
        <f>'Compte résultat prévi'!A46</f>
        <v xml:space="preserve">Voyage SENEGAL</v>
      </c>
      <c r="B42" s="362"/>
      <c r="C42" s="362"/>
      <c r="D42" s="362"/>
      <c r="E42" s="362"/>
      <c r="F42" s="362"/>
      <c r="G42" s="362"/>
      <c r="H42" s="362"/>
      <c r="I42" s="362"/>
      <c r="J42" s="362"/>
      <c r="K42" s="362"/>
      <c r="L42" s="362"/>
      <c r="M42" s="362"/>
    </row>
    <row r="43" outlineLevel="1">
      <c r="A43" s="366" t="str">
        <f>'Compte résultat prévi'!A47</f>
        <v>STC</v>
      </c>
      <c r="B43" s="362"/>
      <c r="C43" s="362"/>
      <c r="D43" s="362"/>
      <c r="E43" s="362"/>
      <c r="F43" s="362"/>
      <c r="G43" s="362"/>
      <c r="H43" s="362"/>
      <c r="I43" s="362"/>
      <c r="J43" s="362"/>
      <c r="K43" s="362"/>
      <c r="L43" s="362"/>
      <c r="M43" s="362"/>
    </row>
    <row r="44" outlineLevel="1">
      <c r="A44" s="366" t="str">
        <f>'Compte résultat prévi'!A48</f>
        <v xml:space="preserve">Projet Voltaire et autres</v>
      </c>
      <c r="B44" s="362"/>
      <c r="C44" s="362"/>
      <c r="D44" s="362"/>
      <c r="E44" s="362"/>
      <c r="F44" s="362"/>
      <c r="G44" s="362"/>
      <c r="H44" s="362"/>
      <c r="I44" s="362"/>
      <c r="J44" s="362"/>
      <c r="K44" s="362"/>
      <c r="L44" s="362"/>
      <c r="M44" s="362"/>
    </row>
    <row r="45" outlineLevel="1">
      <c r="A45" s="366" t="str">
        <f>'Compte résultat prévi'!A49</f>
        <v xml:space="preserve">Carre potager</v>
      </c>
      <c r="B45" s="362"/>
      <c r="C45" s="362"/>
      <c r="D45" s="362"/>
      <c r="E45" s="362"/>
      <c r="F45" s="362"/>
      <c r="G45" s="362"/>
      <c r="H45" s="362"/>
      <c r="I45" s="362"/>
      <c r="J45" s="362"/>
      <c r="K45" s="362"/>
      <c r="L45" s="362"/>
      <c r="M45" s="362"/>
    </row>
    <row r="46" outlineLevel="1">
      <c r="A46" s="366" t="str">
        <f>'Compte résultat prévi'!A50</f>
        <v>Carburant</v>
      </c>
      <c r="B46" s="362"/>
      <c r="C46" s="362"/>
      <c r="D46" s="362"/>
      <c r="E46" s="362"/>
      <c r="F46" s="362"/>
      <c r="G46" s="362"/>
      <c r="H46" s="362"/>
      <c r="I46" s="362"/>
      <c r="J46" s="362"/>
      <c r="K46" s="362"/>
      <c r="L46" s="362"/>
      <c r="M46" s="362"/>
    </row>
    <row r="47" outlineLevel="1">
      <c r="A47" s="366" t="str">
        <f>'Compte résultat prévi'!A51</f>
        <v xml:space="preserve">Produits d'entretien</v>
      </c>
      <c r="B47" s="362"/>
      <c r="C47" s="362"/>
      <c r="D47" s="362"/>
      <c r="E47" s="362"/>
      <c r="F47" s="362"/>
      <c r="G47" s="362"/>
      <c r="H47" s="362"/>
      <c r="I47" s="362"/>
      <c r="J47" s="362"/>
      <c r="K47" s="362"/>
      <c r="L47" s="362"/>
      <c r="M47" s="362"/>
    </row>
    <row r="48" outlineLevel="1">
      <c r="A48" s="366" t="str">
        <f>'Compte résultat prévi'!A52</f>
        <v xml:space="preserve">Petites fournitures</v>
      </c>
      <c r="B48" s="362"/>
      <c r="C48" s="362"/>
      <c r="D48" s="362"/>
      <c r="E48" s="362"/>
      <c r="F48" s="362"/>
      <c r="G48" s="362"/>
      <c r="H48" s="362"/>
      <c r="I48" s="362"/>
      <c r="J48" s="362"/>
      <c r="K48" s="362"/>
      <c r="L48" s="362"/>
      <c r="M48" s="362"/>
    </row>
    <row r="49" s="144" customFormat="1" outlineLevel="1">
      <c r="A49" s="366" t="str">
        <f>'Compte résultat prévi'!A53</f>
        <v xml:space="preserve">Photocopies et frais éducatifs</v>
      </c>
      <c r="B49" s="362"/>
      <c r="C49" s="362"/>
      <c r="D49" s="362"/>
      <c r="E49" s="362"/>
      <c r="F49" s="362"/>
      <c r="G49" s="362"/>
      <c r="H49" s="362"/>
      <c r="I49" s="362"/>
      <c r="J49" s="362"/>
      <c r="K49" s="362"/>
      <c r="L49" s="362"/>
      <c r="M49" s="362"/>
    </row>
    <row r="50" s="144" customFormat="1" outlineLevel="1">
      <c r="A50" s="366" t="str">
        <f>'Compte résultat prévi'!A54</f>
        <v xml:space="preserve">Sous-traitance générale</v>
      </c>
      <c r="B50" s="362"/>
      <c r="C50" s="362"/>
      <c r="D50" s="362"/>
      <c r="E50" s="362"/>
      <c r="F50" s="362"/>
      <c r="G50" s="362"/>
      <c r="H50" s="362"/>
      <c r="I50" s="362"/>
      <c r="J50" s="362"/>
      <c r="K50" s="362"/>
      <c r="L50" s="362"/>
      <c r="M50" s="362"/>
    </row>
    <row r="51" s="144" customFormat="1" outlineLevel="1">
      <c r="A51" s="366" t="str">
        <f>'Compte résultat prévi'!A55</f>
        <v xml:space="preserve">Stages techniques</v>
      </c>
      <c r="B51" s="362"/>
      <c r="C51" s="362"/>
      <c r="D51" s="362"/>
      <c r="E51" s="362"/>
      <c r="F51" s="362"/>
      <c r="G51" s="362"/>
      <c r="H51" s="362"/>
      <c r="I51" s="362"/>
      <c r="J51" s="362"/>
      <c r="K51" s="362"/>
      <c r="L51" s="362"/>
      <c r="M51" s="362"/>
    </row>
    <row r="52" s="144" customFormat="1" outlineLevel="1">
      <c r="A52" s="366" t="str">
        <f>'Compte résultat prévi'!A56</f>
        <v xml:space="preserve">Prestataires formation</v>
      </c>
      <c r="B52" s="362"/>
      <c r="C52" s="362"/>
      <c r="D52" s="362"/>
      <c r="E52" s="362"/>
      <c r="F52" s="362"/>
      <c r="G52" s="362"/>
      <c r="H52" s="362"/>
      <c r="I52" s="362"/>
      <c r="J52" s="362"/>
      <c r="K52" s="362"/>
      <c r="L52" s="362"/>
      <c r="M52" s="362"/>
    </row>
    <row r="53" s="144" customFormat="1" outlineLevel="1">
      <c r="A53" s="366" t="str">
        <f>'Compte résultat prévi'!A57</f>
        <v xml:space="preserve">Location immobilière</v>
      </c>
      <c r="B53" s="362"/>
      <c r="C53" s="362"/>
      <c r="D53" s="362"/>
      <c r="E53" s="362"/>
      <c r="F53" s="362"/>
      <c r="G53" s="362"/>
      <c r="H53" s="362"/>
      <c r="I53" s="362"/>
      <c r="J53" s="362"/>
      <c r="K53" s="362"/>
      <c r="L53" s="362"/>
      <c r="M53" s="362"/>
    </row>
    <row r="54" s="144" customFormat="1" outlineLevel="1">
      <c r="A54" s="366" t="str">
        <f>'Compte résultat prévi'!A58</f>
        <v xml:space="preserve">Location mobilière</v>
      </c>
      <c r="B54" s="362"/>
      <c r="C54" s="362"/>
      <c r="D54" s="362"/>
      <c r="E54" s="362"/>
      <c r="F54" s="362"/>
      <c r="G54" s="362"/>
      <c r="H54" s="362"/>
      <c r="I54" s="362"/>
      <c r="J54" s="362"/>
      <c r="K54" s="362"/>
      <c r="L54" s="362"/>
      <c r="M54" s="362"/>
    </row>
    <row r="55" s="144" customFormat="1" outlineLevel="1">
      <c r="A55" s="366" t="str">
        <f>'Compte résultat prévi'!A59</f>
        <v xml:space="preserve">Entretien sur locaux</v>
      </c>
      <c r="B55" s="362"/>
      <c r="C55" s="362"/>
      <c r="D55" s="362"/>
      <c r="E55" s="362"/>
      <c r="F55" s="362"/>
      <c r="G55" s="362"/>
      <c r="H55" s="362"/>
      <c r="I55" s="362"/>
      <c r="J55" s="362"/>
      <c r="K55" s="362"/>
      <c r="L55" s="362"/>
      <c r="M55" s="362"/>
    </row>
    <row r="56" s="144" customFormat="1" outlineLevel="1">
      <c r="A56" s="366" t="str">
        <f>'Compte résultat prévi'!A60</f>
        <v xml:space="preserve">Maintenance  générale</v>
      </c>
      <c r="B56" s="362"/>
      <c r="C56" s="362"/>
      <c r="D56" s="362"/>
      <c r="E56" s="362"/>
      <c r="F56" s="362"/>
      <c r="G56" s="362"/>
      <c r="H56" s="362"/>
      <c r="I56" s="362"/>
      <c r="J56" s="362"/>
      <c r="K56" s="362"/>
      <c r="L56" s="362"/>
      <c r="M56" s="362"/>
    </row>
    <row r="57" s="144" customFormat="1" outlineLevel="1">
      <c r="A57" s="366" t="str">
        <f>'Compte résultat prévi'!A61</f>
        <v>Assurance</v>
      </c>
      <c r="B57" s="362"/>
      <c r="C57" s="362"/>
      <c r="D57" s="362"/>
      <c r="E57" s="362"/>
      <c r="F57" s="362"/>
      <c r="G57" s="362"/>
      <c r="H57" s="362"/>
      <c r="I57" s="362"/>
      <c r="J57" s="362"/>
      <c r="K57" s="362"/>
      <c r="L57" s="362"/>
      <c r="M57" s="362"/>
    </row>
    <row r="58" s="144" customFormat="1" outlineLevel="1">
      <c r="A58" s="366" t="str">
        <f>'Compte résultat prévi'!A62</f>
        <v>Documentation</v>
      </c>
      <c r="B58" s="362"/>
      <c r="C58" s="362"/>
      <c r="D58" s="362"/>
      <c r="E58" s="362"/>
      <c r="F58" s="362"/>
      <c r="G58" s="362"/>
      <c r="H58" s="362"/>
      <c r="I58" s="362"/>
      <c r="J58" s="362"/>
      <c r="K58" s="362"/>
      <c r="L58" s="362"/>
      <c r="M58" s="362"/>
    </row>
    <row r="59" s="144" customFormat="1" outlineLevel="1">
      <c r="A59" s="366" t="str">
        <f>'Compte résultat prévi'!A63</f>
        <v xml:space="preserve">Honoraires EC/CAC</v>
      </c>
      <c r="B59" s="362"/>
      <c r="C59" s="362"/>
      <c r="D59" s="362"/>
      <c r="E59" s="362"/>
      <c r="F59" s="362"/>
      <c r="G59" s="362"/>
      <c r="H59" s="362"/>
      <c r="I59" s="362"/>
      <c r="J59" s="362"/>
      <c r="K59" s="362"/>
      <c r="L59" s="362"/>
      <c r="M59" s="362"/>
    </row>
    <row r="60" s="144" customFormat="1" outlineLevel="1">
      <c r="A60" s="366" t="str">
        <f>'Compte résultat prévi'!A64</f>
        <v xml:space="preserve">Honoraires paie</v>
      </c>
      <c r="B60" s="362"/>
      <c r="C60" s="362"/>
      <c r="D60" s="362"/>
      <c r="E60" s="362"/>
      <c r="F60" s="362"/>
      <c r="G60" s="362"/>
      <c r="H60" s="362"/>
      <c r="I60" s="362"/>
      <c r="J60" s="362"/>
      <c r="K60" s="362"/>
      <c r="L60" s="362"/>
      <c r="M60" s="362"/>
    </row>
    <row r="61" s="144" customFormat="1" outlineLevel="1">
      <c r="A61" s="366" t="str">
        <f>'Compte résultat prévi'!A65</f>
        <v xml:space="preserve">Honoraires divers</v>
      </c>
      <c r="B61" s="362"/>
      <c r="C61" s="362"/>
      <c r="D61" s="362"/>
      <c r="E61" s="362"/>
      <c r="F61" s="362"/>
      <c r="G61" s="362"/>
      <c r="H61" s="362"/>
      <c r="I61" s="362"/>
      <c r="J61" s="362"/>
      <c r="K61" s="362"/>
      <c r="L61" s="362"/>
      <c r="M61" s="362"/>
    </row>
    <row r="62" s="144" customFormat="1" outlineLevel="1">
      <c r="A62" s="366" t="str">
        <f>'Compte résultat prévi'!A66</f>
        <v>Communication</v>
      </c>
      <c r="B62" s="362"/>
      <c r="C62" s="362"/>
      <c r="D62" s="362"/>
      <c r="E62" s="362"/>
      <c r="F62" s="362"/>
      <c r="G62" s="362"/>
      <c r="H62" s="362"/>
      <c r="I62" s="362"/>
      <c r="J62" s="362"/>
      <c r="K62" s="362"/>
      <c r="L62" s="362"/>
      <c r="M62" s="362"/>
    </row>
    <row r="63" s="144" customFormat="1" outlineLevel="1">
      <c r="A63" s="366" t="str">
        <f>'Compte résultat prévi'!A67</f>
        <v xml:space="preserve">Frais déplacement</v>
      </c>
      <c r="B63" s="362"/>
      <c r="C63" s="362"/>
      <c r="D63" s="362"/>
      <c r="E63" s="362"/>
      <c r="F63" s="362"/>
      <c r="G63" s="362"/>
      <c r="H63" s="362"/>
      <c r="I63" s="362"/>
      <c r="J63" s="362"/>
      <c r="K63" s="362"/>
      <c r="L63" s="362"/>
      <c r="M63" s="362"/>
    </row>
    <row r="64" s="144" customFormat="1" outlineLevel="1">
      <c r="A64" s="366" t="str">
        <f>'Compte résultat prévi'!A68</f>
        <v xml:space="preserve">Déplacement vacataires/stagiaires</v>
      </c>
      <c r="B64" s="362"/>
      <c r="C64" s="362"/>
      <c r="D64" s="362"/>
      <c r="E64" s="362"/>
      <c r="F64" s="362"/>
      <c r="G64" s="362"/>
      <c r="H64" s="362"/>
      <c r="I64" s="362"/>
      <c r="J64" s="362"/>
      <c r="K64" s="362"/>
      <c r="L64" s="362"/>
      <c r="M64" s="362"/>
    </row>
    <row r="65" s="144" customFormat="1" outlineLevel="1">
      <c r="A65" s="366" t="str">
        <f>'Compte résultat prévi'!A69</f>
        <v xml:space="preserve">Déplacement formateurs</v>
      </c>
      <c r="B65" s="362"/>
      <c r="C65" s="362"/>
      <c r="D65" s="362"/>
      <c r="E65" s="362"/>
      <c r="F65" s="362"/>
      <c r="G65" s="362"/>
      <c r="H65" s="362"/>
      <c r="I65" s="362"/>
      <c r="J65" s="362"/>
      <c r="K65" s="362"/>
      <c r="L65" s="362"/>
      <c r="M65" s="362"/>
    </row>
    <row r="66" s="144" customFormat="1" outlineLevel="1">
      <c r="A66" s="366" t="str">
        <f>'Compte résultat prévi'!A70</f>
        <v xml:space="preserve">Déplacements admin</v>
      </c>
      <c r="B66" s="362"/>
      <c r="C66" s="362"/>
      <c r="D66" s="362"/>
      <c r="E66" s="362"/>
      <c r="F66" s="362"/>
      <c r="G66" s="362"/>
      <c r="H66" s="362"/>
      <c r="I66" s="362"/>
      <c r="J66" s="362"/>
      <c r="K66" s="362"/>
      <c r="L66" s="362"/>
      <c r="M66" s="362"/>
    </row>
    <row r="67" s="144" customFormat="1" outlineLevel="1">
      <c r="A67" s="366" t="str">
        <f>'Compte résultat prévi'!A71</f>
        <v xml:space="preserve">Frais de mission</v>
      </c>
      <c r="B67" s="362"/>
      <c r="C67" s="362"/>
      <c r="D67" s="362"/>
      <c r="E67" s="362"/>
      <c r="F67" s="362"/>
      <c r="G67" s="362"/>
      <c r="H67" s="362"/>
      <c r="I67" s="362"/>
      <c r="J67" s="362"/>
      <c r="K67" s="362"/>
      <c r="L67" s="362"/>
      <c r="M67" s="362"/>
    </row>
    <row r="68" s="144" customFormat="1" outlineLevel="1">
      <c r="A68" s="366" t="str">
        <f>'Compte résultat prévi'!A72</f>
        <v>Téléphonie</v>
      </c>
      <c r="B68" s="362"/>
      <c r="C68" s="362"/>
      <c r="D68" s="362"/>
      <c r="E68" s="362"/>
      <c r="F68" s="362"/>
      <c r="G68" s="362"/>
      <c r="H68" s="362"/>
      <c r="I68" s="362"/>
      <c r="J68" s="362"/>
      <c r="K68" s="362"/>
      <c r="L68" s="362"/>
      <c r="M68" s="362"/>
    </row>
    <row r="69" s="144" customFormat="1" outlineLevel="1">
      <c r="A69" s="366" t="str">
        <f>'Compte résultat prévi'!A73</f>
        <v>Affranchissement</v>
      </c>
      <c r="B69" s="362"/>
      <c r="C69" s="362"/>
      <c r="D69" s="362"/>
      <c r="E69" s="362"/>
      <c r="F69" s="362"/>
      <c r="G69" s="362"/>
      <c r="H69" s="362"/>
      <c r="I69" s="362"/>
      <c r="J69" s="362"/>
      <c r="K69" s="362"/>
      <c r="L69" s="362"/>
      <c r="M69" s="362"/>
    </row>
    <row r="70" s="144" customFormat="1" outlineLevel="1">
      <c r="A70" s="366" t="str">
        <f>'Compte résultat prévi'!A74</f>
        <v>Internet</v>
      </c>
      <c r="B70" s="362"/>
      <c r="C70" s="362"/>
      <c r="D70" s="362"/>
      <c r="E70" s="362"/>
      <c r="F70" s="362"/>
      <c r="G70" s="362"/>
      <c r="H70" s="362"/>
      <c r="I70" s="362"/>
      <c r="J70" s="362"/>
      <c r="K70" s="362"/>
      <c r="L70" s="362"/>
      <c r="M70" s="362"/>
    </row>
    <row r="71" s="144" customFormat="1" outlineLevel="1">
      <c r="A71" s="366" t="str">
        <f>'Compte résultat prévi'!A75</f>
        <v xml:space="preserve">Services bancaires</v>
      </c>
      <c r="B71" s="362"/>
      <c r="C71" s="362"/>
      <c r="D71" s="362"/>
      <c r="E71" s="362"/>
      <c r="F71" s="362"/>
      <c r="G71" s="362"/>
      <c r="H71" s="362"/>
      <c r="I71" s="362"/>
      <c r="J71" s="362"/>
      <c r="K71" s="362"/>
      <c r="L71" s="362"/>
      <c r="M71" s="362"/>
    </row>
    <row r="72" s="144" customFormat="1" outlineLevel="1">
      <c r="A72" s="366" t="str">
        <f>'Compte résultat prévi'!A76</f>
        <v>Certification</v>
      </c>
      <c r="B72" s="362"/>
      <c r="C72" s="362"/>
      <c r="D72" s="362"/>
      <c r="E72" s="362"/>
      <c r="F72" s="362"/>
      <c r="G72" s="362"/>
      <c r="H72" s="362"/>
      <c r="I72" s="362"/>
      <c r="J72" s="362"/>
      <c r="K72" s="362"/>
      <c r="L72" s="362"/>
      <c r="M72" s="362"/>
    </row>
    <row r="73" s="144" customFormat="1" outlineLevel="1">
      <c r="A73" s="366" t="str">
        <f>'Compte résultat prévi'!A77</f>
        <v>Electricité</v>
      </c>
      <c r="B73" s="362"/>
      <c r="C73" s="362"/>
      <c r="D73" s="362"/>
      <c r="E73" s="362"/>
      <c r="F73" s="362"/>
      <c r="G73" s="362"/>
      <c r="H73" s="362"/>
      <c r="I73" s="362"/>
      <c r="J73" s="362"/>
      <c r="K73" s="362"/>
      <c r="L73" s="362"/>
      <c r="M73" s="362"/>
    </row>
    <row r="74" s="144" customFormat="1" outlineLevel="1">
      <c r="A74" s="366" t="str">
        <f>'Compte résultat prévi'!A78</f>
        <v xml:space="preserve">Colloques et formations</v>
      </c>
      <c r="B74" s="362"/>
      <c r="C74" s="362"/>
      <c r="D74" s="362"/>
      <c r="E74" s="362"/>
      <c r="F74" s="362"/>
      <c r="G74" s="362"/>
      <c r="H74" s="362"/>
      <c r="I74" s="362"/>
      <c r="J74" s="362"/>
      <c r="K74" s="362"/>
      <c r="L74" s="362"/>
      <c r="M74" s="362"/>
    </row>
    <row r="75" s="144" customFormat="1" outlineLevel="1">
      <c r="A75" s="366" t="str">
        <f>'Compte résultat prévi'!A79</f>
        <v xml:space="preserve">Logiciel de documentation</v>
      </c>
      <c r="B75" s="362"/>
      <c r="C75" s="362"/>
      <c r="D75" s="362"/>
      <c r="E75" s="362"/>
      <c r="F75" s="362"/>
      <c r="G75" s="362"/>
      <c r="H75" s="362"/>
      <c r="I75" s="362"/>
      <c r="J75" s="362"/>
      <c r="K75" s="362"/>
      <c r="L75" s="362"/>
      <c r="M75" s="362"/>
    </row>
    <row r="76" s="144" customFormat="1" outlineLevel="1">
      <c r="A76" s="366" t="str">
        <f>'Compte résultat prévi'!A81</f>
        <v xml:space="preserve">Charges locatives</v>
      </c>
      <c r="B76" s="362"/>
      <c r="C76" s="362"/>
      <c r="D76" s="362"/>
      <c r="E76" s="362"/>
      <c r="F76" s="362"/>
      <c r="G76" s="362"/>
      <c r="H76" s="362"/>
      <c r="I76" s="362"/>
      <c r="J76" s="362"/>
      <c r="K76" s="362"/>
      <c r="L76" s="362"/>
      <c r="M76" s="362"/>
    </row>
    <row r="77" s="144" customFormat="1" outlineLevel="1">
      <c r="A77" s="366">
        <f>'Compte résultat prévi'!A82</f>
        <v>0</v>
      </c>
      <c r="B77" s="362"/>
      <c r="C77" s="362"/>
      <c r="D77" s="362"/>
      <c r="E77" s="362"/>
      <c r="F77" s="362"/>
      <c r="G77" s="362"/>
      <c r="H77" s="362"/>
      <c r="I77" s="362"/>
      <c r="J77" s="362"/>
      <c r="K77" s="362"/>
      <c r="L77" s="362"/>
      <c r="M77" s="362"/>
    </row>
    <row r="78" s="144" customFormat="1">
      <c r="A78" s="369" t="str">
        <f>'Compte résultat prévi'!A83</f>
        <v xml:space="preserve">Impôts, taxes et versements assimilés</v>
      </c>
      <c r="B78" s="359">
        <f>SUM(B79:B84)</f>
        <v>0</v>
      </c>
      <c r="C78" s="359">
        <f t="shared" ref="C78:M78" si="290">SUM(C79:C84)</f>
        <v>0</v>
      </c>
      <c r="D78" s="359">
        <f t="shared" si="290"/>
        <v>0</v>
      </c>
      <c r="E78" s="359">
        <f t="shared" si="290"/>
        <v>0</v>
      </c>
      <c r="F78" s="359">
        <f t="shared" si="290"/>
        <v>0</v>
      </c>
      <c r="G78" s="359">
        <f t="shared" si="290"/>
        <v>0</v>
      </c>
      <c r="H78" s="359">
        <f t="shared" si="290"/>
        <v>0</v>
      </c>
      <c r="I78" s="359">
        <f t="shared" si="290"/>
        <v>0</v>
      </c>
      <c r="J78" s="359">
        <f t="shared" si="290"/>
        <v>0</v>
      </c>
      <c r="K78" s="359">
        <f t="shared" si="290"/>
        <v>0</v>
      </c>
      <c r="L78" s="359">
        <f t="shared" si="290"/>
        <v>0</v>
      </c>
      <c r="M78" s="359">
        <f t="shared" si="290"/>
        <v>0</v>
      </c>
    </row>
    <row r="79" s="144" customFormat="1" outlineLevel="1">
      <c r="A79" s="366" t="str">
        <f>'Compte résultat prévi'!A84</f>
        <v xml:space="preserve">Taxe sur les salaires</v>
      </c>
      <c r="B79" s="362"/>
      <c r="C79" s="362"/>
      <c r="D79" s="362"/>
      <c r="E79" s="362"/>
      <c r="F79" s="362"/>
      <c r="G79" s="362"/>
      <c r="H79" s="362"/>
      <c r="I79" s="362"/>
      <c r="J79" s="362"/>
      <c r="K79" s="362"/>
      <c r="L79" s="362"/>
      <c r="M79" s="362"/>
    </row>
    <row r="80" s="144" customFormat="1" outlineLevel="1">
      <c r="A80" s="366" t="str">
        <f>'Compte résultat prévi'!A85</f>
        <v xml:space="preserve">Participation à la formation pro</v>
      </c>
      <c r="B80" s="362"/>
      <c r="C80" s="362"/>
      <c r="D80" s="362"/>
      <c r="E80" s="362"/>
      <c r="F80" s="362"/>
      <c r="G80" s="362"/>
      <c r="H80" s="362"/>
      <c r="I80" s="362"/>
      <c r="J80" s="362"/>
      <c r="K80" s="362"/>
      <c r="L80" s="362"/>
      <c r="M80" s="362"/>
    </row>
    <row r="81" s="144" customFormat="1" outlineLevel="1">
      <c r="A81" s="366" t="str">
        <f>'Compte résultat prévi'!A86</f>
        <v xml:space="preserve">Redevance TV</v>
      </c>
      <c r="B81" s="362"/>
      <c r="C81" s="362"/>
      <c r="D81" s="362"/>
      <c r="E81" s="362"/>
      <c r="F81" s="362"/>
      <c r="G81" s="362"/>
      <c r="H81" s="362"/>
      <c r="I81" s="362"/>
      <c r="J81" s="362"/>
      <c r="K81" s="362"/>
      <c r="L81" s="362"/>
      <c r="M81" s="362"/>
    </row>
    <row r="82" s="144" customFormat="1" outlineLevel="1">
      <c r="A82" s="366">
        <f>'Compte résultat prévi'!A87</f>
        <v>0</v>
      </c>
      <c r="B82" s="362"/>
      <c r="C82" s="362"/>
      <c r="D82" s="362"/>
      <c r="E82" s="362"/>
      <c r="F82" s="362"/>
      <c r="G82" s="362"/>
      <c r="H82" s="362"/>
      <c r="I82" s="362"/>
      <c r="J82" s="362"/>
      <c r="K82" s="362"/>
      <c r="L82" s="362"/>
      <c r="M82" s="362"/>
    </row>
    <row r="83" s="144" customFormat="1" outlineLevel="1">
      <c r="A83" s="366">
        <f>'Compte résultat prévi'!A88</f>
        <v>0</v>
      </c>
      <c r="B83" s="362"/>
      <c r="C83" s="362"/>
      <c r="D83" s="362"/>
      <c r="E83" s="362"/>
      <c r="F83" s="362"/>
      <c r="G83" s="362"/>
      <c r="H83" s="362"/>
      <c r="I83" s="362"/>
      <c r="J83" s="362"/>
      <c r="K83" s="362"/>
      <c r="L83" s="362"/>
      <c r="M83" s="362"/>
    </row>
    <row r="84" s="144" customFormat="1" outlineLevel="1">
      <c r="A84" s="366">
        <f>'Compte résultat prévi'!A89</f>
        <v>0</v>
      </c>
      <c r="B84" s="362"/>
      <c r="C84" s="362"/>
      <c r="D84" s="362"/>
      <c r="E84" s="362"/>
      <c r="F84" s="362"/>
      <c r="G84" s="362"/>
      <c r="H84" s="362"/>
      <c r="I84" s="362"/>
      <c r="J84" s="362"/>
      <c r="K84" s="362"/>
      <c r="L84" s="362"/>
      <c r="M84" s="362"/>
    </row>
    <row r="85" s="144" customFormat="1">
      <c r="A85" s="369" t="str">
        <f>'Compte résultat prévi'!A90</f>
        <v xml:space="preserve">Masse salariale</v>
      </c>
      <c r="B85" s="359">
        <f>SUM(B86:B96)</f>
        <v>0</v>
      </c>
      <c r="C85" s="359">
        <f t="shared" ref="C85:M85" si="291">SUM(C86:C96)</f>
        <v>0</v>
      </c>
      <c r="D85" s="359">
        <f t="shared" si="291"/>
        <v>0</v>
      </c>
      <c r="E85" s="359">
        <f t="shared" si="291"/>
        <v>0</v>
      </c>
      <c r="F85" s="359">
        <f t="shared" si="291"/>
        <v>0</v>
      </c>
      <c r="G85" s="359">
        <f t="shared" si="291"/>
        <v>0</v>
      </c>
      <c r="H85" s="359">
        <f t="shared" si="291"/>
        <v>0</v>
      </c>
      <c r="I85" s="359">
        <f t="shared" si="291"/>
        <v>0</v>
      </c>
      <c r="J85" s="359">
        <f t="shared" si="291"/>
        <v>0</v>
      </c>
      <c r="K85" s="359">
        <f t="shared" si="291"/>
        <v>0</v>
      </c>
      <c r="L85" s="359">
        <f t="shared" si="291"/>
        <v>0</v>
      </c>
      <c r="M85" s="359">
        <f t="shared" si="291"/>
        <v>0</v>
      </c>
    </row>
    <row r="86" s="144" customFormat="1" outlineLevel="1">
      <c r="A86" s="366" t="str">
        <f>'Compte résultat prévi'!A91</f>
        <v xml:space="preserve">Salaires bruts formateurs permanents/documentation</v>
      </c>
      <c r="B86" s="362"/>
      <c r="C86" s="362"/>
      <c r="D86" s="362"/>
      <c r="E86" s="362"/>
      <c r="F86" s="362"/>
      <c r="G86" s="362"/>
      <c r="H86" s="362"/>
      <c r="I86" s="362"/>
      <c r="J86" s="362"/>
      <c r="K86" s="362"/>
      <c r="L86" s="362"/>
      <c r="M86" s="362"/>
    </row>
    <row r="87" s="144" customFormat="1" outlineLevel="1">
      <c r="A87" s="366" t="str">
        <f>'Compte résultat prévi'!A92</f>
        <v xml:space="preserve">Salaires bruts direction et administratif</v>
      </c>
      <c r="B87" s="362"/>
      <c r="C87" s="362"/>
      <c r="D87" s="362"/>
      <c r="E87" s="362"/>
      <c r="F87" s="362"/>
      <c r="G87" s="362"/>
      <c r="H87" s="362"/>
      <c r="I87" s="362"/>
      <c r="J87" s="362"/>
      <c r="K87" s="362"/>
      <c r="L87" s="362"/>
      <c r="M87" s="362"/>
    </row>
    <row r="88" s="144" customFormat="1" outlineLevel="1">
      <c r="A88" s="366" t="str">
        <f>'Compte résultat prévi'!A93</f>
        <v xml:space="preserve">Salaires bruts formateurs vacataires</v>
      </c>
      <c r="B88" s="362"/>
      <c r="C88" s="362"/>
      <c r="D88" s="362"/>
      <c r="E88" s="362"/>
      <c r="F88" s="362"/>
      <c r="G88" s="362"/>
      <c r="H88" s="362"/>
      <c r="I88" s="362"/>
      <c r="J88" s="362"/>
      <c r="K88" s="362"/>
      <c r="L88" s="362"/>
      <c r="M88" s="362"/>
    </row>
    <row r="89" s="144" customFormat="1" outlineLevel="1">
      <c r="A89" s="366" t="str">
        <f>'Compte résultat prévi'!A94</f>
        <v xml:space="preserve">Charges patronales formateurs permanents/documentation</v>
      </c>
      <c r="B89" s="362"/>
      <c r="C89" s="362"/>
      <c r="D89" s="362"/>
      <c r="E89" s="362"/>
      <c r="F89" s="362"/>
      <c r="G89" s="362"/>
      <c r="H89" s="362"/>
      <c r="I89" s="362"/>
      <c r="J89" s="362"/>
      <c r="K89" s="362"/>
      <c r="L89" s="362"/>
      <c r="M89" s="362"/>
    </row>
    <row r="90" s="144" customFormat="1" outlineLevel="1">
      <c r="A90" s="366" t="str">
        <f>'Compte résultat prévi'!A95</f>
        <v xml:space="preserve">Charges patronales direction et administratif</v>
      </c>
      <c r="B90" s="362"/>
      <c r="C90" s="362"/>
      <c r="D90" s="362"/>
      <c r="E90" s="362"/>
      <c r="F90" s="362"/>
      <c r="G90" s="362"/>
      <c r="H90" s="362"/>
      <c r="I90" s="362"/>
      <c r="J90" s="362"/>
      <c r="K90" s="362"/>
      <c r="L90" s="362"/>
      <c r="M90" s="362"/>
    </row>
    <row r="91" s="144" customFormat="1" outlineLevel="1">
      <c r="A91" s="366" t="str">
        <f>'Compte résultat prévi'!A96</f>
        <v xml:space="preserve">Charges patronales formateurs vacataires</v>
      </c>
      <c r="B91" s="362"/>
      <c r="C91" s="362"/>
      <c r="D91" s="362"/>
      <c r="E91" s="362"/>
      <c r="F91" s="362"/>
      <c r="G91" s="362"/>
      <c r="H91" s="362"/>
      <c r="I91" s="362"/>
      <c r="J91" s="362"/>
      <c r="K91" s="362"/>
      <c r="L91" s="362"/>
      <c r="M91" s="362"/>
    </row>
    <row r="92" s="144" customFormat="1" outlineLevel="1">
      <c r="A92" s="366" t="str">
        <f>'Compte résultat prévi'!A97</f>
        <v>Mutuelles</v>
      </c>
      <c r="B92" s="362"/>
      <c r="C92" s="362"/>
      <c r="D92" s="362"/>
      <c r="E92" s="362"/>
      <c r="F92" s="362"/>
      <c r="G92" s="362"/>
      <c r="H92" s="362"/>
      <c r="I92" s="362"/>
      <c r="J92" s="362"/>
      <c r="K92" s="362"/>
      <c r="L92" s="362"/>
      <c r="M92" s="362"/>
    </row>
    <row r="93" s="144" customFormat="1" outlineLevel="1">
      <c r="A93" s="366" t="str">
        <f>'Compte résultat prévi'!A98</f>
        <v xml:space="preserve">Médecine du travail</v>
      </c>
      <c r="B93" s="362"/>
      <c r="C93" s="362"/>
      <c r="D93" s="362"/>
      <c r="E93" s="362"/>
      <c r="F93" s="362"/>
      <c r="G93" s="362"/>
      <c r="H93" s="362"/>
      <c r="I93" s="362"/>
      <c r="J93" s="362"/>
      <c r="K93" s="362"/>
      <c r="L93" s="362"/>
      <c r="M93" s="362"/>
    </row>
    <row r="94" s="144" customFormat="1" outlineLevel="1">
      <c r="A94" s="366" t="str">
        <f>'Compte résultat prévi'!A99</f>
        <v xml:space="preserve">Indemnités départ</v>
      </c>
      <c r="B94" s="362"/>
      <c r="C94" s="362"/>
      <c r="D94" s="362"/>
      <c r="E94" s="362"/>
      <c r="F94" s="362"/>
      <c r="G94" s="362"/>
      <c r="H94" s="362"/>
      <c r="I94" s="362"/>
      <c r="J94" s="362"/>
      <c r="K94" s="362"/>
      <c r="L94" s="362"/>
      <c r="M94" s="362"/>
    </row>
    <row r="95" s="144" customFormat="1" outlineLevel="1">
      <c r="A95" s="366" t="str">
        <f>'Compte résultat prévi'!A100</f>
        <v xml:space="preserve">Versement CE</v>
      </c>
      <c r="B95" s="362"/>
      <c r="C95" s="362"/>
      <c r="D95" s="362"/>
      <c r="E95" s="362"/>
      <c r="F95" s="362"/>
      <c r="G95" s="362"/>
      <c r="H95" s="362"/>
      <c r="I95" s="362"/>
      <c r="J95" s="362"/>
      <c r="K95" s="362"/>
      <c r="L95" s="362"/>
      <c r="M95" s="362"/>
    </row>
    <row r="96" s="144" customFormat="1" outlineLevel="1">
      <c r="A96" s="366" t="str">
        <f>'Compte résultat prévi'!A101</f>
        <v xml:space="preserve">Ticket restaurants</v>
      </c>
      <c r="B96" s="362"/>
      <c r="C96" s="362"/>
      <c r="D96" s="362"/>
      <c r="E96" s="362"/>
      <c r="F96" s="362"/>
      <c r="G96" s="362"/>
      <c r="H96" s="362"/>
      <c r="I96" s="362"/>
      <c r="J96" s="362"/>
      <c r="K96" s="362"/>
      <c r="L96" s="362"/>
      <c r="M96" s="362"/>
    </row>
    <row r="97">
      <c r="A97" s="369" t="str">
        <f>'Compte résultat prévi'!A102</f>
        <v xml:space="preserve">Autres charges de gestion courante</v>
      </c>
      <c r="B97" s="359">
        <f>SUM(B98:B100)</f>
        <v>0</v>
      </c>
      <c r="C97" s="359">
        <f t="shared" ref="C97:M97" si="292">SUM(C98:C100)</f>
        <v>0</v>
      </c>
      <c r="D97" s="359">
        <f t="shared" si="292"/>
        <v>0</v>
      </c>
      <c r="E97" s="359">
        <f t="shared" si="292"/>
        <v>0</v>
      </c>
      <c r="F97" s="359">
        <f t="shared" si="292"/>
        <v>0</v>
      </c>
      <c r="G97" s="359">
        <f t="shared" si="292"/>
        <v>0</v>
      </c>
      <c r="H97" s="359">
        <f t="shared" si="292"/>
        <v>0</v>
      </c>
      <c r="I97" s="359">
        <f t="shared" si="292"/>
        <v>0</v>
      </c>
      <c r="J97" s="359">
        <f t="shared" si="292"/>
        <v>0</v>
      </c>
      <c r="K97" s="359">
        <f t="shared" si="292"/>
        <v>0</v>
      </c>
      <c r="L97" s="359">
        <f t="shared" si="292"/>
        <v>0</v>
      </c>
      <c r="M97" s="359">
        <f t="shared" si="292"/>
        <v>0</v>
      </c>
    </row>
    <row r="98" outlineLevel="1">
      <c r="A98" s="366" t="str">
        <f>'Compte résultat prévi'!A103</f>
        <v xml:space="preserve">Pertes sur créances irrécouvrables</v>
      </c>
      <c r="B98" s="362"/>
      <c r="C98" s="362"/>
      <c r="D98" s="362"/>
      <c r="E98" s="362"/>
      <c r="F98" s="362"/>
      <c r="G98" s="362"/>
      <c r="H98" s="362"/>
      <c r="I98" s="362"/>
      <c r="J98" s="362"/>
      <c r="K98" s="362"/>
      <c r="L98" s="362"/>
      <c r="M98" s="362"/>
    </row>
    <row r="99" outlineLevel="1">
      <c r="A99" s="366" t="str">
        <f>'Compte résultat prévi'!A104</f>
        <v xml:space="preserve">Cotisations vie statuaire</v>
      </c>
      <c r="B99" s="362"/>
      <c r="C99" s="362"/>
      <c r="D99" s="362"/>
      <c r="E99" s="362"/>
      <c r="F99" s="362"/>
      <c r="G99" s="362"/>
      <c r="H99" s="362"/>
      <c r="I99" s="362"/>
      <c r="J99" s="362"/>
      <c r="K99" s="362"/>
      <c r="L99" s="362"/>
      <c r="M99" s="362"/>
    </row>
    <row r="100" outlineLevel="1">
      <c r="A100" s="366" t="str">
        <f>'Compte résultat prévi'!A105</f>
        <v xml:space="preserve">Autres charges de gestion courante</v>
      </c>
      <c r="B100" s="362"/>
      <c r="C100" s="362"/>
      <c r="D100" s="362"/>
      <c r="E100" s="362"/>
      <c r="F100" s="362"/>
      <c r="G100" s="362"/>
      <c r="H100" s="362"/>
      <c r="I100" s="362"/>
      <c r="J100" s="362"/>
      <c r="K100" s="362"/>
      <c r="L100" s="362"/>
      <c r="M100" s="362"/>
    </row>
    <row r="101">
      <c r="A101" s="369" t="str">
        <f>'Compte résultat prévi'!A113</f>
        <v xml:space="preserve">Charges financières</v>
      </c>
      <c r="B101" s="359">
        <f>SUM(B102:B103)</f>
        <v>0</v>
      </c>
      <c r="C101" s="359">
        <f t="shared" ref="C101:M104" si="293">SUM(C102:C103)</f>
        <v>0</v>
      </c>
      <c r="D101" s="359">
        <f t="shared" si="293"/>
        <v>0</v>
      </c>
      <c r="E101" s="359">
        <f t="shared" si="293"/>
        <v>0</v>
      </c>
      <c r="F101" s="359">
        <f t="shared" si="293"/>
        <v>0</v>
      </c>
      <c r="G101" s="359">
        <f t="shared" si="293"/>
        <v>0</v>
      </c>
      <c r="H101" s="359">
        <f t="shared" si="293"/>
        <v>0</v>
      </c>
      <c r="I101" s="359">
        <f t="shared" si="293"/>
        <v>0</v>
      </c>
      <c r="J101" s="359">
        <f t="shared" si="293"/>
        <v>0</v>
      </c>
      <c r="K101" s="359">
        <f t="shared" si="293"/>
        <v>0</v>
      </c>
      <c r="L101" s="359">
        <f t="shared" si="293"/>
        <v>0</v>
      </c>
      <c r="M101" s="359">
        <f t="shared" si="293"/>
        <v>0</v>
      </c>
    </row>
    <row r="102" outlineLevel="1">
      <c r="A102" s="366" t="str">
        <f>'Compte résultat prévi'!A114</f>
        <v xml:space="preserve">Autres charges financières</v>
      </c>
      <c r="B102" s="362"/>
      <c r="C102" s="362"/>
      <c r="D102" s="362"/>
      <c r="E102" s="362"/>
      <c r="F102" s="362"/>
      <c r="G102" s="362"/>
      <c r="H102" s="362"/>
      <c r="I102" s="362"/>
      <c r="J102" s="362"/>
      <c r="K102" s="362"/>
      <c r="L102" s="362"/>
      <c r="M102" s="362"/>
    </row>
    <row r="103" outlineLevel="1">
      <c r="A103" s="366">
        <f>'Compte résultat prévi'!A115</f>
        <v>0</v>
      </c>
      <c r="B103" s="362"/>
      <c r="C103" s="362"/>
      <c r="D103" s="362"/>
      <c r="E103" s="362"/>
      <c r="F103" s="362"/>
      <c r="G103" s="362"/>
      <c r="H103" s="362"/>
      <c r="I103" s="362"/>
      <c r="J103" s="362"/>
      <c r="K103" s="362"/>
      <c r="L103" s="362"/>
      <c r="M103" s="362"/>
    </row>
    <row r="104">
      <c r="A104" s="369" t="str">
        <f>'Compte résultat prévi'!A120</f>
        <v xml:space="preserve">Charges exceptionnelles</v>
      </c>
      <c r="B104" s="359">
        <f>SUM(B105:B106)</f>
        <v>0</v>
      </c>
      <c r="C104" s="359">
        <f t="shared" si="293"/>
        <v>0</v>
      </c>
      <c r="D104" s="359">
        <f t="shared" si="293"/>
        <v>0</v>
      </c>
      <c r="E104" s="359">
        <f t="shared" si="293"/>
        <v>0</v>
      </c>
      <c r="F104" s="359">
        <f t="shared" si="293"/>
        <v>0</v>
      </c>
      <c r="G104" s="359">
        <f t="shared" si="293"/>
        <v>0</v>
      </c>
      <c r="H104" s="359">
        <f t="shared" si="293"/>
        <v>0</v>
      </c>
      <c r="I104" s="359">
        <f t="shared" si="293"/>
        <v>0</v>
      </c>
      <c r="J104" s="359">
        <f t="shared" si="293"/>
        <v>0</v>
      </c>
      <c r="K104" s="359">
        <f t="shared" si="293"/>
        <v>0</v>
      </c>
      <c r="L104" s="359">
        <f t="shared" si="293"/>
        <v>0</v>
      </c>
      <c r="M104" s="359">
        <f t="shared" si="293"/>
        <v>0</v>
      </c>
    </row>
    <row r="105" outlineLevel="1">
      <c r="A105" s="366" t="str">
        <f>'Compte résultat prévi'!A121</f>
        <v xml:space="preserve">Provisions pour risques et charges</v>
      </c>
      <c r="B105" s="362"/>
      <c r="C105" s="362"/>
      <c r="D105" s="362"/>
      <c r="E105" s="362"/>
      <c r="F105" s="362"/>
      <c r="G105" s="362"/>
      <c r="H105" s="362"/>
      <c r="I105" s="362"/>
      <c r="J105" s="362"/>
      <c r="K105" s="362"/>
      <c r="L105" s="362"/>
      <c r="M105" s="362"/>
    </row>
    <row r="106" outlineLevel="1">
      <c r="A106" s="366" t="str">
        <f>'Compte résultat prévi'!A122</f>
        <v xml:space="preserve">Autres charges exceptionnelles</v>
      </c>
      <c r="B106" s="362"/>
      <c r="C106" s="362"/>
      <c r="D106" s="362"/>
      <c r="E106" s="362"/>
      <c r="F106" s="362"/>
      <c r="G106" s="362"/>
      <c r="H106" s="362"/>
      <c r="I106" s="362"/>
      <c r="J106" s="362"/>
      <c r="K106" s="362"/>
      <c r="L106" s="362"/>
      <c r="M106" s="362"/>
    </row>
    <row r="107" s="144" customFormat="1">
      <c r="B107" s="87"/>
      <c r="C107" s="87"/>
      <c r="D107" s="87"/>
      <c r="E107" s="87"/>
      <c r="F107" s="87"/>
      <c r="G107" s="87"/>
      <c r="H107" s="87"/>
      <c r="I107" s="352"/>
      <c r="J107" s="352"/>
      <c r="K107" s="352"/>
      <c r="L107" s="352"/>
      <c r="M107" s="352"/>
    </row>
    <row r="108" s="354" customFormat="1">
      <c r="A108" s="355" t="s">
        <v>367</v>
      </c>
      <c r="B108" s="356">
        <f t="shared" ref="B108:H108" si="294">SUM(B109:B111)</f>
        <v>0</v>
      </c>
      <c r="C108" s="356">
        <f t="shared" si="294"/>
        <v>0</v>
      </c>
      <c r="D108" s="356">
        <f t="shared" si="294"/>
        <v>0</v>
      </c>
      <c r="E108" s="356">
        <f t="shared" si="294"/>
        <v>0</v>
      </c>
      <c r="F108" s="356">
        <f t="shared" si="294"/>
        <v>0</v>
      </c>
      <c r="G108" s="356">
        <f t="shared" si="294"/>
        <v>0</v>
      </c>
      <c r="H108" s="356">
        <f t="shared" si="294"/>
        <v>0</v>
      </c>
      <c r="I108" s="356">
        <f>SUM(I109:I111)</f>
        <v>0</v>
      </c>
      <c r="J108" s="356">
        <f t="shared" ref="J108:M108" si="295">SUM(J109:J111)</f>
        <v>0</v>
      </c>
      <c r="K108" s="356">
        <f t="shared" si="295"/>
        <v>0</v>
      </c>
      <c r="L108" s="356">
        <f t="shared" si="295"/>
        <v>0</v>
      </c>
      <c r="M108" s="356">
        <f t="shared" si="295"/>
        <v>0</v>
      </c>
      <c r="N108" s="144"/>
      <c r="O108" s="144"/>
      <c r="P108" s="144"/>
      <c r="Q108" s="144"/>
      <c r="R108" s="144"/>
      <c r="S108" s="144"/>
      <c r="T108" s="144"/>
      <c r="U108" s="144"/>
      <c r="V108" s="144"/>
      <c r="W108" s="144"/>
      <c r="X108" s="144"/>
      <c r="Y108" s="144"/>
      <c r="Z108" s="144"/>
      <c r="AA108" s="144"/>
      <c r="AB108" s="144"/>
      <c r="AC108" s="144"/>
      <c r="AD108" s="144"/>
      <c r="AE108" s="144"/>
      <c r="AF108" s="144"/>
      <c r="AG108" s="144"/>
      <c r="AH108" s="144"/>
      <c r="AI108" s="144"/>
      <c r="AJ108" s="144"/>
      <c r="AK108" s="144"/>
      <c r="AL108" s="144"/>
      <c r="AM108" s="144"/>
      <c r="AN108" s="144"/>
    </row>
    <row r="109">
      <c r="A109" s="366" t="s">
        <v>302</v>
      </c>
      <c r="B109" s="367"/>
      <c r="C109" s="367"/>
      <c r="D109" s="367"/>
      <c r="E109" s="367"/>
      <c r="F109" s="367"/>
      <c r="G109" s="367"/>
      <c r="H109" s="367"/>
      <c r="I109" s="367"/>
      <c r="J109" s="367"/>
      <c r="K109" s="367"/>
      <c r="L109" s="367"/>
      <c r="M109" s="367"/>
    </row>
    <row r="110">
      <c r="A110" s="366" t="s">
        <v>303</v>
      </c>
      <c r="B110" s="367"/>
      <c r="C110" s="367"/>
      <c r="D110" s="367"/>
      <c r="E110" s="367"/>
      <c r="F110" s="367"/>
      <c r="G110" s="367"/>
      <c r="H110" s="367"/>
      <c r="I110" s="367"/>
      <c r="J110" s="367"/>
      <c r="K110" s="367"/>
      <c r="L110" s="367"/>
      <c r="M110" s="367"/>
    </row>
    <row r="111">
      <c r="A111" s="366" t="s">
        <v>300</v>
      </c>
      <c r="B111" s="367"/>
      <c r="C111" s="367"/>
      <c r="D111" s="367"/>
      <c r="E111" s="367"/>
      <c r="F111" s="367"/>
      <c r="G111" s="367"/>
      <c r="H111" s="367"/>
      <c r="I111" s="367"/>
      <c r="J111" s="367"/>
      <c r="K111" s="367"/>
      <c r="L111" s="367"/>
      <c r="M111" s="367"/>
    </row>
    <row r="112" s="144" customFormat="1">
      <c r="B112" s="87"/>
      <c r="C112" s="87"/>
      <c r="D112" s="87"/>
      <c r="E112" s="87"/>
      <c r="F112" s="87"/>
      <c r="G112" s="87"/>
      <c r="H112" s="87"/>
      <c r="I112" s="352"/>
      <c r="J112" s="352"/>
      <c r="K112" s="352"/>
      <c r="L112" s="352"/>
      <c r="M112" s="352"/>
    </row>
    <row r="113" s="354" customFormat="1">
      <c r="A113" s="355" t="s">
        <v>368</v>
      </c>
      <c r="B113" s="364"/>
      <c r="C113" s="364"/>
      <c r="D113" s="364"/>
      <c r="E113" s="364"/>
      <c r="F113" s="364"/>
      <c r="G113" s="364"/>
      <c r="H113" s="364"/>
      <c r="I113" s="364"/>
      <c r="J113" s="364"/>
      <c r="K113" s="364"/>
      <c r="L113" s="364"/>
      <c r="M113" s="364"/>
      <c r="N113" s="144"/>
      <c r="O113" s="144"/>
      <c r="P113" s="144"/>
      <c r="Q113" s="144"/>
      <c r="R113" s="144"/>
      <c r="S113" s="144"/>
      <c r="T113" s="144"/>
      <c r="U113" s="144"/>
      <c r="V113" s="144"/>
      <c r="W113" s="144"/>
      <c r="X113" s="144"/>
      <c r="Y113" s="144"/>
      <c r="Z113" s="144"/>
      <c r="AA113" s="144"/>
      <c r="AB113" s="144"/>
      <c r="AC113" s="144"/>
      <c r="AD113" s="144"/>
      <c r="AE113" s="144"/>
      <c r="AF113" s="144"/>
      <c r="AG113" s="144"/>
      <c r="AH113" s="144"/>
      <c r="AI113" s="144"/>
      <c r="AJ113" s="144"/>
      <c r="AK113" s="144"/>
      <c r="AL113" s="144"/>
      <c r="AM113" s="144"/>
      <c r="AN113" s="144"/>
    </row>
    <row r="114" s="354" customFormat="1">
      <c r="A114" s="355" t="s">
        <v>369</v>
      </c>
      <c r="B114" s="364"/>
      <c r="C114" s="364"/>
      <c r="D114" s="364"/>
      <c r="E114" s="364"/>
      <c r="F114" s="364"/>
      <c r="G114" s="364"/>
      <c r="H114" s="364"/>
      <c r="I114" s="364"/>
      <c r="J114" s="364"/>
      <c r="K114" s="364"/>
      <c r="L114" s="364"/>
      <c r="M114" s="364"/>
      <c r="N114" s="144"/>
      <c r="O114" s="144"/>
      <c r="P114" s="144"/>
      <c r="Q114" s="144"/>
      <c r="R114" s="144"/>
      <c r="S114" s="144"/>
      <c r="T114" s="144"/>
      <c r="U114" s="144"/>
      <c r="V114" s="144"/>
      <c r="W114" s="144"/>
      <c r="X114" s="144"/>
      <c r="Y114" s="144"/>
      <c r="Z114" s="144"/>
      <c r="AA114" s="144"/>
      <c r="AB114" s="144"/>
      <c r="AC114" s="144"/>
      <c r="AD114" s="144"/>
      <c r="AE114" s="144"/>
      <c r="AF114" s="144"/>
      <c r="AG114" s="144"/>
      <c r="AH114" s="144"/>
      <c r="AI114" s="144"/>
      <c r="AJ114" s="144"/>
      <c r="AK114" s="144"/>
      <c r="AL114" s="144"/>
      <c r="AM114" s="144"/>
      <c r="AN114" s="144"/>
    </row>
    <row r="115" s="144" customFormat="1" ht="15">
      <c r="B115" s="87"/>
      <c r="C115" s="87"/>
      <c r="D115" s="87"/>
      <c r="E115" s="87"/>
      <c r="F115" s="87"/>
      <c r="G115" s="87"/>
      <c r="H115" s="87"/>
      <c r="I115" s="352"/>
      <c r="J115" s="352"/>
      <c r="K115" s="352"/>
      <c r="L115" s="352"/>
      <c r="M115" s="352"/>
    </row>
    <row r="116" ht="15">
      <c r="A116" s="370" t="s">
        <v>370</v>
      </c>
      <c r="B116" s="371">
        <f>+B6+B35-B40-B108+B113-B114</f>
        <v>0</v>
      </c>
      <c r="C116" s="371">
        <f t="shared" ref="C116:M116" si="296">+C6+C35-C40-C108+C113-C114</f>
        <v>0</v>
      </c>
      <c r="D116" s="371">
        <f t="shared" si="296"/>
        <v>0</v>
      </c>
      <c r="E116" s="371">
        <f t="shared" si="296"/>
        <v>0</v>
      </c>
      <c r="F116" s="371">
        <f t="shared" si="296"/>
        <v>0</v>
      </c>
      <c r="G116" s="371">
        <f t="shared" si="296"/>
        <v>0</v>
      </c>
      <c r="H116" s="371">
        <f t="shared" si="296"/>
        <v>0</v>
      </c>
      <c r="I116" s="371">
        <f t="shared" si="296"/>
        <v>0</v>
      </c>
      <c r="J116" s="371">
        <f t="shared" si="296"/>
        <v>0</v>
      </c>
      <c r="K116" s="371">
        <f t="shared" si="296"/>
        <v>0</v>
      </c>
      <c r="L116" s="371">
        <f t="shared" si="296"/>
        <v>0</v>
      </c>
      <c r="M116" s="371">
        <f t="shared" si="296"/>
        <v>0</v>
      </c>
    </row>
    <row r="117" ht="15">
      <c r="I117" s="372"/>
      <c r="J117" s="372"/>
      <c r="K117" s="372"/>
      <c r="L117" s="372"/>
      <c r="M117" s="372"/>
    </row>
    <row r="118" ht="15">
      <c r="A118" s="349" t="s">
        <v>371</v>
      </c>
      <c r="B118" s="373">
        <f>B4+B116</f>
        <v>0</v>
      </c>
      <c r="C118" s="373">
        <f t="shared" ref="C118:H118" si="297">C4+C116</f>
        <v>0</v>
      </c>
      <c r="D118" s="373">
        <f t="shared" si="297"/>
        <v>0</v>
      </c>
      <c r="E118" s="373">
        <f t="shared" si="297"/>
        <v>0</v>
      </c>
      <c r="F118" s="373">
        <f t="shared" si="297"/>
        <v>0</v>
      </c>
      <c r="G118" s="373">
        <f t="shared" si="297"/>
        <v>0</v>
      </c>
      <c r="H118" s="373">
        <f t="shared" si="297"/>
        <v>0</v>
      </c>
      <c r="I118" s="373">
        <f>I4+I116</f>
        <v>0</v>
      </c>
      <c r="J118" s="373">
        <f>J4+J116</f>
        <v>0</v>
      </c>
      <c r="K118" s="373">
        <f>K4+K116</f>
        <v>0</v>
      </c>
      <c r="L118" s="373">
        <f>L4+L116</f>
        <v>0</v>
      </c>
      <c r="M118" s="373">
        <f>M4+M116</f>
        <v>0</v>
      </c>
    </row>
    <row r="119" s="144" customFormat="1">
      <c r="B119" s="87"/>
      <c r="C119" s="87"/>
      <c r="D119" s="87"/>
      <c r="E119" s="87"/>
      <c r="F119" s="87"/>
      <c r="G119" s="87"/>
      <c r="H119" s="87"/>
      <c r="I119" s="352"/>
      <c r="J119" s="352"/>
      <c r="K119" s="352"/>
      <c r="L119" s="352"/>
      <c r="M119" s="352"/>
    </row>
    <row r="120" s="144" customFormat="1">
      <c r="B120" s="87"/>
      <c r="C120" s="87"/>
      <c r="D120" s="87"/>
      <c r="E120" s="87"/>
      <c r="F120" s="87"/>
      <c r="G120" s="87"/>
      <c r="H120" s="87"/>
      <c r="I120" s="352"/>
      <c r="J120" s="352"/>
      <c r="K120" s="352"/>
      <c r="L120" s="352"/>
      <c r="M120" s="352"/>
    </row>
    <row r="121" s="144" customFormat="1">
      <c r="B121" s="87"/>
      <c r="C121" s="87"/>
      <c r="D121" s="87"/>
      <c r="E121" s="87"/>
      <c r="F121" s="87"/>
      <c r="G121" s="87"/>
      <c r="H121" s="87"/>
      <c r="I121" s="87"/>
      <c r="J121" s="87"/>
      <c r="K121" s="87"/>
      <c r="L121" s="87"/>
      <c r="M121" s="87"/>
    </row>
    <row r="122" s="144" customFormat="1">
      <c r="B122" s="87"/>
      <c r="C122" s="87"/>
      <c r="D122" s="87"/>
      <c r="E122" s="87"/>
      <c r="F122" s="87"/>
      <c r="G122" s="87"/>
      <c r="H122" s="87"/>
      <c r="I122" s="87"/>
      <c r="J122" s="87"/>
      <c r="K122" s="87"/>
      <c r="L122" s="87"/>
      <c r="M122" s="87"/>
    </row>
    <row r="123" s="144" customFormat="1">
      <c r="B123" s="87"/>
      <c r="C123" s="87"/>
      <c r="D123" s="87"/>
      <c r="E123" s="87"/>
      <c r="F123" s="87"/>
      <c r="G123" s="87"/>
      <c r="H123" s="87"/>
      <c r="I123" s="87"/>
      <c r="J123" s="87"/>
      <c r="K123" s="87"/>
      <c r="L123" s="87"/>
      <c r="M123" s="87"/>
    </row>
    <row r="124" s="144" customFormat="1">
      <c r="B124" s="87"/>
      <c r="C124" s="87"/>
      <c r="D124" s="87"/>
      <c r="E124" s="87"/>
      <c r="F124" s="87"/>
      <c r="G124" s="87"/>
      <c r="H124" s="87"/>
      <c r="I124" s="87"/>
      <c r="J124" s="87"/>
      <c r="K124" s="87"/>
      <c r="L124" s="87"/>
      <c r="M124" s="87"/>
    </row>
    <row r="125" s="144" customFormat="1">
      <c r="B125" s="87"/>
      <c r="C125" s="87"/>
      <c r="D125" s="87"/>
      <c r="E125" s="87"/>
      <c r="F125" s="87"/>
      <c r="G125" s="87"/>
      <c r="H125" s="87"/>
      <c r="I125" s="87"/>
      <c r="J125" s="87"/>
      <c r="K125" s="87"/>
      <c r="L125" s="87"/>
      <c r="M125" s="87"/>
    </row>
    <row r="126" s="144" customFormat="1">
      <c r="B126" s="87"/>
      <c r="C126" s="87"/>
      <c r="D126" s="87"/>
      <c r="E126" s="87"/>
      <c r="F126" s="87"/>
      <c r="G126" s="87"/>
      <c r="H126" s="87"/>
      <c r="I126" s="87"/>
      <c r="J126" s="87"/>
      <c r="K126" s="87"/>
      <c r="L126" s="87"/>
      <c r="M126" s="87"/>
    </row>
    <row r="127" s="144" customFormat="1">
      <c r="B127" s="87"/>
      <c r="C127" s="87"/>
      <c r="D127" s="87"/>
      <c r="E127" s="87"/>
      <c r="F127" s="87"/>
      <c r="G127" s="87"/>
      <c r="H127" s="87"/>
      <c r="I127" s="87"/>
      <c r="J127" s="87"/>
      <c r="K127" s="87"/>
      <c r="L127" s="87"/>
      <c r="M127" s="87"/>
    </row>
    <row r="128" s="144" customFormat="1">
      <c r="B128" s="87"/>
      <c r="C128" s="87"/>
      <c r="D128" s="87"/>
      <c r="E128" s="87"/>
      <c r="F128" s="87"/>
      <c r="G128" s="87"/>
      <c r="H128" s="87"/>
      <c r="I128" s="87"/>
      <c r="J128" s="87"/>
      <c r="K128" s="87"/>
      <c r="L128" s="87"/>
      <c r="M128" s="87"/>
    </row>
    <row r="129" s="144" customFormat="1">
      <c r="B129" s="87"/>
      <c r="C129" s="87"/>
      <c r="D129" s="87"/>
      <c r="E129" s="87"/>
      <c r="F129" s="87"/>
      <c r="G129" s="87"/>
      <c r="H129" s="87"/>
      <c r="I129" s="87"/>
      <c r="J129" s="87"/>
      <c r="K129" s="87"/>
      <c r="L129" s="87"/>
      <c r="M129" s="87"/>
    </row>
    <row r="130" s="144" customFormat="1">
      <c r="B130" s="87"/>
      <c r="C130" s="87"/>
      <c r="D130" s="87"/>
      <c r="E130" s="87"/>
      <c r="F130" s="87"/>
      <c r="G130" s="87"/>
      <c r="H130" s="87"/>
      <c r="I130" s="87"/>
      <c r="J130" s="87"/>
      <c r="K130" s="87"/>
      <c r="L130" s="87"/>
      <c r="M130" s="87"/>
    </row>
    <row r="131" s="144" customFormat="1">
      <c r="B131" s="87"/>
      <c r="C131" s="87"/>
      <c r="D131" s="87"/>
      <c r="E131" s="87"/>
      <c r="F131" s="87"/>
      <c r="G131" s="87"/>
      <c r="H131" s="87"/>
      <c r="I131" s="87"/>
      <c r="J131" s="87"/>
      <c r="K131" s="87"/>
      <c r="L131" s="87"/>
      <c r="M131" s="87"/>
    </row>
    <row r="132" s="144" customFormat="1">
      <c r="B132" s="87"/>
      <c r="C132" s="87"/>
      <c r="D132" s="87"/>
      <c r="E132" s="87"/>
      <c r="F132" s="87"/>
      <c r="G132" s="87"/>
      <c r="H132" s="87"/>
      <c r="I132" s="87"/>
      <c r="J132" s="87"/>
      <c r="K132" s="87"/>
      <c r="L132" s="87"/>
      <c r="M132" s="87"/>
    </row>
    <row r="133" s="144" customFormat="1">
      <c r="B133" s="87"/>
      <c r="C133" s="87"/>
      <c r="D133" s="87"/>
      <c r="E133" s="87"/>
      <c r="F133" s="87"/>
      <c r="G133" s="87"/>
      <c r="H133" s="87"/>
      <c r="I133" s="87"/>
      <c r="J133" s="87"/>
      <c r="K133" s="87"/>
      <c r="L133" s="87"/>
      <c r="M133" s="87"/>
    </row>
    <row r="134" s="144" customFormat="1">
      <c r="B134" s="87"/>
      <c r="C134" s="87"/>
      <c r="D134" s="87"/>
      <c r="E134" s="87"/>
      <c r="F134" s="87"/>
      <c r="G134" s="87"/>
      <c r="H134" s="87"/>
      <c r="I134" s="87"/>
      <c r="J134" s="87"/>
      <c r="K134" s="87"/>
      <c r="L134" s="87"/>
      <c r="M134" s="87"/>
    </row>
    <row r="135" s="144" customFormat="1">
      <c r="B135" s="87"/>
      <c r="C135" s="87"/>
      <c r="D135" s="87"/>
      <c r="E135" s="87"/>
      <c r="F135" s="87"/>
      <c r="G135" s="87"/>
      <c r="H135" s="87"/>
      <c r="I135" s="87"/>
      <c r="J135" s="87"/>
      <c r="K135" s="87"/>
      <c r="L135" s="87"/>
      <c r="M135" s="87"/>
    </row>
    <row r="136" s="144" customFormat="1">
      <c r="B136" s="87"/>
      <c r="C136" s="87"/>
      <c r="D136" s="87"/>
      <c r="E136" s="87"/>
      <c r="F136" s="87"/>
      <c r="G136" s="87"/>
      <c r="H136" s="87"/>
      <c r="I136" s="87"/>
      <c r="J136" s="87"/>
      <c r="K136" s="87"/>
      <c r="L136" s="87"/>
      <c r="M136" s="87"/>
    </row>
    <row r="137" s="144" customFormat="1">
      <c r="B137" s="87"/>
      <c r="C137" s="87"/>
      <c r="D137" s="87"/>
      <c r="E137" s="87"/>
      <c r="F137" s="87"/>
      <c r="G137" s="87"/>
      <c r="H137" s="87"/>
      <c r="I137" s="87"/>
      <c r="J137" s="87"/>
      <c r="K137" s="87"/>
      <c r="L137" s="87"/>
      <c r="M137" s="87"/>
    </row>
    <row r="138" s="144" customFormat="1">
      <c r="B138" s="87"/>
      <c r="C138" s="87"/>
      <c r="D138" s="87"/>
      <c r="E138" s="87"/>
      <c r="F138" s="87"/>
      <c r="G138" s="87"/>
      <c r="H138" s="87"/>
      <c r="I138" s="87"/>
      <c r="J138" s="87"/>
      <c r="K138" s="87"/>
      <c r="L138" s="87"/>
      <c r="M138" s="87"/>
    </row>
    <row r="139" s="144" customFormat="1">
      <c r="B139" s="87"/>
      <c r="C139" s="87"/>
      <c r="D139" s="87"/>
      <c r="E139" s="87"/>
      <c r="F139" s="87"/>
      <c r="G139" s="87"/>
      <c r="H139" s="87"/>
      <c r="I139" s="87"/>
      <c r="J139" s="87"/>
      <c r="K139" s="87"/>
      <c r="L139" s="87"/>
      <c r="M139" s="87"/>
    </row>
    <row r="140" s="144" customFormat="1">
      <c r="B140" s="87"/>
      <c r="C140" s="87"/>
      <c r="D140" s="87"/>
      <c r="E140" s="87"/>
      <c r="F140" s="87"/>
      <c r="G140" s="87"/>
      <c r="H140" s="87"/>
      <c r="I140" s="87"/>
      <c r="J140" s="87"/>
      <c r="K140" s="87"/>
      <c r="L140" s="87"/>
      <c r="M140" s="87"/>
    </row>
    <row r="141" s="144" customFormat="1">
      <c r="B141" s="87"/>
      <c r="C141" s="87"/>
      <c r="D141" s="87"/>
      <c r="E141" s="87"/>
      <c r="F141" s="87"/>
      <c r="G141" s="87"/>
      <c r="H141" s="87"/>
      <c r="I141" s="87"/>
      <c r="J141" s="87"/>
      <c r="K141" s="87"/>
      <c r="L141" s="87"/>
      <c r="M141" s="87"/>
    </row>
    <row r="142" s="144" customFormat="1">
      <c r="B142" s="87"/>
      <c r="C142" s="87"/>
      <c r="D142" s="87"/>
      <c r="E142" s="87"/>
      <c r="F142" s="87"/>
      <c r="G142" s="87"/>
      <c r="H142" s="87"/>
      <c r="I142" s="87"/>
      <c r="J142" s="87"/>
      <c r="K142" s="87"/>
      <c r="L142" s="87"/>
      <c r="M142" s="87"/>
    </row>
    <row r="143" s="144" customFormat="1">
      <c r="B143" s="87"/>
      <c r="C143" s="87"/>
      <c r="D143" s="87"/>
      <c r="E143" s="87"/>
      <c r="F143" s="87"/>
      <c r="G143" s="87"/>
      <c r="H143" s="87"/>
      <c r="I143" s="87"/>
      <c r="J143" s="87"/>
      <c r="K143" s="87"/>
      <c r="L143" s="87"/>
      <c r="M143" s="87"/>
    </row>
    <row r="144" s="144" customFormat="1">
      <c r="B144" s="87"/>
      <c r="C144" s="87"/>
      <c r="D144" s="87"/>
      <c r="E144" s="87"/>
      <c r="F144" s="87"/>
      <c r="G144" s="87"/>
      <c r="H144" s="87"/>
      <c r="I144" s="87"/>
      <c r="J144" s="87"/>
      <c r="K144" s="87"/>
      <c r="L144" s="87"/>
      <c r="M144" s="87"/>
    </row>
    <row r="145" s="144" customFormat="1">
      <c r="B145" s="87"/>
      <c r="C145" s="87"/>
      <c r="D145" s="87"/>
      <c r="E145" s="87"/>
      <c r="F145" s="87"/>
      <c r="G145" s="87"/>
      <c r="H145" s="87"/>
      <c r="I145" s="87"/>
      <c r="J145" s="87"/>
      <c r="K145" s="87"/>
      <c r="L145" s="87"/>
      <c r="M145" s="87"/>
    </row>
    <row r="146" s="144" customFormat="1">
      <c r="B146" s="87"/>
      <c r="C146" s="87"/>
      <c r="D146" s="87"/>
      <c r="E146" s="87"/>
      <c r="F146" s="87"/>
      <c r="G146" s="87"/>
      <c r="H146" s="87"/>
      <c r="I146" s="87"/>
      <c r="J146" s="87"/>
      <c r="K146" s="87"/>
      <c r="L146" s="87"/>
      <c r="M146" s="87"/>
    </row>
    <row r="147" s="144" customFormat="1">
      <c r="B147" s="87"/>
      <c r="C147" s="87"/>
      <c r="D147" s="87"/>
      <c r="E147" s="87"/>
      <c r="F147" s="87"/>
      <c r="G147" s="87"/>
      <c r="H147" s="87"/>
      <c r="I147" s="87"/>
      <c r="J147" s="87"/>
      <c r="K147" s="87"/>
      <c r="L147" s="87"/>
      <c r="M147" s="87"/>
    </row>
    <row r="148" s="144" customFormat="1">
      <c r="B148" s="87"/>
      <c r="C148" s="87"/>
      <c r="D148" s="87"/>
      <c r="E148" s="87"/>
      <c r="F148" s="87"/>
      <c r="G148" s="87"/>
      <c r="H148" s="87"/>
      <c r="I148" s="87"/>
      <c r="J148" s="87"/>
      <c r="K148" s="87"/>
      <c r="L148" s="87"/>
      <c r="M148" s="87"/>
    </row>
    <row r="149" s="144" customFormat="1">
      <c r="B149" s="87"/>
      <c r="C149" s="87"/>
      <c r="D149" s="87"/>
      <c r="E149" s="87"/>
      <c r="F149" s="87"/>
      <c r="G149" s="87"/>
      <c r="H149" s="87"/>
      <c r="I149" s="87"/>
      <c r="J149" s="87"/>
      <c r="K149" s="87"/>
      <c r="L149" s="87"/>
      <c r="M149" s="87"/>
    </row>
    <row r="150" s="144" customFormat="1">
      <c r="B150" s="87"/>
      <c r="C150" s="87"/>
      <c r="D150" s="87"/>
      <c r="E150" s="87"/>
      <c r="F150" s="87"/>
      <c r="G150" s="87"/>
      <c r="H150" s="87"/>
      <c r="I150" s="87"/>
      <c r="J150" s="87"/>
      <c r="K150" s="87"/>
      <c r="L150" s="87"/>
      <c r="M150" s="87"/>
    </row>
    <row r="151" s="144" customFormat="1">
      <c r="B151" s="87"/>
      <c r="C151" s="87"/>
      <c r="D151" s="87"/>
      <c r="E151" s="87"/>
      <c r="F151" s="87"/>
      <c r="G151" s="87"/>
      <c r="H151" s="87"/>
      <c r="I151" s="87"/>
      <c r="J151" s="87"/>
      <c r="K151" s="87"/>
      <c r="L151" s="87"/>
      <c r="M151" s="87"/>
    </row>
    <row r="152" s="144" customFormat="1">
      <c r="B152" s="87"/>
      <c r="C152" s="87"/>
      <c r="D152" s="87"/>
      <c r="E152" s="87"/>
      <c r="F152" s="87"/>
      <c r="G152" s="87"/>
      <c r="H152" s="87"/>
      <c r="I152" s="87"/>
      <c r="J152" s="87"/>
      <c r="K152" s="87"/>
      <c r="L152" s="87"/>
      <c r="M152" s="87"/>
    </row>
    <row r="153" s="144" customFormat="1">
      <c r="B153" s="87"/>
      <c r="C153" s="87"/>
      <c r="D153" s="87"/>
      <c r="E153" s="87"/>
      <c r="F153" s="87"/>
      <c r="G153" s="87"/>
      <c r="H153" s="87"/>
      <c r="I153" s="87"/>
      <c r="J153" s="87"/>
      <c r="K153" s="87"/>
      <c r="L153" s="87"/>
      <c r="M153" s="87"/>
    </row>
    <row r="154" s="144" customFormat="1">
      <c r="B154" s="87"/>
      <c r="C154" s="87"/>
      <c r="D154" s="87"/>
      <c r="E154" s="87"/>
      <c r="F154" s="87"/>
      <c r="G154" s="87"/>
      <c r="H154" s="87"/>
      <c r="I154" s="87"/>
      <c r="J154" s="87"/>
      <c r="K154" s="87"/>
      <c r="L154" s="87"/>
      <c r="M154" s="87"/>
    </row>
    <row r="155" s="144" customFormat="1">
      <c r="B155" s="87"/>
      <c r="C155" s="87"/>
      <c r="D155" s="87"/>
      <c r="E155" s="87"/>
      <c r="F155" s="87"/>
      <c r="G155" s="87"/>
      <c r="H155" s="87"/>
      <c r="I155" s="87"/>
      <c r="J155" s="87"/>
      <c r="K155" s="87"/>
      <c r="L155" s="87"/>
      <c r="M155" s="87"/>
    </row>
    <row r="156" s="144" customFormat="1">
      <c r="B156" s="87"/>
      <c r="C156" s="87"/>
      <c r="D156" s="87"/>
      <c r="E156" s="87"/>
      <c r="F156" s="87"/>
      <c r="G156" s="87"/>
      <c r="H156" s="87"/>
      <c r="I156" s="87"/>
      <c r="J156" s="87"/>
      <c r="K156" s="87"/>
      <c r="L156" s="87"/>
      <c r="M156" s="87"/>
    </row>
    <row r="157" s="144" customFormat="1">
      <c r="B157" s="87"/>
      <c r="C157" s="87"/>
      <c r="D157" s="87"/>
      <c r="E157" s="87"/>
      <c r="F157" s="87"/>
      <c r="G157" s="87"/>
      <c r="H157" s="87"/>
      <c r="I157" s="87"/>
      <c r="J157" s="87"/>
      <c r="K157" s="87"/>
      <c r="L157" s="87"/>
      <c r="M157" s="87"/>
    </row>
    <row r="158" s="144" customFormat="1">
      <c r="B158" s="87"/>
      <c r="C158" s="87"/>
      <c r="D158" s="87"/>
      <c r="E158" s="87"/>
      <c r="F158" s="87"/>
      <c r="G158" s="87"/>
      <c r="H158" s="87"/>
      <c r="I158" s="87"/>
      <c r="J158" s="87"/>
      <c r="K158" s="87"/>
      <c r="L158" s="87"/>
      <c r="M158" s="87"/>
    </row>
    <row r="159" s="144" customFormat="1">
      <c r="B159" s="87"/>
      <c r="C159" s="87"/>
      <c r="D159" s="87"/>
      <c r="E159" s="87"/>
      <c r="F159" s="87"/>
      <c r="G159" s="87"/>
      <c r="H159" s="87"/>
      <c r="I159" s="87"/>
      <c r="J159" s="87"/>
      <c r="K159" s="87"/>
      <c r="L159" s="87"/>
      <c r="M159" s="87"/>
    </row>
    <row r="160" s="144" customFormat="1">
      <c r="B160" s="87"/>
      <c r="C160" s="87"/>
      <c r="D160" s="87"/>
      <c r="E160" s="87"/>
      <c r="F160" s="87"/>
      <c r="G160" s="87"/>
      <c r="H160" s="87"/>
      <c r="I160" s="87"/>
      <c r="J160" s="87"/>
      <c r="K160" s="87"/>
      <c r="L160" s="87"/>
      <c r="M160" s="87"/>
    </row>
    <row r="161" s="144" customFormat="1">
      <c r="B161" s="87"/>
      <c r="C161" s="87"/>
      <c r="D161" s="87"/>
      <c r="E161" s="87"/>
      <c r="F161" s="87"/>
      <c r="G161" s="87"/>
      <c r="H161" s="87"/>
      <c r="I161" s="87"/>
      <c r="J161" s="87"/>
      <c r="K161" s="87"/>
      <c r="L161" s="87"/>
      <c r="M161" s="87"/>
    </row>
    <row r="162" s="144" customFormat="1">
      <c r="B162" s="87"/>
      <c r="C162" s="87"/>
      <c r="D162" s="87"/>
      <c r="E162" s="87"/>
      <c r="F162" s="87"/>
      <c r="G162" s="87"/>
      <c r="H162" s="87"/>
      <c r="I162" s="87"/>
      <c r="J162" s="87"/>
      <c r="K162" s="87"/>
      <c r="L162" s="87"/>
      <c r="M162" s="87"/>
    </row>
    <row r="163" s="144" customFormat="1">
      <c r="B163" s="87"/>
      <c r="C163" s="87"/>
      <c r="D163" s="87"/>
      <c r="E163" s="87"/>
      <c r="F163" s="87"/>
      <c r="G163" s="87"/>
      <c r="H163" s="87"/>
      <c r="I163" s="87"/>
      <c r="J163" s="87"/>
      <c r="K163" s="87"/>
      <c r="L163" s="87"/>
      <c r="M163" s="87"/>
    </row>
    <row r="164" s="144" customFormat="1">
      <c r="B164" s="87"/>
      <c r="C164" s="87"/>
      <c r="D164" s="87"/>
      <c r="E164" s="87"/>
      <c r="F164" s="87"/>
      <c r="G164" s="87"/>
      <c r="H164" s="87"/>
      <c r="I164" s="87"/>
      <c r="J164" s="87"/>
      <c r="K164" s="87"/>
      <c r="L164" s="87"/>
      <c r="M164" s="87"/>
    </row>
    <row r="165" s="144" customFormat="1">
      <c r="B165" s="87"/>
      <c r="C165" s="87"/>
      <c r="D165" s="87"/>
      <c r="E165" s="87"/>
      <c r="F165" s="87"/>
      <c r="G165" s="87"/>
      <c r="H165" s="87"/>
      <c r="I165" s="87"/>
      <c r="J165" s="87"/>
      <c r="K165" s="87"/>
      <c r="L165" s="87"/>
      <c r="M165" s="87"/>
    </row>
    <row r="166" s="144" customFormat="1">
      <c r="B166" s="87"/>
      <c r="C166" s="87"/>
      <c r="D166" s="87"/>
      <c r="E166" s="87"/>
      <c r="F166" s="87"/>
      <c r="G166" s="87"/>
      <c r="H166" s="87"/>
      <c r="I166" s="87"/>
      <c r="J166" s="87"/>
      <c r="K166" s="87"/>
      <c r="L166" s="87"/>
      <c r="M166" s="87"/>
    </row>
    <row r="167" s="144" customFormat="1">
      <c r="B167" s="87"/>
      <c r="C167" s="87"/>
      <c r="D167" s="87"/>
      <c r="E167" s="87"/>
      <c r="F167" s="87"/>
      <c r="G167" s="87"/>
      <c r="H167" s="87"/>
      <c r="I167" s="87"/>
      <c r="J167" s="87"/>
      <c r="K167" s="87"/>
      <c r="L167" s="87"/>
      <c r="M167" s="87"/>
    </row>
    <row r="168" s="144" customFormat="1">
      <c r="B168" s="87"/>
      <c r="C168" s="87"/>
      <c r="D168" s="87"/>
      <c r="E168" s="87"/>
      <c r="F168" s="87"/>
      <c r="G168" s="87"/>
      <c r="H168" s="87"/>
      <c r="I168" s="87"/>
      <c r="J168" s="87"/>
      <c r="K168" s="87"/>
      <c r="L168" s="87"/>
      <c r="M168" s="87"/>
    </row>
  </sheetData>
  <printOptions headings="0" gridLines="0"/>
  <pageMargins left="0.25" right="0.25" top="0.75" bottom="0.75" header="0.29999999999999999" footer="0.29999999999999999"/>
  <pageSetup paperSize="9" scale="30" fitToWidth="1" fitToHeight="2" pageOrder="downThenOver" orientation="landscape" usePrinterDefaults="1" blackAndWhite="0" draft="0" cellComments="none" useFirstPageNumber="0" errors="displayed" horizontalDpi="300" verticalDpi="300" copies="1"/>
  <headerFooter/>
  <drawing r:id="rId1"/>
</worksheet>
</file>

<file path=xl/worksheets/sheet1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sheetPr>
    <outlinePr applyStyles="0" summaryBelow="1" summaryRight="1" showOutlineSymbols="1"/>
    <pageSetUpPr autoPageBreaks="1" fitToPage="1"/>
  </sheetPr>
  <sheetViews>
    <sheetView topLeftCell="A82" zoomScale="70" workbookViewId="0">
      <selection activeCell="B3" activeCellId="0" sqref="B3"/>
    </sheetView>
  </sheetViews>
  <sheetFormatPr baseColWidth="10" defaultColWidth="10.6640625" defaultRowHeight="14.4" outlineLevelRow="1"/>
  <cols>
    <col customWidth="1" min="1" max="1" width="68.33203125"/>
    <col customWidth="1" min="2" max="2" style="374" width="12.44140625"/>
    <col bestFit="1" customWidth="1" min="3" max="3" style="374" width="15.44140625"/>
    <col bestFit="1" customWidth="1" min="4" max="5" style="374" width="13.44140625"/>
    <col customWidth="1" min="6" max="6" style="374" width="12.44140625"/>
    <col bestFit="1" customWidth="1" min="7" max="7" style="374" width="13.44140625"/>
    <col customWidth="1" min="8" max="9" style="374" width="12.44140625"/>
    <col bestFit="1" customWidth="1" min="10" max="10" style="374" width="14.88671875"/>
    <col bestFit="1" customWidth="1" min="11" max="11" style="374" width="13"/>
    <col bestFit="1" customWidth="1" min="12" max="12" style="374" width="14.33203125"/>
    <col bestFit="1" customWidth="1" min="13" max="13" style="374" width="14.44140625"/>
    <col min="14" max="40" style="36" width="10.6640625"/>
  </cols>
  <sheetData>
    <row r="1" s="36" customFormat="1" ht="21">
      <c r="A1" s="171" t="s">
        <v>372</v>
      </c>
      <c r="B1" s="375"/>
      <c r="C1" s="375"/>
      <c r="D1" s="375"/>
      <c r="E1" s="375"/>
      <c r="F1" s="375"/>
      <c r="G1" s="375"/>
      <c r="H1" s="375"/>
      <c r="I1" s="375"/>
      <c r="J1" s="375"/>
      <c r="K1" s="375"/>
      <c r="L1" s="375"/>
      <c r="M1" s="375"/>
    </row>
    <row r="2" s="36" customFormat="1" ht="15">
      <c r="B2" s="376"/>
      <c r="C2" s="376"/>
      <c r="D2" s="376"/>
      <c r="E2" s="376"/>
      <c r="F2" s="375"/>
      <c r="G2" s="375"/>
      <c r="H2" s="375"/>
      <c r="I2" s="375"/>
      <c r="J2" s="375"/>
      <c r="K2" s="375"/>
      <c r="L2" s="375"/>
      <c r="M2" s="375"/>
    </row>
    <row r="3" ht="15">
      <c r="A3" s="377"/>
      <c r="B3" s="378">
        <f>'Hypotheses expl'!C3</f>
        <v>44927</v>
      </c>
      <c r="C3" s="378">
        <f>'Hypotheses expl'!D3</f>
        <v>44958</v>
      </c>
      <c r="D3" s="378">
        <f>'Hypotheses expl'!E3</f>
        <v>44986</v>
      </c>
      <c r="E3" s="378">
        <f>'Hypotheses expl'!F3</f>
        <v>45017</v>
      </c>
      <c r="F3" s="378">
        <f>'Hypotheses expl'!G3</f>
        <v>45047</v>
      </c>
      <c r="G3" s="378">
        <f>'Hypotheses expl'!H3</f>
        <v>45078</v>
      </c>
      <c r="H3" s="378">
        <f>'Hypotheses expl'!I3</f>
        <v>45108</v>
      </c>
      <c r="I3" s="378">
        <f>'Hypotheses expl'!J3</f>
        <v>45139</v>
      </c>
      <c r="J3" s="378">
        <f>'Hypotheses expl'!K3</f>
        <v>45170</v>
      </c>
      <c r="K3" s="378">
        <f>'Hypotheses expl'!L3</f>
        <v>45200</v>
      </c>
      <c r="L3" s="378">
        <f>'Hypotheses expl'!M3</f>
        <v>45231</v>
      </c>
      <c r="M3" s="378">
        <f>'Hypotheses expl'!N3</f>
        <v>45261</v>
      </c>
    </row>
    <row r="4" ht="15">
      <c r="A4" s="379" t="s">
        <v>373</v>
      </c>
      <c r="B4" s="350">
        <v>4941.9200000000001</v>
      </c>
      <c r="C4" s="380">
        <v>1453733.3100000001</v>
      </c>
      <c r="D4" s="380">
        <v>928304.43999999994</v>
      </c>
      <c r="E4" s="380">
        <v>910308.21999999997</v>
      </c>
      <c r="F4" s="380">
        <v>425012.41999999998</v>
      </c>
      <c r="G4" s="380">
        <v>324305</v>
      </c>
      <c r="H4" s="380">
        <v>166231</v>
      </c>
      <c r="I4" s="380">
        <v>54175</v>
      </c>
      <c r="J4" s="380">
        <v>90800.399999999994</v>
      </c>
      <c r="K4" s="380">
        <f t="shared" ref="K4:M4" si="298">+J144</f>
        <v>-18583.326150533278</v>
      </c>
      <c r="L4" s="380">
        <f t="shared" si="298"/>
        <v>-35735.552941066533</v>
      </c>
      <c r="M4" s="380">
        <f t="shared" si="298"/>
        <v>-133104.43986359978</v>
      </c>
    </row>
    <row r="5" s="36" customFormat="1">
      <c r="B5" s="375"/>
      <c r="C5" s="375"/>
      <c r="D5" s="375"/>
      <c r="E5" s="375"/>
      <c r="F5" s="375"/>
      <c r="G5" s="375"/>
      <c r="H5" s="375"/>
      <c r="I5" s="381"/>
      <c r="J5" s="381"/>
      <c r="K5" s="382">
        <v>138000</v>
      </c>
      <c r="L5" s="381"/>
      <c r="M5" s="381"/>
    </row>
    <row r="6" s="383" customFormat="1">
      <c r="A6" s="384" t="s">
        <v>363</v>
      </c>
      <c r="B6" s="385">
        <f>B7+B23+B39+B40+B41+B42</f>
        <v>1331.1916666666666</v>
      </c>
      <c r="C6" s="385">
        <f>C7+C23+C39+C40+C41+C42</f>
        <v>1459331.1916666667</v>
      </c>
      <c r="D6" s="385"/>
      <c r="E6" s="385">
        <f t="shared" ref="E6:L6" si="299">E7+E23+E39+E40+E41+E42</f>
        <v>42121.236666666664</v>
      </c>
      <c r="F6" s="385">
        <f t="shared" si="299"/>
        <v>26346.666666666668</v>
      </c>
      <c r="G6" s="385">
        <f t="shared" si="299"/>
        <v>81730.666666666672</v>
      </c>
      <c r="H6" s="385">
        <f t="shared" si="299"/>
        <v>39816.666666666664</v>
      </c>
      <c r="I6" s="385">
        <f t="shared" si="299"/>
        <v>36756.666666666664</v>
      </c>
      <c r="J6" s="385">
        <f t="shared" si="299"/>
        <v>33933.666666666664</v>
      </c>
      <c r="K6" s="385">
        <f t="shared" si="299"/>
        <v>143607.40666666668</v>
      </c>
      <c r="L6" s="385">
        <f t="shared" si="299"/>
        <v>51912.666666666672</v>
      </c>
      <c r="M6" s="385">
        <f>M7+M23+M39+M40+M41+M42</f>
        <v>84372.666666666672</v>
      </c>
      <c r="N6" s="36"/>
      <c r="O6" s="36"/>
      <c r="P6" s="36"/>
      <c r="Q6" s="36"/>
      <c r="R6" s="36"/>
      <c r="S6" s="36"/>
      <c r="T6" s="36"/>
      <c r="U6" s="36"/>
      <c r="V6" s="36"/>
      <c r="W6" s="36"/>
      <c r="X6" s="36"/>
      <c r="Y6" s="36"/>
      <c r="Z6" s="36"/>
      <c r="AA6" s="36"/>
      <c r="AB6" s="36"/>
      <c r="AC6" s="36"/>
      <c r="AD6" s="36"/>
      <c r="AE6" s="36"/>
      <c r="AF6" s="36"/>
      <c r="AG6" s="36"/>
      <c r="AH6" s="36"/>
      <c r="AI6" s="36"/>
      <c r="AJ6" s="36"/>
      <c r="AK6" s="36"/>
      <c r="AL6" s="36"/>
      <c r="AM6" s="36"/>
      <c r="AN6" s="36"/>
    </row>
    <row r="7" s="386" customFormat="1">
      <c r="A7" s="387" t="s">
        <v>364</v>
      </c>
      <c r="B7" s="388">
        <f>SUM(B8:B22)</f>
        <v>0</v>
      </c>
      <c r="C7" s="388">
        <f t="shared" ref="C7:M7" si="300">SUM(C8:C22)</f>
        <v>0</v>
      </c>
      <c r="D7" s="388">
        <f t="shared" si="300"/>
        <v>0</v>
      </c>
      <c r="E7" s="388">
        <f t="shared" si="300"/>
        <v>41269.290000000001</v>
      </c>
      <c r="F7" s="388">
        <f t="shared" si="300"/>
        <v>25680</v>
      </c>
      <c r="G7" s="388">
        <f t="shared" si="300"/>
        <v>78104</v>
      </c>
      <c r="H7" s="388">
        <f t="shared" si="300"/>
        <v>36650</v>
      </c>
      <c r="I7" s="388">
        <f t="shared" si="300"/>
        <v>36090</v>
      </c>
      <c r="J7" s="388">
        <f t="shared" si="300"/>
        <v>33267</v>
      </c>
      <c r="K7" s="388">
        <f t="shared" si="300"/>
        <v>115140.74000000001</v>
      </c>
      <c r="L7" s="388">
        <f t="shared" si="300"/>
        <v>34246</v>
      </c>
      <c r="M7" s="388">
        <f t="shared" si="300"/>
        <v>77706</v>
      </c>
      <c r="N7" s="63"/>
      <c r="O7" s="63"/>
      <c r="P7" s="63"/>
      <c r="Q7" s="63"/>
      <c r="R7" s="63"/>
      <c r="S7" s="63"/>
      <c r="T7" s="63"/>
      <c r="U7" s="63"/>
      <c r="V7" s="63"/>
      <c r="W7" s="63"/>
      <c r="X7" s="63"/>
      <c r="Y7" s="63"/>
      <c r="Z7" s="63"/>
      <c r="AA7" s="63"/>
      <c r="AB7" s="63"/>
      <c r="AC7" s="63"/>
      <c r="AD7" s="63"/>
      <c r="AE7" s="63"/>
      <c r="AF7" s="63"/>
      <c r="AG7" s="63"/>
      <c r="AH7" s="63"/>
      <c r="AI7" s="63"/>
      <c r="AJ7" s="63"/>
      <c r="AK7" s="63"/>
      <c r="AL7" s="63"/>
      <c r="AM7" s="63"/>
      <c r="AN7" s="63"/>
    </row>
    <row r="8" outlineLevel="1">
      <c r="A8" s="389" t="str">
        <f>'Compte résultat prévi'!A7</f>
        <v xml:space="preserve">Droits d'inscription</v>
      </c>
      <c r="B8" s="390">
        <f>IF('Hypotheses expl'!$P$10="0j",'Hypotheses expl'!C10,IF('Hypotheses expl'!$P$10="30j",'Hypotheses expl'!B10,'Hypotheses expl'!A10))</f>
        <v>0</v>
      </c>
      <c r="C8" s="390">
        <f>IF('Hypotheses expl'!$P$10="0j",'Hypotheses expl'!D10,IF('Hypotheses expl'!$P$10="30j",'Hypotheses expl'!C10,'Hypotheses expl'!B10))</f>
        <v>0</v>
      </c>
      <c r="D8" s="390">
        <f>IF('Hypotheses expl'!$P$10="0j",'Hypotheses expl'!E10,IF('Hypotheses expl'!$P$10="30j",'Hypotheses expl'!D10,'Hypotheses expl'!C10))</f>
        <v>0</v>
      </c>
      <c r="E8" s="390">
        <v>770</v>
      </c>
      <c r="F8" s="390">
        <f>IF('Hypotheses expl'!$P$10="0j",'Hypotheses expl'!G10,IF('Hypotheses expl'!$P$10="30j",'Hypotheses expl'!F10,'Hypotheses expl'!E10))</f>
        <v>0</v>
      </c>
      <c r="G8" s="390">
        <f>IF('Hypotheses expl'!$P$10="0j",'Hypotheses expl'!H10,IF('Hypotheses expl'!$P$10="30j",'Hypotheses expl'!G10,'Hypotheses expl'!F10))</f>
        <v>0</v>
      </c>
      <c r="H8" s="390">
        <f>IF('Hypotheses expl'!$P$10="0j",'Hypotheses expl'!I10,IF('Hypotheses expl'!$P$10="30j",'Hypotheses expl'!H10,'Hypotheses expl'!G10))</f>
        <v>0</v>
      </c>
      <c r="I8" s="390">
        <v>36090</v>
      </c>
      <c r="J8" s="390">
        <v>33267</v>
      </c>
      <c r="K8" s="390">
        <v>0</v>
      </c>
      <c r="L8" s="390">
        <f>IF('Hypotheses expl'!$P$10="0j",'Hypotheses expl'!M10,IF('Hypotheses expl'!$P$10="30j",'Hypotheses expl'!L10,'Hypotheses expl'!K10))</f>
        <v>14630</v>
      </c>
      <c r="M8" s="390">
        <f>IF('Hypotheses expl'!$P$10="0j",'Hypotheses expl'!N10,IF('Hypotheses expl'!$P$10="30j",'Hypotheses expl'!M10,'Hypotheses expl'!L10))</f>
        <v>0</v>
      </c>
    </row>
    <row r="9" outlineLevel="1">
      <c r="A9" s="389" t="str">
        <f>'Compte résultat prévi'!A8</f>
        <v xml:space="preserve">Frais de selection</v>
      </c>
      <c r="B9" s="390">
        <f>IF('Hypotheses expl'!$P$14="0j",'Hypotheses expl'!C14,IF('Hypotheses expl'!$P$14="30j",'Hypotheses expl'!B14,'Hypotheses expl'!A14))</f>
        <v>0</v>
      </c>
      <c r="C9" s="390">
        <f>IF('Hypotheses expl'!$P$14="0j",'Hypotheses expl'!D14,IF('Hypotheses expl'!$P$14="30j",'Hypotheses expl'!C14,'Hypotheses expl'!B14))</f>
        <v>0</v>
      </c>
      <c r="D9" s="390">
        <f>IF('Hypotheses expl'!$P$14="0j",'Hypotheses expl'!E14,IF('Hypotheses expl'!$P$14="30j",'Hypotheses expl'!D14,'Hypotheses expl'!C14))</f>
        <v>0</v>
      </c>
      <c r="E9" s="390">
        <v>600</v>
      </c>
      <c r="F9" s="390">
        <f>IF('Hypotheses expl'!$P$14="0j",'Hypotheses expl'!G14,IF('Hypotheses expl'!$P$14="30j",'Hypotheses expl'!F14,'Hypotheses expl'!E14))</f>
        <v>25680</v>
      </c>
      <c r="G9" s="390">
        <v>18731</v>
      </c>
      <c r="H9" s="390">
        <f>IF('Hypotheses expl'!$P$14="0j",'Hypotheses expl'!I14,IF('Hypotheses expl'!$P$14="30j",'Hypotheses expl'!H14,'Hypotheses expl'!G14))</f>
        <v>0</v>
      </c>
      <c r="I9" s="390">
        <f>IF('Hypotheses expl'!$P$14="0j",'Hypotheses expl'!J14,IF('Hypotheses expl'!$P$14="30j",'Hypotheses expl'!I14,'Hypotheses expl'!H14))</f>
        <v>0</v>
      </c>
      <c r="J9" s="390">
        <f>IF('Hypotheses expl'!$P$14="0j",'Hypotheses expl'!K14,IF('Hypotheses expl'!$P$14="30j",'Hypotheses expl'!J14,'Hypotheses expl'!I14))</f>
        <v>0</v>
      </c>
      <c r="K9" s="390">
        <f>IF('Hypotheses expl'!$P$14="0j",'Hypotheses expl'!L14,IF('Hypotheses expl'!$P$14="30j",'Hypotheses expl'!K14,'Hypotheses expl'!J14))</f>
        <v>0</v>
      </c>
      <c r="L9" s="390">
        <f>IF('Hypotheses expl'!$P$14="0j",'Hypotheses expl'!M14,IF('Hypotheses expl'!$P$14="30j",'Hypotheses expl'!L14,'Hypotheses expl'!K14))</f>
        <v>0</v>
      </c>
      <c r="M9" s="390">
        <f>IF('Hypotheses expl'!$P$14="0j",'Hypotheses expl'!N14,IF('Hypotheses expl'!$P$14="30j",'Hypotheses expl'!M14,'Hypotheses expl'!L14))</f>
        <v>0</v>
      </c>
    </row>
    <row r="10" outlineLevel="1">
      <c r="A10" s="389" t="str">
        <f>'Compte résultat prévi'!A9</f>
        <v xml:space="preserve">Conventions formation (CAFERUIS, ALEFPA, Prepa, CNFPT, GAP, Formation perm)</v>
      </c>
      <c r="B10" s="390">
        <f>IF('Hypotheses expl'!$P$18="0j",'Hypotheses expl'!C18,IF('Hypotheses expl'!$P$18="30j",'Hypotheses expl'!B18,'Hypotheses expl'!A18))</f>
        <v>0</v>
      </c>
      <c r="C10" s="390">
        <f>IF('Hypotheses expl'!$P$18="0j",'Hypotheses expl'!D18,IF('Hypotheses expl'!$P$18="30j",'Hypotheses expl'!C18,'Hypotheses expl'!B18))</f>
        <v>0</v>
      </c>
      <c r="D10" s="390">
        <f>IF('Hypotheses expl'!$P$18="0j",'Hypotheses expl'!E18,IF('Hypotheses expl'!$P$18="30j",'Hypotheses expl'!D18,'Hypotheses expl'!C18))</f>
        <v>0</v>
      </c>
      <c r="E10" s="390">
        <v>18671.790000000001</v>
      </c>
      <c r="F10" s="390">
        <f>IF('Hypotheses expl'!$P$18="0j",'Hypotheses expl'!G18,IF('Hypotheses expl'!$P$18="30j",'Hypotheses expl'!F18,'Hypotheses expl'!E18))</f>
        <v>0</v>
      </c>
      <c r="G10" s="390">
        <v>4876</v>
      </c>
      <c r="H10" s="390">
        <v>35000</v>
      </c>
      <c r="I10" s="390">
        <f>IF('Hypotheses expl'!$P$18="0j",'Hypotheses expl'!J18,IF('Hypotheses expl'!$P$18="30j",'Hypotheses expl'!I18,'Hypotheses expl'!H18))</f>
        <v>0</v>
      </c>
      <c r="J10" s="390">
        <v>0</v>
      </c>
      <c r="K10" s="390">
        <v>21922</v>
      </c>
      <c r="L10" s="390">
        <v>19616</v>
      </c>
      <c r="M10" s="390">
        <v>10000</v>
      </c>
    </row>
    <row r="11" outlineLevel="1">
      <c r="A11" s="389" t="str">
        <f>'Compte résultat prévi'!A10</f>
        <v xml:space="preserve">Conventions formation CAFERUISE</v>
      </c>
      <c r="B11" s="390">
        <f>IF('Hypotheses expl'!$P$22="0j",'Hypotheses expl'!C22,IF('Hypotheses expl'!$P$22="30j",'Hypotheses expl'!B22,'Hypotheses expl'!A22))</f>
        <v>0</v>
      </c>
      <c r="C11" s="390">
        <f>IF('Hypotheses expl'!$P$22="0j",'Hypotheses expl'!D22,IF('Hypotheses expl'!$P$22="30j",'Hypotheses expl'!C22,'Hypotheses expl'!B22))</f>
        <v>0</v>
      </c>
      <c r="D11" s="390">
        <f>IF('Hypotheses expl'!$P$22="0j",'Hypotheses expl'!E22,IF('Hypotheses expl'!$P$22="30j",'Hypotheses expl'!D22,'Hypotheses expl'!C22))</f>
        <v>0</v>
      </c>
      <c r="E11" s="390">
        <f>IF('Hypotheses expl'!$P$22="0j",'Hypotheses expl'!F22,IF('Hypotheses expl'!$P$22="30j",'Hypotheses expl'!E22,'Hypotheses expl'!D22))</f>
        <v>0</v>
      </c>
      <c r="F11" s="390">
        <f>IF('Hypotheses expl'!$P$22="0j",'Hypotheses expl'!G22,IF('Hypotheses expl'!$P$22="30j",'Hypotheses expl'!F22,'Hypotheses expl'!E22))</f>
        <v>0</v>
      </c>
      <c r="G11" s="390">
        <f>IF('Hypotheses expl'!$P$22="0j",'Hypotheses expl'!H22,IF('Hypotheses expl'!$P$22="30j",'Hypotheses expl'!G22,'Hypotheses expl'!F22))</f>
        <v>0</v>
      </c>
      <c r="H11" s="390">
        <f>IF('Hypotheses expl'!$P$22="0j",'Hypotheses expl'!I22,IF('Hypotheses expl'!$P$22="30j",'Hypotheses expl'!H22,'Hypotheses expl'!G22))</f>
        <v>0</v>
      </c>
      <c r="I11" s="390">
        <f>IF('Hypotheses expl'!$P$22="0j",'Hypotheses expl'!J22,IF('Hypotheses expl'!$P$22="30j",'Hypotheses expl'!I22,'Hypotheses expl'!H22))</f>
        <v>0</v>
      </c>
      <c r="J11" s="390">
        <f>IF('Hypotheses expl'!$P$22="0j",'Hypotheses expl'!K22,IF('Hypotheses expl'!$P$22="30j",'Hypotheses expl'!J22,'Hypotheses expl'!I22))</f>
        <v>0</v>
      </c>
      <c r="K11" s="390">
        <f>IF('Hypotheses expl'!$P$22="0j",'Hypotheses expl'!L22,IF('Hypotheses expl'!$P$22="30j",'Hypotheses expl'!K22,'Hypotheses expl'!J22))</f>
        <v>0</v>
      </c>
      <c r="L11" s="390">
        <f>IF('Hypotheses expl'!$P$22="0j",'Hypotheses expl'!M22,IF('Hypotheses expl'!$P$22="30j",'Hypotheses expl'!L22,'Hypotheses expl'!K22))</f>
        <v>0</v>
      </c>
      <c r="M11" s="390">
        <f>IF('Hypotheses expl'!$P$22="0j",'Hypotheses expl'!N22,IF('Hypotheses expl'!$P$22="30j",'Hypotheses expl'!M22,'Hypotheses expl'!L22))</f>
        <v>0</v>
      </c>
    </row>
    <row r="12" outlineLevel="1">
      <c r="A12" s="389" t="str">
        <f>'Compte résultat prévi'!A11</f>
        <v>Apprentissage</v>
      </c>
      <c r="B12" s="390">
        <f>IF('Hypotheses expl'!$P$26="0j",'Hypotheses expl'!C26,IF('Hypotheses expl'!$P$26="30j",'Hypotheses expl'!B26,'Hypotheses expl'!A26))</f>
        <v>0</v>
      </c>
      <c r="C12" s="390"/>
      <c r="D12" s="390">
        <f>IF('Hypotheses expl'!$P$26="0j",'Hypotheses expl'!E26,IF('Hypotheses expl'!$P$26="30j",'Hypotheses expl'!D26,'Hypotheses expl'!C26))</f>
        <v>0</v>
      </c>
      <c r="E12" s="390">
        <v>19387.5</v>
      </c>
      <c r="F12" s="390">
        <f>IF('Hypotheses expl'!$P$26="0j",'Hypotheses expl'!G26,IF('Hypotheses expl'!$P$26="30j",'Hypotheses expl'!F26,'Hypotheses expl'!E26))</f>
        <v>0</v>
      </c>
      <c r="G12" s="390">
        <v>54497</v>
      </c>
      <c r="H12" s="390">
        <f>IF('Hypotheses expl'!$P$26="0j",'Hypotheses expl'!I26,IF('Hypotheses expl'!$P$26="30j",'Hypotheses expl'!H26,'Hypotheses expl'!G26))</f>
        <v>0</v>
      </c>
      <c r="I12" s="390">
        <f>IF('Hypotheses expl'!$P$26="0j",'Hypotheses expl'!J26,IF('Hypotheses expl'!$P$26="30j",'Hypotheses expl'!I26,'Hypotheses expl'!H26))</f>
        <v>0</v>
      </c>
      <c r="J12" s="390">
        <f>IF('Hypotheses expl'!$P$26="0j",'Hypotheses expl'!K26,IF('Hypotheses expl'!$P$26="30j",'Hypotheses expl'!J26,'Hypotheses expl'!I26))</f>
        <v>0</v>
      </c>
      <c r="K12" s="390">
        <v>93218.740000000005</v>
      </c>
      <c r="L12" s="390">
        <f>IF('Hypotheses expl'!$P$26="0j",'Hypotheses expl'!M26,IF('Hypotheses expl'!$P$26="30j",'Hypotheses expl'!L26,'Hypotheses expl'!K26))</f>
        <v>0</v>
      </c>
      <c r="M12" s="390">
        <f>IF('Hypotheses expl'!$P$26="0j",'Hypotheses expl'!N26,IF('Hypotheses expl'!$P$26="30j",'Hypotheses expl'!M26,'Hypotheses expl'!L26))</f>
        <v>4306</v>
      </c>
    </row>
    <row r="13" outlineLevel="1">
      <c r="A13" s="389" t="str">
        <f>'Compte résultat prévi'!A12</f>
        <v>VAE</v>
      </c>
      <c r="B13" s="390">
        <f>IF('Hypotheses expl'!$P$30="0j",'Hypotheses expl'!C30,IF('Hypotheses expl'!$P$30="30j",'Hypotheses expl'!B30,'Hypotheses expl'!A30))</f>
        <v>0</v>
      </c>
      <c r="C13" s="390">
        <f>IF('Hypotheses expl'!$P$30="0j",'Hypotheses expl'!D30,IF('Hypotheses expl'!$P$30="30j",'Hypotheses expl'!C30,'Hypotheses expl'!B30))</f>
        <v>0</v>
      </c>
      <c r="D13" s="390">
        <f>IF('Hypotheses expl'!$P$30="0j",'Hypotheses expl'!E30,IF('Hypotheses expl'!$P$30="30j",'Hypotheses expl'!D30,'Hypotheses expl'!C30))</f>
        <v>0</v>
      </c>
      <c r="E13" s="390">
        <f>IF('Hypotheses expl'!$P$30="0j",'Hypotheses expl'!F30,IF('Hypotheses expl'!$P$30="30j",'Hypotheses expl'!E30,'Hypotheses expl'!D30))</f>
        <v>0</v>
      </c>
      <c r="F13" s="390">
        <f>IF('Hypotheses expl'!$P$30="0j",'Hypotheses expl'!G30,IF('Hypotheses expl'!$P$30="30j",'Hypotheses expl'!F30,'Hypotheses expl'!E30))</f>
        <v>0</v>
      </c>
      <c r="G13" s="390">
        <v>0</v>
      </c>
      <c r="H13" s="390">
        <v>1650</v>
      </c>
      <c r="I13" s="390">
        <f>IF('Hypotheses expl'!$P$30="0j",'Hypotheses expl'!J30,IF('Hypotheses expl'!$P$30="30j",'Hypotheses expl'!I30,'Hypotheses expl'!H30))</f>
        <v>0</v>
      </c>
      <c r="J13" s="390">
        <f>IF('Hypotheses expl'!$P$30="0j",'Hypotheses expl'!K30,IF('Hypotheses expl'!$P$30="30j",'Hypotheses expl'!J30,'Hypotheses expl'!I30))</f>
        <v>0</v>
      </c>
      <c r="K13" s="390">
        <f>IF('Hypotheses expl'!$P$30="0j",'Hypotheses expl'!L30,IF('Hypotheses expl'!$P$30="30j",'Hypotheses expl'!K30,'Hypotheses expl'!J30))</f>
        <v>0</v>
      </c>
      <c r="L13" s="390">
        <f>IF('Hypotheses expl'!$P$30="0j",'Hypotheses expl'!M30,IF('Hypotheses expl'!$P$30="30j",'Hypotheses expl'!L30,'Hypotheses expl'!K30))</f>
        <v>0</v>
      </c>
      <c r="M13" s="390">
        <f>IF('Hypotheses expl'!$P$30="0j",'Hypotheses expl'!N30,IF('Hypotheses expl'!$P$30="30j",'Hypotheses expl'!M30,'Hypotheses expl'!L30))</f>
        <v>33000</v>
      </c>
    </row>
    <row r="14" outlineLevel="1">
      <c r="A14" s="389" t="str">
        <f>'Compte résultat prévi'!A13</f>
        <v xml:space="preserve">Formation continue - micro formation</v>
      </c>
      <c r="B14" s="390">
        <f>IF('Hypotheses expl'!$P$34="0j",'Hypotheses expl'!C34,IF('Hypotheses expl'!$P$34="30j",'Hypotheses expl'!B34,'Hypotheses expl'!A34))</f>
        <v>0</v>
      </c>
      <c r="C14" s="390">
        <f>IF('Hypotheses expl'!$P$34="0j",'Hypotheses expl'!D34,IF('Hypotheses expl'!$P$34="30j",'Hypotheses expl'!C34,'Hypotheses expl'!B34))</f>
        <v>0</v>
      </c>
      <c r="D14" s="390">
        <f>IF('Hypotheses expl'!$P$34="0j",'Hypotheses expl'!E34,IF('Hypotheses expl'!$P$34="30j",'Hypotheses expl'!D34,'Hypotheses expl'!C34))</f>
        <v>0</v>
      </c>
      <c r="E14" s="390">
        <f>460+460+920</f>
        <v>1840</v>
      </c>
      <c r="F14" s="390">
        <f>IF('Hypotheses expl'!$P$34="0j",'Hypotheses expl'!G34,IF('Hypotheses expl'!$P$34="30j",'Hypotheses expl'!F34,'Hypotheses expl'!E34))</f>
        <v>0</v>
      </c>
      <c r="G14" s="390">
        <f>IF('Hypotheses expl'!$P$34="0j",'Hypotheses expl'!H34,IF('Hypotheses expl'!$P$34="30j",'Hypotheses expl'!G34,'Hypotheses expl'!F34))</f>
        <v>0</v>
      </c>
      <c r="H14" s="390">
        <f>IF('Hypotheses expl'!$P$34="0j",'Hypotheses expl'!I34,IF('Hypotheses expl'!$P$34="30j",'Hypotheses expl'!H34,'Hypotheses expl'!G34))</f>
        <v>0</v>
      </c>
      <c r="I14" s="390">
        <f>IF('Hypotheses expl'!$P$34="0j",'Hypotheses expl'!J34,IF('Hypotheses expl'!$P$34="30j",'Hypotheses expl'!I34,'Hypotheses expl'!H34))</f>
        <v>0</v>
      </c>
      <c r="J14" s="390">
        <f>IF('Hypotheses expl'!$P$34="0j",'Hypotheses expl'!K34,IF('Hypotheses expl'!$P$34="30j",'Hypotheses expl'!J34,'Hypotheses expl'!I34))</f>
        <v>0</v>
      </c>
      <c r="K14" s="390">
        <f>IF('Hypotheses expl'!$P$34="0j",'Hypotheses expl'!L34,IF('Hypotheses expl'!$P$34="30j",'Hypotheses expl'!K34,'Hypotheses expl'!J34))</f>
        <v>0</v>
      </c>
      <c r="L14" s="390">
        <f>IF('Hypotheses expl'!$P$34="0j",'Hypotheses expl'!M34,IF('Hypotheses expl'!$P$34="30j",'Hypotheses expl'!L34,'Hypotheses expl'!K34))</f>
        <v>0</v>
      </c>
      <c r="M14" s="390">
        <f>IF('Hypotheses expl'!$P$34="0j",'Hypotheses expl'!N34,IF('Hypotheses expl'!$P$34="30j",'Hypotheses expl'!M34,'Hypotheses expl'!L34))</f>
        <v>0</v>
      </c>
    </row>
    <row r="15" outlineLevel="1">
      <c r="A15" s="389" t="str">
        <f>'Compte résultat prévi'!A14</f>
        <v>DSB</v>
      </c>
      <c r="B15" s="390">
        <f>IF('Hypotheses expl'!$P$38="0j",'Hypotheses expl'!C38,IF('Hypotheses expl'!$P$38="30j",'Hypotheses expl'!B38,'Hypotheses expl'!A38))</f>
        <v>0</v>
      </c>
      <c r="C15" s="390">
        <f>IF('Hypotheses expl'!$P$38="0j",'Hypotheses expl'!D38,IF('Hypotheses expl'!$P$38="30j",'Hypotheses expl'!C38,'Hypotheses expl'!B38))</f>
        <v>0</v>
      </c>
      <c r="D15" s="390">
        <f>IF('Hypotheses expl'!$P$38="0j",'Hypotheses expl'!E38,IF('Hypotheses expl'!$P$38="30j",'Hypotheses expl'!D38,'Hypotheses expl'!C38))</f>
        <v>0</v>
      </c>
      <c r="E15" s="390">
        <f>IF('Hypotheses expl'!$P$38="0j",'Hypotheses expl'!F38,IF('Hypotheses expl'!$P$38="30j",'Hypotheses expl'!E38,'Hypotheses expl'!D38))</f>
        <v>0</v>
      </c>
      <c r="F15" s="390">
        <f>IF('Hypotheses expl'!$P$38="0j",'Hypotheses expl'!G38,IF('Hypotheses expl'!$P$38="30j",'Hypotheses expl'!F38,'Hypotheses expl'!E38))</f>
        <v>0</v>
      </c>
      <c r="G15" s="390">
        <f>IF('Hypotheses expl'!$P$38="0j",'Hypotheses expl'!H38,IF('Hypotheses expl'!$P$38="30j",'Hypotheses expl'!G38,'Hypotheses expl'!F38))</f>
        <v>0</v>
      </c>
      <c r="H15" s="390">
        <f>IF('Hypotheses expl'!$P$38="0j",'Hypotheses expl'!I38,IF('Hypotheses expl'!$P$38="30j",'Hypotheses expl'!H38,'Hypotheses expl'!G38))</f>
        <v>0</v>
      </c>
      <c r="I15" s="390">
        <f>IF('Hypotheses expl'!$P$38="0j",'Hypotheses expl'!J38,IF('Hypotheses expl'!$P$38="30j",'Hypotheses expl'!I38,'Hypotheses expl'!H38))</f>
        <v>0</v>
      </c>
      <c r="J15" s="390">
        <f>IF('Hypotheses expl'!$P$38="0j",'Hypotheses expl'!K38,IF('Hypotheses expl'!$P$38="30j",'Hypotheses expl'!J38,'Hypotheses expl'!I38))</f>
        <v>0</v>
      </c>
      <c r="K15" s="390">
        <f>IF('Hypotheses expl'!$P$38="0j",'Hypotheses expl'!L38,IF('Hypotheses expl'!$P$38="30j",'Hypotheses expl'!K38,'Hypotheses expl'!J38))</f>
        <v>0</v>
      </c>
      <c r="L15" s="390">
        <f>IF('Hypotheses expl'!$P$38="0j",'Hypotheses expl'!M38,IF('Hypotheses expl'!$P$38="30j",'Hypotheses expl'!L38,'Hypotheses expl'!K38))</f>
        <v>0</v>
      </c>
      <c r="M15" s="390">
        <f>IF('Hypotheses expl'!$P$38="0j",'Hypotheses expl'!N38,IF('Hypotheses expl'!$P$38="30j",'Hypotheses expl'!M38,'Hypotheses expl'!L38))</f>
        <v>8400</v>
      </c>
    </row>
    <row r="16" outlineLevel="1">
      <c r="A16" s="389" t="str">
        <f>'Compte résultat prévi'!A15</f>
        <v xml:space="preserve">Autres segments de CA</v>
      </c>
      <c r="B16" s="390">
        <f>IF('Hypotheses expl'!$P$42="0j",'Hypotheses expl'!C42,IF('Hypotheses expl'!$P$42="30j",'Hypotheses expl'!B42,'Hypotheses expl'!A42))</f>
        <v>0</v>
      </c>
      <c r="C16" s="390">
        <f>IF('Hypotheses expl'!$P$42="0j",'Hypotheses expl'!D42,IF('Hypotheses expl'!$P$42="30j",'Hypotheses expl'!C42,'Hypotheses expl'!B42))</f>
        <v>0</v>
      </c>
      <c r="D16" s="390">
        <f>IF('Hypotheses expl'!$P$42="0j",'Hypotheses expl'!E42,IF('Hypotheses expl'!$P$42="30j",'Hypotheses expl'!D42,'Hypotheses expl'!C42))</f>
        <v>0</v>
      </c>
      <c r="E16" s="390">
        <f>IF('Hypotheses expl'!$P$42="0j",'Hypotheses expl'!F42,IF('Hypotheses expl'!$P$42="30j",'Hypotheses expl'!E42,'Hypotheses expl'!D42))</f>
        <v>0</v>
      </c>
      <c r="F16" s="390">
        <f>IF('Hypotheses expl'!$P$42="0j",'Hypotheses expl'!G42,IF('Hypotheses expl'!$P$42="30j",'Hypotheses expl'!F42,'Hypotheses expl'!E42))</f>
        <v>0</v>
      </c>
      <c r="G16" s="390">
        <f>IF('Hypotheses expl'!$P$42="0j",'Hypotheses expl'!H42,IF('Hypotheses expl'!$P$42="30j",'Hypotheses expl'!G42,'Hypotheses expl'!F42))</f>
        <v>0</v>
      </c>
      <c r="H16" s="390">
        <f>IF('Hypotheses expl'!$P$42="0j",'Hypotheses expl'!I42,IF('Hypotheses expl'!$P$42="30j",'Hypotheses expl'!H42,'Hypotheses expl'!G42))</f>
        <v>0</v>
      </c>
      <c r="I16" s="390">
        <f>IF('Hypotheses expl'!$P$42="0j",'Hypotheses expl'!J42,IF('Hypotheses expl'!$P$42="30j",'Hypotheses expl'!I42,'Hypotheses expl'!H42))</f>
        <v>0</v>
      </c>
      <c r="J16" s="390">
        <f>IF('Hypotheses expl'!$P$42="0j",'Hypotheses expl'!K42,IF('Hypotheses expl'!$P$42="30j",'Hypotheses expl'!J42,'Hypotheses expl'!I42))</f>
        <v>0</v>
      </c>
      <c r="K16" s="390">
        <f>IF('Hypotheses expl'!$P$42="0j",'Hypotheses expl'!L42,IF('Hypotheses expl'!$P$42="30j",'Hypotheses expl'!K42,'Hypotheses expl'!J42))</f>
        <v>0</v>
      </c>
      <c r="L16" s="390">
        <f>IF('Hypotheses expl'!$P$42="0j",'Hypotheses expl'!M42,IF('Hypotheses expl'!$P$42="30j",'Hypotheses expl'!L42,'Hypotheses expl'!K42))</f>
        <v>0</v>
      </c>
      <c r="M16" s="390">
        <f>IF('Hypotheses expl'!$P$42="0j",'Hypotheses expl'!N42,IF('Hypotheses expl'!$P$42="30j",'Hypotheses expl'!M42,'Hypotheses expl'!L42))</f>
        <v>0</v>
      </c>
    </row>
    <row r="17" outlineLevel="1">
      <c r="A17" s="389" t="str">
        <f>'Compte résultat prévi'!A16</f>
        <v>Cotisations</v>
      </c>
      <c r="B17" s="390">
        <f>IF('Hypotheses expl'!$P$46="0j",'Hypotheses expl'!C46,IF('Hypotheses expl'!$P$46="30j",'Hypotheses expl'!B46,'Hypotheses expl'!A46))</f>
        <v>0</v>
      </c>
      <c r="C17" s="390">
        <f>IF('Hypotheses expl'!$P$46="0j",'Hypotheses expl'!D46,IF('Hypotheses expl'!$P$46="30j",'Hypotheses expl'!C46,'Hypotheses expl'!B46))</f>
        <v>0</v>
      </c>
      <c r="D17" s="390">
        <f>IF('Hypotheses expl'!$P$46="0j",'Hypotheses expl'!E46,IF('Hypotheses expl'!$P$46="30j",'Hypotheses expl'!D46,'Hypotheses expl'!C46))</f>
        <v>0</v>
      </c>
      <c r="E17" s="390">
        <f>IF('Hypotheses expl'!$P$46="0j",'Hypotheses expl'!F46,IF('Hypotheses expl'!$P$46="30j",'Hypotheses expl'!E46,'Hypotheses expl'!D46))</f>
        <v>0</v>
      </c>
      <c r="F17" s="390">
        <f>IF('Hypotheses expl'!$P$46="0j",'Hypotheses expl'!G46,IF('Hypotheses expl'!$P$46="30j",'Hypotheses expl'!F46,'Hypotheses expl'!E46))</f>
        <v>0</v>
      </c>
      <c r="G17" s="390">
        <f>IF('Hypotheses expl'!$P$46="0j",'Hypotheses expl'!H46,IF('Hypotheses expl'!$P$46="30j",'Hypotheses expl'!G46,'Hypotheses expl'!F46))</f>
        <v>0</v>
      </c>
      <c r="H17" s="390">
        <f>IF('Hypotheses expl'!$P$46="0j",'Hypotheses expl'!I46,IF('Hypotheses expl'!$P$46="30j",'Hypotheses expl'!H46,'Hypotheses expl'!G46))</f>
        <v>0</v>
      </c>
      <c r="I17" s="390">
        <f>IF('Hypotheses expl'!$P$46="0j",'Hypotheses expl'!J46,IF('Hypotheses expl'!$P$46="30j",'Hypotheses expl'!I46,'Hypotheses expl'!H46))</f>
        <v>0</v>
      </c>
      <c r="J17" s="390">
        <f>IF('Hypotheses expl'!$P$46="0j",'Hypotheses expl'!K46,IF('Hypotheses expl'!$P$46="30j",'Hypotheses expl'!J46,'Hypotheses expl'!I46))</f>
        <v>0</v>
      </c>
      <c r="K17" s="390">
        <f>IF('Hypotheses expl'!$P$46="0j",'Hypotheses expl'!L46,IF('Hypotheses expl'!$P$46="30j",'Hypotheses expl'!K46,'Hypotheses expl'!J46))</f>
        <v>0</v>
      </c>
      <c r="L17" s="390">
        <f>IF('Hypotheses expl'!$P$46="0j",'Hypotheses expl'!M46,IF('Hypotheses expl'!$P$46="30j",'Hypotheses expl'!L46,'Hypotheses expl'!K46))</f>
        <v>0</v>
      </c>
      <c r="M17" s="390">
        <f>IF('Hypotheses expl'!$P$46="0j",'Hypotheses expl'!N46,IF('Hypotheses expl'!$P$46="30j",'Hypotheses expl'!M46,'Hypotheses expl'!L46))</f>
        <v>0</v>
      </c>
    </row>
    <row r="18" outlineLevel="1">
      <c r="A18" s="389" t="str">
        <f>'Compte résultat prévi'!A17</f>
        <v xml:space="preserve">Remboursement frais site Avion</v>
      </c>
      <c r="B18" s="390">
        <f>IF('Hypotheses expl'!$P$50="0j",'Hypotheses expl'!C50,IF('Hypotheses expl'!$P$50="30j",'Hypotheses expl'!B50,'Hypotheses expl'!A50))</f>
        <v>0</v>
      </c>
      <c r="C18" s="390">
        <f>IF('Hypotheses expl'!$P$50="0j",'Hypotheses expl'!D50,IF('Hypotheses expl'!$P$50="30j",'Hypotheses expl'!C50,'Hypotheses expl'!B50))</f>
        <v>0</v>
      </c>
      <c r="D18" s="390">
        <f>IF('Hypotheses expl'!$P$50="0j",'Hypotheses expl'!E50,IF('Hypotheses expl'!$P$50="30j",'Hypotheses expl'!D50,'Hypotheses expl'!C50))</f>
        <v>0</v>
      </c>
      <c r="E18" s="390">
        <f>IF('Hypotheses expl'!$P$50="0j",'Hypotheses expl'!F50,IF('Hypotheses expl'!$P$50="30j",'Hypotheses expl'!E50,'Hypotheses expl'!D50))</f>
        <v>0</v>
      </c>
      <c r="F18" s="390">
        <f>IF('Hypotheses expl'!$P$50="0j",'Hypotheses expl'!G50,IF('Hypotheses expl'!$P$50="30j",'Hypotheses expl'!F50,'Hypotheses expl'!E50))</f>
        <v>0</v>
      </c>
      <c r="G18" s="390">
        <f>IF('Hypotheses expl'!$P$50="0j",'Hypotheses expl'!H50,IF('Hypotheses expl'!$P$50="30j",'Hypotheses expl'!G50,'Hypotheses expl'!F50))</f>
        <v>0</v>
      </c>
      <c r="H18" s="390">
        <v>0</v>
      </c>
      <c r="I18" s="390">
        <f>IF('Hypotheses expl'!$P$50="0j",'Hypotheses expl'!J50,IF('Hypotheses expl'!$P$50="30j",'Hypotheses expl'!I50,'Hypotheses expl'!H50))</f>
        <v>0</v>
      </c>
      <c r="J18" s="390">
        <f>IF('Hypotheses expl'!$P$50="0j",'Hypotheses expl'!K50,IF('Hypotheses expl'!$P$50="30j",'Hypotheses expl'!J50,'Hypotheses expl'!I50))</f>
        <v>0</v>
      </c>
      <c r="K18" s="390">
        <v>0</v>
      </c>
      <c r="L18" s="390">
        <v>0</v>
      </c>
      <c r="M18" s="390">
        <v>22000</v>
      </c>
    </row>
    <row r="19" hidden="1" outlineLevel="1">
      <c r="A19" s="389" t="e">
        <f t="shared" ref="A19:A22" si="301">'Compte résultat prévi'!#REF!</f>
        <v>#REF!</v>
      </c>
      <c r="B19" s="390">
        <f>IF('Hypotheses expl'!$P$54="0j",'Hypotheses expl'!C54,IF('Hypotheses expl'!$P$54="30j",'Hypotheses expl'!B54,'Hypotheses expl'!A54))</f>
        <v>0</v>
      </c>
      <c r="C19" s="390">
        <f>IF('Hypotheses expl'!$P$54="0j",'Hypotheses expl'!D54,IF('Hypotheses expl'!$P$54="30j",'Hypotheses expl'!C54,'Hypotheses expl'!B54))</f>
        <v>0</v>
      </c>
      <c r="D19" s="390">
        <f>IF('Hypotheses expl'!$P$54="0j",'Hypotheses expl'!E54,IF('Hypotheses expl'!$P$54="30j",'Hypotheses expl'!D54,'Hypotheses expl'!C54))</f>
        <v>0</v>
      </c>
      <c r="E19" s="390">
        <f>IF('Hypotheses expl'!$P$54="0j",'Hypotheses expl'!F54,IF('Hypotheses expl'!$P$54="30j",'Hypotheses expl'!E54,'Hypotheses expl'!D54))</f>
        <v>0</v>
      </c>
      <c r="F19" s="390">
        <f>IF('Hypotheses expl'!$P$54="0j",'Hypotheses expl'!G54,IF('Hypotheses expl'!$P$54="30j",'Hypotheses expl'!F54,'Hypotheses expl'!E54))</f>
        <v>0</v>
      </c>
      <c r="G19" s="390">
        <f>IF('Hypotheses expl'!$P$54="0j",'Hypotheses expl'!H54,IF('Hypotheses expl'!$P$54="30j",'Hypotheses expl'!G54,'Hypotheses expl'!F54))</f>
        <v>0</v>
      </c>
      <c r="H19" s="390">
        <f>IF('Hypotheses expl'!$P$54="0j",'Hypotheses expl'!I54,IF('Hypotheses expl'!$P$54="30j",'Hypotheses expl'!H54,'Hypotheses expl'!G54))</f>
        <v>0</v>
      </c>
      <c r="I19" s="390">
        <f>IF('Hypotheses expl'!$P$54="0j",'Hypotheses expl'!J54,IF('Hypotheses expl'!$P$54="30j",'Hypotheses expl'!I54,'Hypotheses expl'!H54))</f>
        <v>0</v>
      </c>
      <c r="J19" s="390">
        <f>IF('Hypotheses expl'!$P$54="0j",'Hypotheses expl'!K54,IF('Hypotheses expl'!$P$54="30j",'Hypotheses expl'!J54,'Hypotheses expl'!I54))</f>
        <v>0</v>
      </c>
      <c r="K19" s="390">
        <f>IF('Hypotheses expl'!$P$54="0j",'Hypotheses expl'!L54,IF('Hypotheses expl'!$P$54="30j",'Hypotheses expl'!K54,'Hypotheses expl'!J54))</f>
        <v>0</v>
      </c>
      <c r="L19" s="390">
        <f>IF('Hypotheses expl'!$P$54="0j",'Hypotheses expl'!M54,IF('Hypotheses expl'!$P$54="30j",'Hypotheses expl'!L54,'Hypotheses expl'!K54))</f>
        <v>0</v>
      </c>
      <c r="M19" s="390">
        <f>IF('Hypotheses expl'!$P$54="0j",'Hypotheses expl'!N54,IF('Hypotheses expl'!$P$54="30j",'Hypotheses expl'!M54,'Hypotheses expl'!L54))</f>
        <v>0</v>
      </c>
    </row>
    <row r="20" hidden="1" outlineLevel="1">
      <c r="A20" s="389" t="e">
        <f t="shared" si="301"/>
        <v>#REF!</v>
      </c>
      <c r="B20" s="390">
        <f>IF('Hypotheses expl'!$P$58="0j",'Hypotheses expl'!C58,IF('Hypotheses expl'!$P$58="30j",'Hypotheses expl'!B58,'Hypotheses expl'!A58))</f>
        <v>0</v>
      </c>
      <c r="C20" s="390">
        <f>IF('Hypotheses expl'!$P$58="0j",'Hypotheses expl'!D58,IF('Hypotheses expl'!$P$58="30j",'Hypotheses expl'!C58,'Hypotheses expl'!B58))</f>
        <v>0</v>
      </c>
      <c r="D20" s="390">
        <f>IF('Hypotheses expl'!$P$58="0j",'Hypotheses expl'!E58,IF('Hypotheses expl'!$P$58="30j",'Hypotheses expl'!D58,'Hypotheses expl'!C58))</f>
        <v>0</v>
      </c>
      <c r="E20" s="390">
        <f>IF('Hypotheses expl'!$P$58="0j",'Hypotheses expl'!F58,IF('Hypotheses expl'!$P$58="30j",'Hypotheses expl'!E58,'Hypotheses expl'!D58))</f>
        <v>0</v>
      </c>
      <c r="F20" s="390">
        <f>IF('Hypotheses expl'!$P$58="0j",'Hypotheses expl'!G58,IF('Hypotheses expl'!$P$58="30j",'Hypotheses expl'!F58,'Hypotheses expl'!E58))</f>
        <v>0</v>
      </c>
      <c r="G20" s="390">
        <f>IF('Hypotheses expl'!$P$58="0j",'Hypotheses expl'!H58,IF('Hypotheses expl'!$P$58="30j",'Hypotheses expl'!G58,'Hypotheses expl'!F58))</f>
        <v>0</v>
      </c>
      <c r="H20" s="390">
        <f>IF('Hypotheses expl'!$P$58="0j",'Hypotheses expl'!I58,IF('Hypotheses expl'!$P$58="30j",'Hypotheses expl'!H58,'Hypotheses expl'!G58))</f>
        <v>0</v>
      </c>
      <c r="I20" s="390">
        <f>IF('Hypotheses expl'!$P$58="0j",'Hypotheses expl'!J58,IF('Hypotheses expl'!$P$58="30j",'Hypotheses expl'!I58,'Hypotheses expl'!H58))</f>
        <v>0</v>
      </c>
      <c r="J20" s="390">
        <f>IF('Hypotheses expl'!$P$58="0j",'Hypotheses expl'!K58,IF('Hypotheses expl'!$P$58="30j",'Hypotheses expl'!J58,'Hypotheses expl'!I58))</f>
        <v>0</v>
      </c>
      <c r="K20" s="390">
        <f>IF('Hypotheses expl'!$P$58="0j",'Hypotheses expl'!L58,IF('Hypotheses expl'!$P$58="30j",'Hypotheses expl'!K58,'Hypotheses expl'!J58))</f>
        <v>0</v>
      </c>
      <c r="L20" s="390">
        <f>IF('Hypotheses expl'!$P$58="0j",'Hypotheses expl'!M58,IF('Hypotheses expl'!$P$58="30j",'Hypotheses expl'!L58,'Hypotheses expl'!K58))</f>
        <v>0</v>
      </c>
      <c r="M20" s="390">
        <f>IF('Hypotheses expl'!$P$58="0j",'Hypotheses expl'!N58,IF('Hypotheses expl'!$P$58="30j",'Hypotheses expl'!M58,'Hypotheses expl'!L58))</f>
        <v>0</v>
      </c>
    </row>
    <row r="21" hidden="1" outlineLevel="1">
      <c r="A21" s="389" t="e">
        <f t="shared" si="301"/>
        <v>#REF!</v>
      </c>
      <c r="B21" s="390">
        <f>IF('Hypotheses expl'!$P$62="0j",'Hypotheses expl'!C62,IF('Hypotheses expl'!$P$62="30j",'Hypotheses expl'!B62,'Hypotheses expl'!A62))</f>
        <v>0</v>
      </c>
      <c r="C21" s="390">
        <f>IF('Hypotheses expl'!$P$62="0j",'Hypotheses expl'!D62,IF('Hypotheses expl'!$P$62="30j",'Hypotheses expl'!C62,'Hypotheses expl'!B62))</f>
        <v>0</v>
      </c>
      <c r="D21" s="390">
        <f>IF('Hypotheses expl'!$P$62="0j",'Hypotheses expl'!E62,IF('Hypotheses expl'!$P$62="30j",'Hypotheses expl'!D62,'Hypotheses expl'!C62))</f>
        <v>0</v>
      </c>
      <c r="E21" s="390">
        <f>IF('Hypotheses expl'!$P$62="0j",'Hypotheses expl'!F62,IF('Hypotheses expl'!$P$62="30j",'Hypotheses expl'!E62,'Hypotheses expl'!D62))</f>
        <v>0</v>
      </c>
      <c r="F21" s="390">
        <f>IF('Hypotheses expl'!$P$62="0j",'Hypotheses expl'!G62,IF('Hypotheses expl'!$P$62="30j",'Hypotheses expl'!F62,'Hypotheses expl'!E62))</f>
        <v>0</v>
      </c>
      <c r="G21" s="390">
        <f>IF('Hypotheses expl'!$P$62="0j",'Hypotheses expl'!H62,IF('Hypotheses expl'!$P$62="30j",'Hypotheses expl'!G62,'Hypotheses expl'!F62))</f>
        <v>0</v>
      </c>
      <c r="H21" s="390">
        <f>IF('Hypotheses expl'!$P$62="0j",'Hypotheses expl'!I62,IF('Hypotheses expl'!$P$62="30j",'Hypotheses expl'!H62,'Hypotheses expl'!G62))</f>
        <v>0</v>
      </c>
      <c r="I21" s="390">
        <f>IF('Hypotheses expl'!$P$62="0j",'Hypotheses expl'!J62,IF('Hypotheses expl'!$P$62="30j",'Hypotheses expl'!I62,'Hypotheses expl'!H62))</f>
        <v>0</v>
      </c>
      <c r="J21" s="390">
        <f>IF('Hypotheses expl'!$P$62="0j",'Hypotheses expl'!K62,IF('Hypotheses expl'!$P$62="30j",'Hypotheses expl'!J62,'Hypotheses expl'!I62))</f>
        <v>0</v>
      </c>
      <c r="K21" s="390">
        <f>IF('Hypotheses expl'!$P$62="0j",'Hypotheses expl'!L62,IF('Hypotheses expl'!$P$62="30j",'Hypotheses expl'!K62,'Hypotheses expl'!J62))</f>
        <v>0</v>
      </c>
      <c r="L21" s="390">
        <f>IF('Hypotheses expl'!$P$62="0j",'Hypotheses expl'!M62,IF('Hypotheses expl'!$P$62="30j",'Hypotheses expl'!L62,'Hypotheses expl'!K62))</f>
        <v>0</v>
      </c>
      <c r="M21" s="390">
        <f>IF('Hypotheses expl'!$P$62="0j",'Hypotheses expl'!N62,IF('Hypotheses expl'!$P$62="30j",'Hypotheses expl'!M62,'Hypotheses expl'!L62))</f>
        <v>0</v>
      </c>
    </row>
    <row r="22" hidden="1" outlineLevel="1">
      <c r="A22" s="389" t="e">
        <f t="shared" si="301"/>
        <v>#REF!</v>
      </c>
      <c r="B22" s="390">
        <f>IF('Hypotheses expl'!$P$66="0j",'Hypotheses expl'!C66,IF('Hypotheses expl'!$P$66="30j",'Hypotheses expl'!B66,'Hypotheses expl'!A66))</f>
        <v>0</v>
      </c>
      <c r="C22" s="390">
        <f>IF('Hypotheses expl'!$P$66="0j",'Hypotheses expl'!D66,IF('Hypotheses expl'!$P$66="30j",'Hypotheses expl'!C66,'Hypotheses expl'!B66))</f>
        <v>0</v>
      </c>
      <c r="D22" s="390">
        <f>IF('Hypotheses expl'!$P$66="0j",'Hypotheses expl'!E66,IF('Hypotheses expl'!$P$66="30j",'Hypotheses expl'!D66,'Hypotheses expl'!C66))</f>
        <v>0</v>
      </c>
      <c r="E22" s="390">
        <f>IF('Hypotheses expl'!$P$66="0j",'Hypotheses expl'!F66,IF('Hypotheses expl'!$P$66="30j",'Hypotheses expl'!E66,'Hypotheses expl'!D66))</f>
        <v>0</v>
      </c>
      <c r="F22" s="390">
        <f>IF('Hypotheses expl'!$P$66="0j",'Hypotheses expl'!G66,IF('Hypotheses expl'!$P$66="30j",'Hypotheses expl'!F66,'Hypotheses expl'!E66))</f>
        <v>0</v>
      </c>
      <c r="G22" s="390">
        <f>IF('Hypotheses expl'!$P$66="0j",'Hypotheses expl'!H66,IF('Hypotheses expl'!$P$66="30j",'Hypotheses expl'!G66,'Hypotheses expl'!F66))</f>
        <v>0</v>
      </c>
      <c r="H22" s="390">
        <f>IF('Hypotheses expl'!$P$66="0j",'Hypotheses expl'!I66,IF('Hypotheses expl'!$P$66="30j",'Hypotheses expl'!H66,'Hypotheses expl'!G66))</f>
        <v>0</v>
      </c>
      <c r="I22" s="390">
        <f>IF('Hypotheses expl'!$P$66="0j",'Hypotheses expl'!J66,IF('Hypotheses expl'!$P$66="30j",'Hypotheses expl'!I66,'Hypotheses expl'!H66))</f>
        <v>0</v>
      </c>
      <c r="J22" s="390">
        <f>IF('Hypotheses expl'!$P$66="0j",'Hypotheses expl'!K66,IF('Hypotheses expl'!$P$66="30j",'Hypotheses expl'!J66,'Hypotheses expl'!I66))</f>
        <v>0</v>
      </c>
      <c r="K22" s="390">
        <f>IF('Hypotheses expl'!$P$66="0j",'Hypotheses expl'!L66,IF('Hypotheses expl'!$P$66="30j",'Hypotheses expl'!K66,'Hypotheses expl'!J66))</f>
        <v>0</v>
      </c>
      <c r="L22" s="390">
        <f>IF('Hypotheses expl'!$P$66="0j",'Hypotheses expl'!M66,IF('Hypotheses expl'!$P$66="30j",'Hypotheses expl'!L66,'Hypotheses expl'!K66))</f>
        <v>0</v>
      </c>
      <c r="M22" s="390">
        <f>IF('Hypotheses expl'!$P$66="0j",'Hypotheses expl'!N66,IF('Hypotheses expl'!$P$66="30j",'Hypotheses expl'!M66,'Hypotheses expl'!L66))</f>
        <v>0</v>
      </c>
    </row>
    <row r="23" s="386" customFormat="1">
      <c r="A23" s="387" t="str">
        <f>'Compte résultat prévi'!A18</f>
        <v xml:space="preserve">Subventions d'exploitation</v>
      </c>
      <c r="B23" s="388">
        <f>SUM(B24:B38)</f>
        <v>1331.1916666666666</v>
      </c>
      <c r="C23" s="388">
        <f t="shared" ref="C23:H23" si="302">SUM(C24:C38)</f>
        <v>1459331.1916666667</v>
      </c>
      <c r="D23" s="388">
        <f t="shared" si="302"/>
        <v>1331.1916666666666</v>
      </c>
      <c r="E23" s="388">
        <f t="shared" si="302"/>
        <v>666.66666666666663</v>
      </c>
      <c r="F23" s="388">
        <f t="shared" si="302"/>
        <v>666.66666666666663</v>
      </c>
      <c r="G23" s="388">
        <f t="shared" si="302"/>
        <v>666.66666666666663</v>
      </c>
      <c r="H23" s="388">
        <f t="shared" si="302"/>
        <v>3166.6666666666665</v>
      </c>
      <c r="I23" s="388">
        <f>SUM(I24:I38)</f>
        <v>666.66666666666663</v>
      </c>
      <c r="J23" s="388">
        <f t="shared" ref="J23:M23" si="303">SUM(J24:J38)</f>
        <v>666.66666666666663</v>
      </c>
      <c r="K23" s="388">
        <f t="shared" si="303"/>
        <v>28466.666666666668</v>
      </c>
      <c r="L23" s="388">
        <f t="shared" si="303"/>
        <v>17666.666666666668</v>
      </c>
      <c r="M23" s="388">
        <f t="shared" si="303"/>
        <v>666.66666666666663</v>
      </c>
      <c r="N23" s="63"/>
      <c r="O23" s="63"/>
      <c r="P23" s="63"/>
      <c r="Q23" s="63"/>
      <c r="R23" s="63"/>
      <c r="S23" s="63"/>
      <c r="T23" s="63"/>
      <c r="U23" s="63"/>
      <c r="V23" s="63"/>
      <c r="W23" s="63"/>
      <c r="X23" s="63"/>
      <c r="Y23" s="63"/>
      <c r="Z23" s="63"/>
      <c r="AA23" s="63"/>
      <c r="AB23" s="63"/>
      <c r="AC23" s="63"/>
      <c r="AD23" s="63"/>
      <c r="AE23" s="63"/>
      <c r="AF23" s="63"/>
      <c r="AG23" s="63"/>
      <c r="AH23" s="63"/>
      <c r="AI23" s="63"/>
      <c r="AJ23" s="63"/>
      <c r="AK23" s="63"/>
      <c r="AL23" s="63"/>
      <c r="AM23" s="63"/>
      <c r="AN23" s="63"/>
    </row>
    <row r="24" outlineLevel="1">
      <c r="A24" s="389" t="str">
        <f>'Compte résultat prévi'!A19</f>
        <v>Région</v>
      </c>
      <c r="B24" s="390">
        <f>'Hypotheses expl'!C70</f>
        <v>0</v>
      </c>
      <c r="C24" s="390">
        <f>'Hypotheses expl'!D70</f>
        <v>1458000</v>
      </c>
      <c r="D24" s="390">
        <f>'Hypotheses expl'!E70</f>
        <v>0</v>
      </c>
      <c r="E24" s="390">
        <f>'Hypotheses expl'!F70</f>
        <v>0</v>
      </c>
      <c r="F24" s="390">
        <f>'Hypotheses expl'!G70</f>
        <v>0</v>
      </c>
      <c r="G24" s="390">
        <f>'Hypotheses expl'!H70</f>
        <v>0</v>
      </c>
      <c r="H24" s="390"/>
      <c r="I24" s="390">
        <f>'Hypotheses expl'!J70</f>
        <v>0</v>
      </c>
      <c r="J24" s="390">
        <v>0</v>
      </c>
      <c r="K24" s="390">
        <f>'Hypotheses expl'!L70</f>
        <v>0</v>
      </c>
      <c r="L24" s="390">
        <v>12000</v>
      </c>
      <c r="M24" s="390">
        <v>0</v>
      </c>
    </row>
    <row r="25" outlineLevel="1">
      <c r="A25" s="389" t="str">
        <f>'Compte résultat prévi'!A20</f>
        <v>Département</v>
      </c>
      <c r="B25" s="390">
        <f>'Hypotheses expl'!C71</f>
        <v>0</v>
      </c>
      <c r="C25" s="390">
        <f>'Hypotheses expl'!D71</f>
        <v>0</v>
      </c>
      <c r="D25" s="390">
        <f>'Hypotheses expl'!E71</f>
        <v>0</v>
      </c>
      <c r="E25" s="390">
        <f>'Hypotheses expl'!F71</f>
        <v>0</v>
      </c>
      <c r="F25" s="390">
        <f>'Hypotheses expl'!G71</f>
        <v>0</v>
      </c>
      <c r="G25" s="390">
        <f>'Hypotheses expl'!H71</f>
        <v>0</v>
      </c>
      <c r="H25" s="390">
        <f>'Hypotheses expl'!I71</f>
        <v>0</v>
      </c>
      <c r="I25" s="390">
        <f>'Hypotheses expl'!J71</f>
        <v>0</v>
      </c>
      <c r="J25" s="390">
        <f>'Hypotheses expl'!K71</f>
        <v>0</v>
      </c>
      <c r="K25" s="390">
        <f>'Hypotheses expl'!L71</f>
        <v>0</v>
      </c>
      <c r="L25" s="390">
        <f>'Hypotheses expl'!M71</f>
        <v>0</v>
      </c>
      <c r="M25" s="390">
        <f>'Hypotheses expl'!N71</f>
        <v>0</v>
      </c>
    </row>
    <row r="26" outlineLevel="1">
      <c r="A26" s="389" t="str">
        <f>'Compte résultat prévi'!A21</f>
        <v>Communes</v>
      </c>
      <c r="B26" s="390">
        <f>'Hypotheses expl'!C72</f>
        <v>0</v>
      </c>
      <c r="C26" s="390">
        <f>'Hypotheses expl'!D72</f>
        <v>0</v>
      </c>
      <c r="D26" s="390">
        <f>'Hypotheses expl'!E72</f>
        <v>0</v>
      </c>
      <c r="E26" s="390">
        <f>'Hypotheses expl'!F72</f>
        <v>0</v>
      </c>
      <c r="F26" s="390">
        <f>'Hypotheses expl'!G72</f>
        <v>0</v>
      </c>
      <c r="G26" s="390">
        <f>'Hypotheses expl'!H72</f>
        <v>0</v>
      </c>
      <c r="H26" s="390">
        <f>'Hypotheses expl'!I72</f>
        <v>0</v>
      </c>
      <c r="I26" s="390">
        <f>'Hypotheses expl'!J72</f>
        <v>0</v>
      </c>
      <c r="J26" s="390">
        <v>0</v>
      </c>
      <c r="K26" s="390">
        <v>27800</v>
      </c>
      <c r="L26" s="390">
        <f>'Hypotheses expl'!M72</f>
        <v>0</v>
      </c>
      <c r="M26" s="390">
        <f>'Hypotheses expl'!N72</f>
        <v>0</v>
      </c>
    </row>
    <row r="27" outlineLevel="1">
      <c r="A27" s="389" t="str">
        <f>'Compte résultat prévi'!A22</f>
        <v xml:space="preserve">Autres financeurs</v>
      </c>
      <c r="B27" s="390">
        <f>'Hypotheses expl'!C73</f>
        <v>0</v>
      </c>
      <c r="C27" s="390">
        <f>'Hypotheses expl'!D73</f>
        <v>0</v>
      </c>
      <c r="D27" s="390">
        <f>'Hypotheses expl'!E73</f>
        <v>0</v>
      </c>
      <c r="E27" s="390">
        <f>'Hypotheses expl'!F73</f>
        <v>0</v>
      </c>
      <c r="F27" s="390">
        <f>'Hypotheses expl'!G73</f>
        <v>0</v>
      </c>
      <c r="G27" s="390">
        <f>'Hypotheses expl'!H73</f>
        <v>0</v>
      </c>
      <c r="H27" s="390">
        <v>2500</v>
      </c>
      <c r="I27" s="390">
        <f>'Hypotheses expl'!J73</f>
        <v>0</v>
      </c>
      <c r="J27" s="390">
        <f>'Hypotheses expl'!K73</f>
        <v>0</v>
      </c>
      <c r="K27" s="390">
        <f>'Hypotheses expl'!L73</f>
        <v>0</v>
      </c>
      <c r="L27" s="390">
        <f>'Hypotheses expl'!M73</f>
        <v>5000</v>
      </c>
      <c r="M27" s="390">
        <f>'Hypotheses expl'!N73</f>
        <v>0</v>
      </c>
    </row>
    <row r="28" outlineLevel="1">
      <c r="A28" s="389" t="str">
        <f>'Compte résultat prévi'!A23</f>
        <v xml:space="preserve">Aides à l'emploi</v>
      </c>
      <c r="B28" s="390">
        <f>'Hypotheses expl'!C74</f>
        <v>664.52499999999998</v>
      </c>
      <c r="C28" s="390">
        <f>'Hypotheses expl'!D74</f>
        <v>664.52499999999998</v>
      </c>
      <c r="D28" s="390">
        <f>'Hypotheses expl'!E74</f>
        <v>664.52499999999998</v>
      </c>
      <c r="E28" s="390">
        <f>'Hypotheses expl'!F74</f>
        <v>0</v>
      </c>
      <c r="F28" s="390">
        <f>'Hypotheses expl'!G74</f>
        <v>0</v>
      </c>
      <c r="G28" s="390">
        <f>'Hypotheses expl'!H74</f>
        <v>0</v>
      </c>
      <c r="H28" s="390">
        <f>'Hypotheses expl'!I74</f>
        <v>0</v>
      </c>
      <c r="I28" s="390">
        <f>'Hypotheses expl'!J74</f>
        <v>0</v>
      </c>
      <c r="J28" s="390">
        <f>'Hypotheses expl'!K74</f>
        <v>0</v>
      </c>
      <c r="K28" s="390">
        <f>'Hypotheses expl'!L74</f>
        <v>0</v>
      </c>
      <c r="L28" s="390">
        <f>'Hypotheses expl'!M74</f>
        <v>0</v>
      </c>
      <c r="M28" s="390">
        <f>'Hypotheses expl'!N74</f>
        <v>0</v>
      </c>
    </row>
    <row r="29" outlineLevel="1">
      <c r="A29" s="389" t="str">
        <f>'Compte résultat prévi'!A24</f>
        <v xml:space="preserve">Aide apprentissage</v>
      </c>
      <c r="B29" s="390">
        <f>'Hypotheses expl'!C75</f>
        <v>666.66666666666663</v>
      </c>
      <c r="C29" s="390">
        <f>'Hypotheses expl'!D75</f>
        <v>666.66666666666663</v>
      </c>
      <c r="D29" s="390">
        <f>'Hypotheses expl'!E75</f>
        <v>666.66666666666663</v>
      </c>
      <c r="E29" s="390">
        <f>'Hypotheses expl'!F75</f>
        <v>666.66666666666663</v>
      </c>
      <c r="F29" s="390">
        <f>'Hypotheses expl'!G75</f>
        <v>666.66666666666663</v>
      </c>
      <c r="G29" s="390">
        <f>'Hypotheses expl'!H75</f>
        <v>666.66666666666663</v>
      </c>
      <c r="H29" s="390">
        <f>'Hypotheses expl'!I75</f>
        <v>666.66666666666663</v>
      </c>
      <c r="I29" s="390">
        <f>'Hypotheses expl'!J75</f>
        <v>666.66666666666663</v>
      </c>
      <c r="J29" s="390">
        <f>'Hypotheses expl'!K75</f>
        <v>666.66666666666663</v>
      </c>
      <c r="K29" s="390">
        <f>'Hypotheses expl'!L75</f>
        <v>666.66666666666663</v>
      </c>
      <c r="L29" s="390">
        <f>'Hypotheses expl'!M75</f>
        <v>666.66666666666663</v>
      </c>
      <c r="M29" s="390">
        <f>'Hypotheses expl'!N75</f>
        <v>666.66666666666663</v>
      </c>
    </row>
    <row r="30" hidden="1" outlineLevel="1">
      <c r="A30" s="389" t="str">
        <f>'Compte résultat prévi'!A25</f>
        <v xml:space="preserve">Financeur 7</v>
      </c>
      <c r="B30" s="390">
        <f>'Hypotheses expl'!C76</f>
        <v>0</v>
      </c>
      <c r="C30" s="390">
        <f>'Hypotheses expl'!D76</f>
        <v>0</v>
      </c>
      <c r="D30" s="390">
        <f>'Hypotheses expl'!E76</f>
        <v>0</v>
      </c>
      <c r="E30" s="390">
        <f>'Hypotheses expl'!F76</f>
        <v>0</v>
      </c>
      <c r="F30" s="390">
        <f>'Hypotheses expl'!G76</f>
        <v>0</v>
      </c>
      <c r="G30" s="390">
        <f>'Hypotheses expl'!H76</f>
        <v>0</v>
      </c>
      <c r="H30" s="390">
        <f>'Hypotheses expl'!I76</f>
        <v>0</v>
      </c>
      <c r="I30" s="390">
        <f>'Hypotheses expl'!J76</f>
        <v>0</v>
      </c>
      <c r="J30" s="390">
        <f>'Hypotheses expl'!K76</f>
        <v>0</v>
      </c>
      <c r="K30" s="390">
        <f>'Hypotheses expl'!L76</f>
        <v>0</v>
      </c>
      <c r="L30" s="390">
        <f>'Hypotheses expl'!M76</f>
        <v>0</v>
      </c>
      <c r="M30" s="390">
        <f>'Hypotheses expl'!N76</f>
        <v>0</v>
      </c>
    </row>
    <row r="31" hidden="1" outlineLevel="1">
      <c r="A31" s="389" t="str">
        <f>'Compte résultat prévi'!A26</f>
        <v xml:space="preserve">Financeur 8</v>
      </c>
      <c r="B31" s="390">
        <f>'Hypotheses expl'!C77</f>
        <v>0</v>
      </c>
      <c r="C31" s="390">
        <f>'Hypotheses expl'!D77</f>
        <v>0</v>
      </c>
      <c r="D31" s="390">
        <f>'Hypotheses expl'!E77</f>
        <v>0</v>
      </c>
      <c r="E31" s="390">
        <f>'Hypotheses expl'!F77</f>
        <v>0</v>
      </c>
      <c r="F31" s="390">
        <f>'Hypotheses expl'!G77</f>
        <v>0</v>
      </c>
      <c r="G31" s="390">
        <f>'Hypotheses expl'!H77</f>
        <v>0</v>
      </c>
      <c r="H31" s="390">
        <f>'Hypotheses expl'!I77</f>
        <v>0</v>
      </c>
      <c r="I31" s="390">
        <f>'Hypotheses expl'!J77</f>
        <v>0</v>
      </c>
      <c r="J31" s="390">
        <f>'Hypotheses expl'!K77</f>
        <v>0</v>
      </c>
      <c r="K31" s="390">
        <f>'Hypotheses expl'!L77</f>
        <v>0</v>
      </c>
      <c r="L31" s="390">
        <f>'Hypotheses expl'!M77</f>
        <v>0</v>
      </c>
      <c r="M31" s="390">
        <f>'Hypotheses expl'!N77</f>
        <v>0</v>
      </c>
    </row>
    <row r="32" hidden="1" outlineLevel="1">
      <c r="A32" s="389" t="str">
        <f>'Compte résultat prévi'!A27</f>
        <v xml:space="preserve">Financeur 9</v>
      </c>
      <c r="B32" s="390">
        <f>'Hypotheses expl'!C78</f>
        <v>0</v>
      </c>
      <c r="C32" s="390">
        <f>'Hypotheses expl'!D78</f>
        <v>0</v>
      </c>
      <c r="D32" s="390">
        <f>'Hypotheses expl'!E78</f>
        <v>0</v>
      </c>
      <c r="E32" s="390">
        <f>'Hypotheses expl'!F78</f>
        <v>0</v>
      </c>
      <c r="F32" s="390">
        <f>'Hypotheses expl'!G78</f>
        <v>0</v>
      </c>
      <c r="G32" s="390">
        <f>'Hypotheses expl'!H78</f>
        <v>0</v>
      </c>
      <c r="H32" s="390">
        <f>'Hypotheses expl'!I78</f>
        <v>0</v>
      </c>
      <c r="I32" s="390">
        <f>'Hypotheses expl'!J78</f>
        <v>0</v>
      </c>
      <c r="J32" s="390">
        <f>'Hypotheses expl'!K78</f>
        <v>0</v>
      </c>
      <c r="K32" s="390">
        <f>'Hypotheses expl'!L78</f>
        <v>0</v>
      </c>
      <c r="L32" s="390">
        <f>'Hypotheses expl'!M78</f>
        <v>0</v>
      </c>
      <c r="M32" s="390">
        <f>'Hypotheses expl'!N78</f>
        <v>0</v>
      </c>
    </row>
    <row r="33" hidden="1" outlineLevel="1">
      <c r="A33" s="389" t="str">
        <f>'Compte résultat prévi'!A28</f>
        <v xml:space="preserve">Financeur 10</v>
      </c>
      <c r="B33" s="390">
        <f>'Hypotheses expl'!C79</f>
        <v>0</v>
      </c>
      <c r="C33" s="390">
        <f>'Hypotheses expl'!D79</f>
        <v>0</v>
      </c>
      <c r="D33" s="390">
        <f>'Hypotheses expl'!E79</f>
        <v>0</v>
      </c>
      <c r="E33" s="390">
        <f>'Hypotheses expl'!F79</f>
        <v>0</v>
      </c>
      <c r="F33" s="390">
        <f>'Hypotheses expl'!G79</f>
        <v>0</v>
      </c>
      <c r="G33" s="390">
        <f>'Hypotheses expl'!H79</f>
        <v>0</v>
      </c>
      <c r="H33" s="390">
        <f>'Hypotheses expl'!I79</f>
        <v>0</v>
      </c>
      <c r="I33" s="390">
        <f>'Hypotheses expl'!J79</f>
        <v>0</v>
      </c>
      <c r="J33" s="390">
        <f>'Hypotheses expl'!K79</f>
        <v>0</v>
      </c>
      <c r="K33" s="390">
        <f>'Hypotheses expl'!L79</f>
        <v>0</v>
      </c>
      <c r="L33" s="390">
        <f>'Hypotheses expl'!M79</f>
        <v>0</v>
      </c>
      <c r="M33" s="390">
        <f>'Hypotheses expl'!N79</f>
        <v>0</v>
      </c>
    </row>
    <row r="34" hidden="1" outlineLevel="1">
      <c r="A34" s="389" t="str">
        <f>'Compte résultat prévi'!A29</f>
        <v xml:space="preserve">Financeur 11</v>
      </c>
      <c r="B34" s="390">
        <f>'Hypotheses expl'!C80</f>
        <v>0</v>
      </c>
      <c r="C34" s="390">
        <f>'Hypotheses expl'!D80</f>
        <v>0</v>
      </c>
      <c r="D34" s="390">
        <f>'Hypotheses expl'!E80</f>
        <v>0</v>
      </c>
      <c r="E34" s="390">
        <f>'Hypotheses expl'!F80</f>
        <v>0</v>
      </c>
      <c r="F34" s="390">
        <f>'Hypotheses expl'!G80</f>
        <v>0</v>
      </c>
      <c r="G34" s="390">
        <f>'Hypotheses expl'!H80</f>
        <v>0</v>
      </c>
      <c r="H34" s="390">
        <f>'Hypotheses expl'!I80</f>
        <v>0</v>
      </c>
      <c r="I34" s="390">
        <f>'Hypotheses expl'!J80</f>
        <v>0</v>
      </c>
      <c r="J34" s="390">
        <f>'Hypotheses expl'!K80</f>
        <v>0</v>
      </c>
      <c r="K34" s="390">
        <f>'Hypotheses expl'!L80</f>
        <v>0</v>
      </c>
      <c r="L34" s="390">
        <f>'Hypotheses expl'!M80</f>
        <v>0</v>
      </c>
      <c r="M34" s="390">
        <f>'Hypotheses expl'!N80</f>
        <v>0</v>
      </c>
    </row>
    <row r="35" hidden="1" outlineLevel="1">
      <c r="A35" s="389" t="str">
        <f>'Compte résultat prévi'!A30</f>
        <v xml:space="preserve">Financeur 12</v>
      </c>
      <c r="B35" s="390">
        <f>'Hypotheses expl'!C81</f>
        <v>0</v>
      </c>
      <c r="C35" s="390">
        <f>'Hypotheses expl'!D81</f>
        <v>0</v>
      </c>
      <c r="D35" s="390">
        <f>'Hypotheses expl'!E81</f>
        <v>0</v>
      </c>
      <c r="E35" s="390">
        <f>'Hypotheses expl'!F81</f>
        <v>0</v>
      </c>
      <c r="F35" s="390">
        <f>'Hypotheses expl'!G81</f>
        <v>0</v>
      </c>
      <c r="G35" s="390">
        <f>'Hypotheses expl'!H81</f>
        <v>0</v>
      </c>
      <c r="H35" s="390">
        <f>'Hypotheses expl'!I81</f>
        <v>0</v>
      </c>
      <c r="I35" s="390">
        <f>'Hypotheses expl'!J81</f>
        <v>0</v>
      </c>
      <c r="J35" s="390">
        <f>'Hypotheses expl'!K81</f>
        <v>0</v>
      </c>
      <c r="K35" s="390">
        <f>'Hypotheses expl'!L81</f>
        <v>0</v>
      </c>
      <c r="L35" s="390">
        <f>'Hypotheses expl'!M81</f>
        <v>0</v>
      </c>
      <c r="M35" s="390">
        <f>'Hypotheses expl'!N81</f>
        <v>0</v>
      </c>
    </row>
    <row r="36" hidden="1" outlineLevel="1">
      <c r="A36" s="389" t="str">
        <f>'Compte résultat prévi'!A31</f>
        <v xml:space="preserve">Financeur 13</v>
      </c>
      <c r="B36" s="390">
        <f>'Hypotheses expl'!C82</f>
        <v>0</v>
      </c>
      <c r="C36" s="390">
        <f>'Hypotheses expl'!D82</f>
        <v>0</v>
      </c>
      <c r="D36" s="390">
        <f>'Hypotheses expl'!E82</f>
        <v>0</v>
      </c>
      <c r="E36" s="390">
        <f>'Hypotheses expl'!F82</f>
        <v>0</v>
      </c>
      <c r="F36" s="390">
        <f>'Hypotheses expl'!G82</f>
        <v>0</v>
      </c>
      <c r="G36" s="390">
        <f>'Hypotheses expl'!H82</f>
        <v>0</v>
      </c>
      <c r="H36" s="390">
        <f>'Hypotheses expl'!I82</f>
        <v>0</v>
      </c>
      <c r="I36" s="390">
        <f>'Hypotheses expl'!J82</f>
        <v>0</v>
      </c>
      <c r="J36" s="390">
        <f>'Hypotheses expl'!K82</f>
        <v>0</v>
      </c>
      <c r="K36" s="390">
        <f>'Hypotheses expl'!L82</f>
        <v>0</v>
      </c>
      <c r="L36" s="390">
        <f>'Hypotheses expl'!M82</f>
        <v>0</v>
      </c>
      <c r="M36" s="390">
        <f>'Hypotheses expl'!N82</f>
        <v>0</v>
      </c>
    </row>
    <row r="37" hidden="1" outlineLevel="1">
      <c r="A37" s="389" t="str">
        <f>'Compte résultat prévi'!A32</f>
        <v xml:space="preserve">Financeur 14</v>
      </c>
      <c r="B37" s="390">
        <f>'Hypotheses expl'!C83</f>
        <v>0</v>
      </c>
      <c r="C37" s="390">
        <f>'Hypotheses expl'!D83</f>
        <v>0</v>
      </c>
      <c r="D37" s="390">
        <f>'Hypotheses expl'!E83</f>
        <v>0</v>
      </c>
      <c r="E37" s="390">
        <f>'Hypotheses expl'!F83</f>
        <v>0</v>
      </c>
      <c r="F37" s="390">
        <f>'Hypotheses expl'!G83</f>
        <v>0</v>
      </c>
      <c r="G37" s="390">
        <f>'Hypotheses expl'!H83</f>
        <v>0</v>
      </c>
      <c r="H37" s="390">
        <f>'Hypotheses expl'!I83</f>
        <v>0</v>
      </c>
      <c r="I37" s="390">
        <f>'Hypotheses expl'!J83</f>
        <v>0</v>
      </c>
      <c r="J37" s="390">
        <f>'Hypotheses expl'!K83</f>
        <v>0</v>
      </c>
      <c r="K37" s="390">
        <f>'Hypotheses expl'!L83</f>
        <v>0</v>
      </c>
      <c r="L37" s="390">
        <f>'Hypotheses expl'!M83</f>
        <v>0</v>
      </c>
      <c r="M37" s="390">
        <f>'Hypotheses expl'!N83</f>
        <v>0</v>
      </c>
    </row>
    <row r="38" hidden="1" outlineLevel="1">
      <c r="A38" s="389" t="str">
        <f>'Compte résultat prévi'!A33</f>
        <v xml:space="preserve">Financeur 15</v>
      </c>
      <c r="B38" s="390">
        <f>'Hypotheses expl'!C84</f>
        <v>0</v>
      </c>
      <c r="C38" s="390">
        <f>'Hypotheses expl'!D84</f>
        <v>0</v>
      </c>
      <c r="D38" s="390">
        <f>'Hypotheses expl'!E84</f>
        <v>0</v>
      </c>
      <c r="E38" s="390">
        <f>'Hypotheses expl'!F84</f>
        <v>0</v>
      </c>
      <c r="F38" s="390">
        <f>'Hypotheses expl'!G84</f>
        <v>0</v>
      </c>
      <c r="G38" s="390">
        <f>'Hypotheses expl'!H84</f>
        <v>0</v>
      </c>
      <c r="H38" s="390">
        <f>'Hypotheses expl'!I84</f>
        <v>0</v>
      </c>
      <c r="I38" s="390">
        <f>'Hypotheses expl'!J84</f>
        <v>0</v>
      </c>
      <c r="J38" s="390">
        <f>'Hypotheses expl'!K84</f>
        <v>0</v>
      </c>
      <c r="K38" s="390">
        <f>'Hypotheses expl'!L84</f>
        <v>0</v>
      </c>
      <c r="L38" s="390">
        <f>'Hypotheses expl'!M84</f>
        <v>0</v>
      </c>
      <c r="M38" s="390">
        <f>'Hypotheses expl'!N84</f>
        <v>0</v>
      </c>
    </row>
    <row r="39">
      <c r="A39" s="391" t="s">
        <v>219</v>
      </c>
      <c r="B39" s="388">
        <f>IF('Hypotheses expl'!$P$93="0j",'Hypotheses expl'!C93,IF('Hypotheses expl'!$P$93="30j",'Hypotheses expl'!B93,'Hypotheses expl'!A93))</f>
        <v>0</v>
      </c>
      <c r="C39" s="388">
        <f>IF('Hypotheses expl'!$P$93="0j",'Hypotheses expl'!D93,IF('Hypotheses expl'!$P$93="30j",'Hypotheses expl'!C93,'Hypotheses expl'!B93))</f>
        <v>0</v>
      </c>
      <c r="D39" s="388">
        <f>IF('Hypotheses expl'!$P$93="0j",'Hypotheses expl'!E93,IF('Hypotheses expl'!$P$93="30j",'Hypotheses expl'!D93,'Hypotheses expl'!C93))</f>
        <v>0</v>
      </c>
      <c r="E39" s="388">
        <f>IF('Hypotheses expl'!$P$93="0j",'Hypotheses expl'!F93,IF('Hypotheses expl'!$P$93="30j",'Hypotheses expl'!E93,'Hypotheses expl'!D93))</f>
        <v>0</v>
      </c>
      <c r="F39" s="388">
        <f>IF('Hypotheses expl'!$P$93="0j",'Hypotheses expl'!G93,IF('Hypotheses expl'!$P$93="30j",'Hypotheses expl'!F93,'Hypotheses expl'!E93))</f>
        <v>0</v>
      </c>
      <c r="G39" s="388">
        <f>IF('Hypotheses expl'!$P$93="0j",'Hypotheses expl'!H93,IF('Hypotheses expl'!$P$93="30j",'Hypotheses expl'!G93,'Hypotheses expl'!F93))</f>
        <v>0</v>
      </c>
      <c r="H39" s="388">
        <f>IF('Hypotheses expl'!$P$93="0j",'Hypotheses expl'!I93,IF('Hypotheses expl'!$P$93="30j",'Hypotheses expl'!H93,'Hypotheses expl'!G93))</f>
        <v>0</v>
      </c>
      <c r="I39" s="388">
        <f>IF('Hypotheses expl'!$P$93="0j",'Hypotheses expl'!J93,IF('Hypotheses expl'!$P$93="30j",'Hypotheses expl'!I93,'Hypotheses expl'!H93))</f>
        <v>0</v>
      </c>
      <c r="J39" s="388">
        <f>IF('Hypotheses expl'!$P$93="0j",'Hypotheses expl'!K93,IF('Hypotheses expl'!$P$93="30j",'Hypotheses expl'!J93,'Hypotheses expl'!I93))</f>
        <v>0</v>
      </c>
      <c r="K39" s="388">
        <f>IF('Hypotheses expl'!$P$93="0j",'Hypotheses expl'!L93,IF('Hypotheses expl'!$P$93="30j",'Hypotheses expl'!K93,'Hypotheses expl'!J93))</f>
        <v>0</v>
      </c>
      <c r="L39" s="388">
        <f>IF('Hypotheses expl'!$P$93="0j",'Hypotheses expl'!M93,IF('Hypotheses expl'!$P$93="30j",'Hypotheses expl'!L93,'Hypotheses expl'!K93))</f>
        <v>0</v>
      </c>
      <c r="M39" s="388">
        <f>IF('Hypotheses expl'!$P$93="0j",'Hypotheses expl'!N93,IF('Hypotheses expl'!$P$93="30j",'Hypotheses expl'!M93,'Hypotheses expl'!L93))</f>
        <v>0</v>
      </c>
    </row>
    <row r="40">
      <c r="A40" s="391" t="s">
        <v>221</v>
      </c>
      <c r="B40" s="388">
        <f>IF('Hypotheses expl'!$P$93="0j",'Hypotheses expl'!C95,IF('Hypotheses expl'!$P$93="30j",'Hypotheses expl'!B95,'Hypotheses expl'!A95))</f>
        <v>0</v>
      </c>
      <c r="C40" s="388">
        <f>IF('Hypotheses expl'!$P$93="0j",'Hypotheses expl'!D95,IF('Hypotheses expl'!$P$93="30j",'Hypotheses expl'!C95,'Hypotheses expl'!B95))</f>
        <v>0</v>
      </c>
      <c r="D40" s="388">
        <f>IF('Hypotheses expl'!$P$93="0j",'Hypotheses expl'!E95,IF('Hypotheses expl'!$P$93="30j",'Hypotheses expl'!D95,'Hypotheses expl'!C95))</f>
        <v>0</v>
      </c>
      <c r="E40" s="388">
        <f>IF('Hypotheses expl'!$P$93="0j",'Hypotheses expl'!F95,IF('Hypotheses expl'!$P$93="30j",'Hypotheses expl'!E95,'Hypotheses expl'!D95))</f>
        <v>0</v>
      </c>
      <c r="F40" s="388">
        <f>IF('Hypotheses expl'!$P$93="0j",'Hypotheses expl'!G95,IF('Hypotheses expl'!$P$93="30j",'Hypotheses expl'!F95,'Hypotheses expl'!E95))</f>
        <v>0</v>
      </c>
      <c r="G40" s="388">
        <v>2960</v>
      </c>
      <c r="H40" s="388">
        <f>IF('Hypotheses expl'!$P$93="0j",'Hypotheses expl'!I95,IF('Hypotheses expl'!$P$93="30j",'Hypotheses expl'!H95,'Hypotheses expl'!G95))</f>
        <v>0</v>
      </c>
      <c r="I40" s="388">
        <f>IF('Hypotheses expl'!$P$93="0j",'Hypotheses expl'!J95,IF('Hypotheses expl'!$P$93="30j",'Hypotheses expl'!I95,'Hypotheses expl'!H95))</f>
        <v>0</v>
      </c>
      <c r="J40" s="388">
        <f>IF('Hypotheses expl'!$P$93="0j",'Hypotheses expl'!K95,IF('Hypotheses expl'!$P$93="30j",'Hypotheses expl'!J95,'Hypotheses expl'!I95))</f>
        <v>0</v>
      </c>
      <c r="K40" s="388">
        <f>IF('Hypotheses expl'!$P$93="0j",'Hypotheses expl'!L95,IF('Hypotheses expl'!$P$93="30j",'Hypotheses expl'!K95,'Hypotheses expl'!J95))</f>
        <v>0</v>
      </c>
      <c r="L40" s="388">
        <f>IF('Hypotheses expl'!$P$93="0j",'Hypotheses expl'!M95,IF('Hypotheses expl'!$P$93="30j",'Hypotheses expl'!L95,'Hypotheses expl'!K95))</f>
        <v>0</v>
      </c>
      <c r="M40" s="388">
        <f>IF('Hypotheses expl'!$P$93="0j",'Hypotheses expl'!N95,IF('Hypotheses expl'!$P$93="30j",'Hypotheses expl'!M95,'Hypotheses expl'!L95))</f>
        <v>0</v>
      </c>
    </row>
    <row r="41">
      <c r="A41" s="391" t="s">
        <v>222</v>
      </c>
      <c r="B41" s="388">
        <f>IF('Hypotheses expl'!$P$96="0j",'Hypotheses expl'!C96,IF('Hypotheses expl'!$P$96="30j",'Hypotheses expl'!B96,'Hypotheses expl'!A96))</f>
        <v>0</v>
      </c>
      <c r="C41" s="388">
        <f>IF('Hypotheses expl'!$P$96="0j",'Hypotheses expl'!D96,IF('Hypotheses expl'!$P$96="30j",'Hypotheses expl'!C96,'Hypotheses expl'!B96))</f>
        <v>0</v>
      </c>
      <c r="D41" s="388">
        <f>IF('Hypotheses expl'!$P$96="0j",'Hypotheses expl'!E96,IF('Hypotheses expl'!$P$96="30j",'Hypotheses expl'!D96,'Hypotheses expl'!C96))</f>
        <v>0</v>
      </c>
      <c r="E41" s="388">
        <f>IF('Hypotheses expl'!$P$96="0j",'Hypotheses expl'!F96,IF('Hypotheses expl'!$P$96="30j",'Hypotheses expl'!E96,'Hypotheses expl'!D96))</f>
        <v>0</v>
      </c>
      <c r="F41" s="388">
        <f>IF('Hypotheses expl'!$P$96="0j",'Hypotheses expl'!G96,IF('Hypotheses expl'!$P$96="30j",'Hypotheses expl'!F96,'Hypotheses expl'!E96))</f>
        <v>0</v>
      </c>
      <c r="G41" s="388">
        <f>IF('Hypotheses expl'!$P$96="0j",'Hypotheses expl'!H96,IF('Hypotheses expl'!$P$96="30j",'Hypotheses expl'!G96,'Hypotheses expl'!F96))</f>
        <v>0</v>
      </c>
      <c r="H41" s="388">
        <f>IF('Hypotheses expl'!$P$96="0j",'Hypotheses expl'!I96,IF('Hypotheses expl'!$P$96="30j",'Hypotheses expl'!H96,'Hypotheses expl'!G96))</f>
        <v>0</v>
      </c>
      <c r="I41" s="388">
        <f>IF('Hypotheses expl'!$P$96="0j",'Hypotheses expl'!J96,IF('Hypotheses expl'!$P$96="30j",'Hypotheses expl'!I96,'Hypotheses expl'!H96))</f>
        <v>0</v>
      </c>
      <c r="J41" s="388">
        <f>IF('Hypotheses expl'!$P$96="0j",'Hypotheses expl'!K96,IF('Hypotheses expl'!$P$96="30j",'Hypotheses expl'!J96,'Hypotheses expl'!I96))</f>
        <v>0</v>
      </c>
      <c r="K41" s="388">
        <f>IF('Hypotheses expl'!$P$96="0j",'Hypotheses expl'!L96,IF('Hypotheses expl'!$P$96="30j",'Hypotheses expl'!K96,'Hypotheses expl'!J96))</f>
        <v>0</v>
      </c>
      <c r="L41" s="388">
        <f>IF('Hypotheses expl'!$P$96="0j",'Hypotheses expl'!M96,IF('Hypotheses expl'!$P$96="30j",'Hypotheses expl'!L96,'Hypotheses expl'!K96))</f>
        <v>0</v>
      </c>
      <c r="M41" s="388">
        <f>IF('Hypotheses expl'!$P$96="0j",'Hypotheses expl'!N96,IF('Hypotheses expl'!$P$96="30j",'Hypotheses expl'!M96,'Hypotheses expl'!L96))</f>
        <v>0</v>
      </c>
    </row>
    <row r="42">
      <c r="A42" s="391" t="s">
        <v>223</v>
      </c>
      <c r="B42" s="388">
        <f>IF('Hypotheses expl'!$P$97="0j",'Hypotheses expl'!C97,IF('Hypotheses expl'!$P$97="30j",'Hypotheses expl'!B97,'Hypotheses expl'!A97))</f>
        <v>0</v>
      </c>
      <c r="C42" s="388">
        <f>IF('Hypotheses expl'!$P$97="0j",'Hypotheses expl'!D97,IF('Hypotheses expl'!$P$97="30j",'Hypotheses expl'!C97,'Hypotheses expl'!B97))</f>
        <v>0</v>
      </c>
      <c r="D42" s="388">
        <f>IF('Hypotheses expl'!$P$97="0j",'Hypotheses expl'!E97,IF('Hypotheses expl'!$P$97="30j",'Hypotheses expl'!D97,'Hypotheses expl'!C97))</f>
        <v>0</v>
      </c>
      <c r="E42" s="388">
        <f>92.5+47.04+45.74</f>
        <v>185.28</v>
      </c>
      <c r="F42" s="388">
        <f>IF('Hypotheses expl'!$P$97="0j",'Hypotheses expl'!G97,IF('Hypotheses expl'!$P$97="30j",'Hypotheses expl'!F97,'Hypotheses expl'!E97))</f>
        <v>0</v>
      </c>
      <c r="G42" s="388">
        <f>IF('Hypotheses expl'!$P$97="0j",'Hypotheses expl'!H97,IF('Hypotheses expl'!$P$97="30j",'Hypotheses expl'!G97,'Hypotheses expl'!F97))</f>
        <v>0</v>
      </c>
      <c r="H42" s="388">
        <f>IF('Hypotheses expl'!$P$97="0j",'Hypotheses expl'!I97,IF('Hypotheses expl'!$P$97="30j",'Hypotheses expl'!H97,'Hypotheses expl'!G97))</f>
        <v>0</v>
      </c>
      <c r="I42" s="388">
        <f>IF('Hypotheses expl'!$P$97="0j",'Hypotheses expl'!J97,IF('Hypotheses expl'!$P$97="30j",'Hypotheses expl'!I97,'Hypotheses expl'!H97))</f>
        <v>0</v>
      </c>
      <c r="J42" s="388">
        <f>IF('Hypotheses expl'!$P$97="0j",'Hypotheses expl'!K97,IF('Hypotheses expl'!$P$97="30j",'Hypotheses expl'!J97,'Hypotheses expl'!I97))</f>
        <v>0</v>
      </c>
      <c r="K42" s="388">
        <f>IF('Hypotheses expl'!$P$97="0j",'Hypotheses expl'!L97,IF('Hypotheses expl'!$P$97="30j",'Hypotheses expl'!K97,'Hypotheses expl'!J97))</f>
        <v>0</v>
      </c>
      <c r="L42" s="388">
        <f>IF('Hypotheses expl'!$P$97="0j",'Hypotheses expl'!M97,IF('Hypotheses expl'!$P$97="30j",'Hypotheses expl'!L97,'Hypotheses expl'!K97))</f>
        <v>0</v>
      </c>
      <c r="M42" s="388">
        <f>IF('Hypotheses expl'!$P$97="0j",'Hypotheses expl'!N97,IF('Hypotheses expl'!$P$97="30j",'Hypotheses expl'!M97,'Hypotheses expl'!L97))</f>
        <v>6000</v>
      </c>
    </row>
    <row r="43" s="36" customFormat="1">
      <c r="B43" s="375"/>
      <c r="C43" s="375"/>
      <c r="D43" s="375"/>
      <c r="E43" s="375"/>
      <c r="F43" s="375"/>
      <c r="G43" s="375"/>
      <c r="H43" s="375"/>
      <c r="I43" s="381"/>
      <c r="J43" s="381"/>
      <c r="K43" s="381"/>
      <c r="L43" s="381"/>
      <c r="M43" s="381"/>
    </row>
    <row r="44" s="383" customFormat="1">
      <c r="A44" s="384" t="s">
        <v>365</v>
      </c>
      <c r="B44" s="392">
        <f>SUM(B45:B47)</f>
        <v>0</v>
      </c>
      <c r="C44" s="392">
        <f t="shared" ref="C44:M44" si="304">SUM(C45:C47)</f>
        <v>0</v>
      </c>
      <c r="D44" s="392">
        <f t="shared" si="304"/>
        <v>0</v>
      </c>
      <c r="E44" s="392">
        <f t="shared" si="304"/>
        <v>0</v>
      </c>
      <c r="F44" s="392">
        <f t="shared" si="304"/>
        <v>0</v>
      </c>
      <c r="G44" s="392">
        <f t="shared" si="304"/>
        <v>0</v>
      </c>
      <c r="H44" s="392">
        <f t="shared" si="304"/>
        <v>0</v>
      </c>
      <c r="I44" s="392">
        <f t="shared" si="304"/>
        <v>0</v>
      </c>
      <c r="J44" s="392">
        <f t="shared" si="304"/>
        <v>0</v>
      </c>
      <c r="K44" s="392">
        <f t="shared" si="304"/>
        <v>0</v>
      </c>
      <c r="L44" s="392">
        <f t="shared" si="304"/>
        <v>0</v>
      </c>
      <c r="M44" s="392">
        <f t="shared" si="304"/>
        <v>0</v>
      </c>
      <c r="N44" s="36"/>
      <c r="O44" s="36"/>
      <c r="P44" s="36"/>
      <c r="Q44" s="36"/>
      <c r="R44" s="36"/>
      <c r="S44" s="36"/>
      <c r="T44" s="36"/>
      <c r="U44" s="36"/>
      <c r="V44" s="36"/>
      <c r="W44" s="36"/>
      <c r="X44" s="36"/>
      <c r="Y44" s="36"/>
      <c r="Z44" s="36"/>
      <c r="AA44" s="36"/>
      <c r="AB44" s="36"/>
      <c r="AC44" s="36"/>
      <c r="AD44" s="36"/>
      <c r="AE44" s="36"/>
      <c r="AF44" s="36"/>
      <c r="AG44" s="36"/>
      <c r="AH44" s="36"/>
      <c r="AI44" s="36"/>
      <c r="AJ44" s="36"/>
      <c r="AK44" s="36"/>
      <c r="AL44" s="36"/>
      <c r="AM44" s="36"/>
      <c r="AN44" s="36"/>
    </row>
    <row r="45">
      <c r="A45" s="393" t="s">
        <v>298</v>
      </c>
      <c r="B45" s="394">
        <f>'Hypotheses hors expl'!C5</f>
        <v>0</v>
      </c>
      <c r="C45" s="394">
        <f>'Hypotheses hors expl'!D5</f>
        <v>0</v>
      </c>
      <c r="D45" s="394">
        <f>'Hypotheses hors expl'!E5</f>
        <v>0</v>
      </c>
      <c r="E45" s="394">
        <f>'Hypotheses hors expl'!F5</f>
        <v>0</v>
      </c>
      <c r="F45" s="394">
        <f>'Hypotheses hors expl'!G5</f>
        <v>0</v>
      </c>
      <c r="G45" s="394">
        <f>'Hypotheses hors expl'!H5</f>
        <v>0</v>
      </c>
      <c r="H45" s="394">
        <f>'Hypotheses hors expl'!I5</f>
        <v>0</v>
      </c>
      <c r="I45" s="394">
        <f>'Hypotheses hors expl'!J5</f>
        <v>0</v>
      </c>
      <c r="J45" s="394">
        <f>'Hypotheses hors expl'!K5</f>
        <v>0</v>
      </c>
      <c r="K45" s="394">
        <f>'Hypotheses hors expl'!L5</f>
        <v>0</v>
      </c>
      <c r="L45" s="394">
        <f>'Hypotheses hors expl'!M5</f>
        <v>0</v>
      </c>
      <c r="M45" s="394">
        <f>'Hypotheses hors expl'!N5</f>
        <v>0</v>
      </c>
    </row>
    <row r="46">
      <c r="A46" s="393" t="s">
        <v>299</v>
      </c>
      <c r="B46" s="394">
        <f>'Hypotheses hors expl'!C6</f>
        <v>0</v>
      </c>
      <c r="C46" s="394">
        <f>'Hypotheses hors expl'!D6</f>
        <v>0</v>
      </c>
      <c r="D46" s="394">
        <f>'Hypotheses hors expl'!E6</f>
        <v>0</v>
      </c>
      <c r="E46" s="394">
        <f>'Hypotheses hors expl'!F6</f>
        <v>0</v>
      </c>
      <c r="F46" s="394">
        <f>'Hypotheses hors expl'!G6</f>
        <v>0</v>
      </c>
      <c r="G46" s="394">
        <f>'Hypotheses hors expl'!H6</f>
        <v>0</v>
      </c>
      <c r="H46" s="394">
        <f>'Hypotheses hors expl'!I6</f>
        <v>0</v>
      </c>
      <c r="I46" s="394">
        <f>'Hypotheses hors expl'!J6</f>
        <v>0</v>
      </c>
      <c r="J46" s="394">
        <f>'Hypotheses hors expl'!K6</f>
        <v>0</v>
      </c>
      <c r="K46" s="394">
        <f>'Hypotheses hors expl'!L6</f>
        <v>0</v>
      </c>
      <c r="L46" s="394">
        <f>'Hypotheses hors expl'!M6</f>
        <v>0</v>
      </c>
      <c r="M46" s="394">
        <f>'Hypotheses hors expl'!N6</f>
        <v>0</v>
      </c>
    </row>
    <row r="47">
      <c r="A47" s="393" t="s">
        <v>300</v>
      </c>
      <c r="B47" s="394">
        <f>'Hypotheses hors expl'!C7</f>
        <v>0</v>
      </c>
      <c r="C47" s="394">
        <f>'Hypotheses hors expl'!D7</f>
        <v>0</v>
      </c>
      <c r="D47" s="394">
        <f>'Hypotheses hors expl'!E7</f>
        <v>0</v>
      </c>
      <c r="E47" s="394">
        <f>'Hypotheses hors expl'!F7</f>
        <v>0</v>
      </c>
      <c r="F47" s="394">
        <f>'Hypotheses hors expl'!G7</f>
        <v>0</v>
      </c>
      <c r="G47" s="394">
        <f>'Hypotheses hors expl'!H7</f>
        <v>0</v>
      </c>
      <c r="H47" s="394">
        <f>'Hypotheses hors expl'!I7</f>
        <v>0</v>
      </c>
      <c r="I47" s="394">
        <f>'Hypotheses hors expl'!J7</f>
        <v>0</v>
      </c>
      <c r="J47" s="394">
        <f>'Hypotheses hors expl'!K7</f>
        <v>0</v>
      </c>
      <c r="K47" s="394">
        <f>'Hypotheses hors expl'!L7</f>
        <v>0</v>
      </c>
      <c r="L47" s="394">
        <f>'Hypotheses hors expl'!M7</f>
        <v>0</v>
      </c>
      <c r="M47" s="394">
        <f>'Hypotheses hors expl'!N7</f>
        <v>0</v>
      </c>
    </row>
    <row r="48" s="36" customFormat="1">
      <c r="B48" s="375"/>
      <c r="C48" s="375"/>
      <c r="D48" s="375"/>
      <c r="E48" s="375"/>
      <c r="F48" s="375"/>
      <c r="G48" s="375"/>
      <c r="H48" s="375"/>
      <c r="I48" s="381"/>
      <c r="J48" s="381"/>
      <c r="K48" s="381"/>
      <c r="L48" s="381"/>
      <c r="M48" s="381"/>
    </row>
    <row r="49" s="383" customFormat="1">
      <c r="A49" s="384" t="s">
        <v>366</v>
      </c>
      <c r="B49" s="395">
        <f>+B50+B87+B94+B106+B110+B113</f>
        <v>159747.16666666666</v>
      </c>
      <c r="C49" s="395">
        <f t="shared" ref="C49:M49" si="305">+C50+C87+C94+C106+C110+C113</f>
        <v>193318.20257724874</v>
      </c>
      <c r="D49" s="395">
        <f t="shared" si="305"/>
        <v>140531.64866410298</v>
      </c>
      <c r="E49" s="395">
        <f t="shared" si="305"/>
        <v>246148.13675210299</v>
      </c>
      <c r="F49" s="395">
        <f t="shared" si="305"/>
        <v>224770.50918210298</v>
      </c>
      <c r="G49" s="395">
        <f t="shared" si="305"/>
        <v>147393.656846103</v>
      </c>
      <c r="H49" s="395">
        <f t="shared" si="305"/>
        <v>157856.08067610298</v>
      </c>
      <c r="I49" s="395">
        <f t="shared" si="305"/>
        <v>154840.93943919992</v>
      </c>
      <c r="J49" s="395">
        <f t="shared" si="305"/>
        <v>143317.39281719993</v>
      </c>
      <c r="K49" s="395">
        <f t="shared" si="305"/>
        <v>172559.63345719993</v>
      </c>
      <c r="L49" s="395">
        <f t="shared" si="305"/>
        <v>149281.55358919993</v>
      </c>
      <c r="M49" s="395">
        <f t="shared" si="305"/>
        <v>310063.77661719994</v>
      </c>
      <c r="N49" s="36"/>
      <c r="O49" s="36"/>
      <c r="P49" s="36"/>
      <c r="Q49" s="36"/>
      <c r="R49" s="36"/>
      <c r="S49" s="36"/>
      <c r="T49" s="36"/>
      <c r="U49" s="36"/>
      <c r="V49" s="36"/>
      <c r="W49" s="36"/>
      <c r="X49" s="36"/>
      <c r="Y49" s="36"/>
      <c r="Z49" s="36"/>
      <c r="AA49" s="36"/>
      <c r="AB49" s="36"/>
      <c r="AC49" s="36"/>
      <c r="AD49" s="36"/>
      <c r="AE49" s="36"/>
      <c r="AF49" s="36"/>
      <c r="AG49" s="36"/>
      <c r="AH49" s="36"/>
      <c r="AI49" s="36"/>
      <c r="AJ49" s="36"/>
      <c r="AK49" s="36"/>
      <c r="AL49" s="36"/>
      <c r="AM49" s="36"/>
      <c r="AN49" s="36"/>
    </row>
    <row r="50">
      <c r="A50" s="391" t="str">
        <f>'Compte résultat prévi'!A45</f>
        <v xml:space="preserve">Achats/Frais généraux</v>
      </c>
      <c r="B50" s="388">
        <f>SUM(B51:B86)</f>
        <v>42805.166666666664</v>
      </c>
      <c r="C50" s="388">
        <f t="shared" ref="C50:M50" si="306">SUM(C51:C86)</f>
        <v>82445.499999999985</v>
      </c>
      <c r="D50" s="388">
        <f t="shared" si="306"/>
        <v>28860.5</v>
      </c>
      <c r="E50" s="388">
        <f t="shared" si="306"/>
        <v>50086.029999999999</v>
      </c>
      <c r="F50" s="388">
        <f t="shared" si="306"/>
        <v>87490.499999999985</v>
      </c>
      <c r="G50" s="388">
        <f t="shared" si="306"/>
        <v>31692.5</v>
      </c>
      <c r="H50" s="388">
        <f t="shared" si="306"/>
        <v>30317.049999999996</v>
      </c>
      <c r="I50" s="388">
        <f t="shared" si="306"/>
        <v>15143.5</v>
      </c>
      <c r="J50" s="388">
        <f t="shared" si="306"/>
        <v>22238.499999999996</v>
      </c>
      <c r="K50" s="388">
        <f t="shared" si="306"/>
        <v>47812.5</v>
      </c>
      <c r="L50" s="388">
        <f t="shared" si="306"/>
        <v>26213.400000000001</v>
      </c>
      <c r="M50" s="388">
        <f t="shared" si="306"/>
        <v>144523.5</v>
      </c>
    </row>
    <row r="51" outlineLevel="1">
      <c r="A51" s="393" t="str">
        <f>'Compte résultat prévi'!A46</f>
        <v xml:space="preserve">Voyage SENEGAL</v>
      </c>
      <c r="B51" s="390">
        <f>IF('Hypotheses expl'!$P$101="0j",'Hypotheses expl'!C101,IF('Hypotheses expl'!$P$101="30j",'Hypotheses expl'!B101,'Hypotheses expl'!A101))</f>
        <v>0</v>
      </c>
      <c r="C51" s="390">
        <f>IF('Hypotheses expl'!$P$101="0j",'Hypotheses expl'!D101,IF('Hypotheses expl'!$P$101="30j",'Hypotheses expl'!C101,'Hypotheses expl'!B101))</f>
        <v>0</v>
      </c>
      <c r="D51" s="390">
        <f>IF('Hypotheses expl'!$P$101="0j",'Hypotheses expl'!E101,IF('Hypotheses expl'!$P$101="30j",'Hypotheses expl'!D101,'Hypotheses expl'!C101))</f>
        <v>0</v>
      </c>
      <c r="E51" s="390">
        <f>IF('Hypotheses expl'!$P$101="0j",'Hypotheses expl'!F101,IF('Hypotheses expl'!$P$101="30j",'Hypotheses expl'!E101,'Hypotheses expl'!D101))</f>
        <v>0</v>
      </c>
      <c r="F51" s="390">
        <f>IF('Hypotheses expl'!$P$101="0j",'Hypotheses expl'!G101,IF('Hypotheses expl'!$P$101="30j",'Hypotheses expl'!F101,'Hypotheses expl'!E101))</f>
        <v>0</v>
      </c>
      <c r="G51" s="390">
        <f>IF('Hypotheses expl'!$P$101="0j",'Hypotheses expl'!H101,IF('Hypotheses expl'!$P$101="30j",'Hypotheses expl'!G101,'Hypotheses expl'!F101))</f>
        <v>0</v>
      </c>
      <c r="H51" s="390">
        <f>IF('Hypotheses expl'!$P$101="0j",'Hypotheses expl'!I101,IF('Hypotheses expl'!$P$101="30j",'Hypotheses expl'!H101,'Hypotheses expl'!G101))</f>
        <v>0</v>
      </c>
      <c r="I51" s="390">
        <f>IF('Hypotheses expl'!$P$101="0j",'Hypotheses expl'!J101,IF('Hypotheses expl'!$P$101="30j",'Hypotheses expl'!I101,'Hypotheses expl'!H101))</f>
        <v>0</v>
      </c>
      <c r="J51" s="390">
        <f>IF('Hypotheses expl'!$P$101="0j",'Hypotheses expl'!K101,IF('Hypotheses expl'!$P$101="30j",'Hypotheses expl'!J101,'Hypotheses expl'!I101))</f>
        <v>0</v>
      </c>
      <c r="K51" s="390">
        <f>IF('Hypotheses expl'!$P$101="0j",'Hypotheses expl'!L101,IF('Hypotheses expl'!$P$101="30j",'Hypotheses expl'!K101,'Hypotheses expl'!J101))</f>
        <v>0</v>
      </c>
      <c r="L51" s="390">
        <f>IF('Hypotheses expl'!$P$101="0j",'Hypotheses expl'!M101,IF('Hypotheses expl'!$P$101="30j",'Hypotheses expl'!L101,'Hypotheses expl'!K101))</f>
        <v>0</v>
      </c>
      <c r="M51" s="390">
        <f>IF('Hypotheses expl'!$P$101="0j",'Hypotheses expl'!N101,IF('Hypotheses expl'!$P$101="30j",'Hypotheses expl'!M101,'Hypotheses expl'!L101))</f>
        <v>0</v>
      </c>
    </row>
    <row r="52" outlineLevel="1">
      <c r="A52" s="393" t="str">
        <f>'Compte résultat prévi'!A47</f>
        <v>STC</v>
      </c>
      <c r="B52" s="390">
        <f>IF('Hypotheses expl'!$P$102="0j",'Hypotheses expl'!C102,IF('Hypotheses expl'!$P$102="30j",'Hypotheses expl'!B102,'Hypotheses expl'!A102))</f>
        <v>0</v>
      </c>
      <c r="C52" s="390">
        <f>IF('Hypotheses expl'!$P$102="0j",'Hypotheses expl'!D102,IF('Hypotheses expl'!$P$102="30j",'Hypotheses expl'!C102,'Hypotheses expl'!B102))</f>
        <v>0</v>
      </c>
      <c r="D52" s="390">
        <f>IF('Hypotheses expl'!$P$102="0j",'Hypotheses expl'!E102,IF('Hypotheses expl'!$P$102="30j",'Hypotheses expl'!D102,'Hypotheses expl'!C102))</f>
        <v>0</v>
      </c>
      <c r="E52" s="390">
        <f>IF('Hypotheses expl'!$P$102="0j",'Hypotheses expl'!F102,IF('Hypotheses expl'!$P$102="30j",'Hypotheses expl'!E102,'Hypotheses expl'!D102))</f>
        <v>0</v>
      </c>
      <c r="F52" s="390">
        <f>IF('Hypotheses expl'!$P$102="0j",'Hypotheses expl'!G102,IF('Hypotheses expl'!$P$102="30j",'Hypotheses expl'!F102,'Hypotheses expl'!E102))</f>
        <v>0</v>
      </c>
      <c r="G52" s="390">
        <f>IF('Hypotheses expl'!$P$102="0j",'Hypotheses expl'!H102,IF('Hypotheses expl'!$P$102="30j",'Hypotheses expl'!G102,'Hypotheses expl'!F102))</f>
        <v>0</v>
      </c>
      <c r="H52" s="390">
        <f>IF('Hypotheses expl'!$P$102="0j",'Hypotheses expl'!I102,IF('Hypotheses expl'!$P$102="30j",'Hypotheses expl'!H102,'Hypotheses expl'!G102))</f>
        <v>0</v>
      </c>
      <c r="I52" s="390">
        <f>IF('Hypotheses expl'!$P$102="0j",'Hypotheses expl'!J102,IF('Hypotheses expl'!$P$102="30j",'Hypotheses expl'!I102,'Hypotheses expl'!H102))</f>
        <v>0</v>
      </c>
      <c r="J52" s="390">
        <f>IF('Hypotheses expl'!$P$102="0j",'Hypotheses expl'!K102,IF('Hypotheses expl'!$P$102="30j",'Hypotheses expl'!J102,'Hypotheses expl'!I102))</f>
        <v>0</v>
      </c>
      <c r="K52" s="390">
        <f>IF('Hypotheses expl'!$P$102="0j",'Hypotheses expl'!L102,IF('Hypotheses expl'!$P$102="30j",'Hypotheses expl'!K102,'Hypotheses expl'!J102))</f>
        <v>0</v>
      </c>
      <c r="L52" s="390">
        <f>IF('Hypotheses expl'!$P$102="0j",'Hypotheses expl'!M102,IF('Hypotheses expl'!$P$102="30j",'Hypotheses expl'!L102,'Hypotheses expl'!K102))</f>
        <v>0</v>
      </c>
      <c r="M52" s="390">
        <f>IF('Hypotheses expl'!$P$102="0j",'Hypotheses expl'!N102,IF('Hypotheses expl'!$P$102="30j",'Hypotheses expl'!M102,'Hypotheses expl'!L102))</f>
        <v>0</v>
      </c>
    </row>
    <row r="53" outlineLevel="1">
      <c r="A53" s="393" t="str">
        <f>'Compte résultat prévi'!A48</f>
        <v xml:space="preserve">Projet Voltaire et autres</v>
      </c>
      <c r="B53" s="390">
        <f>IF('Hypotheses expl'!$P$103="0j",'Hypotheses expl'!C103,IF('Hypotheses expl'!$P$103="30j",'Hypotheses expl'!B103,'Hypotheses expl'!A103))</f>
        <v>0</v>
      </c>
      <c r="C53" s="390">
        <f>IF('Hypotheses expl'!$P$103="0j",'Hypotheses expl'!D103,IF('Hypotheses expl'!$P$103="30j",'Hypotheses expl'!C103,'Hypotheses expl'!B103))</f>
        <v>0</v>
      </c>
      <c r="D53" s="390">
        <f>IF('Hypotheses expl'!$P$103="0j",'Hypotheses expl'!E103,IF('Hypotheses expl'!$P$103="30j",'Hypotheses expl'!D103,'Hypotheses expl'!C103))</f>
        <v>0</v>
      </c>
      <c r="E53" s="390">
        <f>IF('Hypotheses expl'!$P$103="0j",'Hypotheses expl'!F103,IF('Hypotheses expl'!$P$103="30j",'Hypotheses expl'!E103,'Hypotheses expl'!D103))</f>
        <v>0</v>
      </c>
      <c r="F53" s="390">
        <f>IF('Hypotheses expl'!$P$103="0j",'Hypotheses expl'!G103,IF('Hypotheses expl'!$P$103="30j",'Hypotheses expl'!F103,'Hypotheses expl'!E103))</f>
        <v>0</v>
      </c>
      <c r="G53" s="390">
        <f>IF('Hypotheses expl'!$P$103="0j",'Hypotheses expl'!H103,IF('Hypotheses expl'!$P$103="30j",'Hypotheses expl'!G103,'Hypotheses expl'!F103))</f>
        <v>0</v>
      </c>
      <c r="H53" s="390">
        <f>IF('Hypotheses expl'!$P$103="0j",'Hypotheses expl'!I103,IF('Hypotheses expl'!$P$103="30j",'Hypotheses expl'!H103,'Hypotheses expl'!G103))</f>
        <v>0</v>
      </c>
      <c r="I53" s="390">
        <f>IF('Hypotheses expl'!$P$103="0j",'Hypotheses expl'!J103,IF('Hypotheses expl'!$P$103="30j",'Hypotheses expl'!I103,'Hypotheses expl'!H103))</f>
        <v>0</v>
      </c>
      <c r="J53" s="390">
        <f>IF('Hypotheses expl'!$P$103="0j",'Hypotheses expl'!K103,IF('Hypotheses expl'!$P$103="30j",'Hypotheses expl'!J103,'Hypotheses expl'!I103))</f>
        <v>0</v>
      </c>
      <c r="K53" s="390">
        <f>IF('Hypotheses expl'!$P$103="0j",'Hypotheses expl'!L103,IF('Hypotheses expl'!$P$103="30j",'Hypotheses expl'!K103,'Hypotheses expl'!J103))</f>
        <v>0</v>
      </c>
      <c r="L53" s="390">
        <f>IF('Hypotheses expl'!$P$103="0j",'Hypotheses expl'!M103,IF('Hypotheses expl'!$P$103="30j",'Hypotheses expl'!L103,'Hypotheses expl'!K103))</f>
        <v>0</v>
      </c>
      <c r="M53" s="390">
        <f>IF('Hypotheses expl'!$P$103="0j",'Hypotheses expl'!N103,IF('Hypotheses expl'!$P$103="30j",'Hypotheses expl'!M103,'Hypotheses expl'!L103))</f>
        <v>0</v>
      </c>
    </row>
    <row r="54" outlineLevel="1">
      <c r="A54" s="393" t="str">
        <f>'Compte résultat prévi'!A49</f>
        <v xml:space="preserve">Carre potager</v>
      </c>
      <c r="B54" s="390">
        <f>IF('Hypotheses expl'!$P$104="0j",'Hypotheses expl'!C104,IF('Hypotheses expl'!$P$104="30j",'Hypotheses expl'!B104,'Hypotheses expl'!A104))</f>
        <v>100</v>
      </c>
      <c r="C54" s="390">
        <f>IF('Hypotheses expl'!$P$104="0j",'Hypotheses expl'!D104,IF('Hypotheses expl'!$P$104="30j",'Hypotheses expl'!C104,'Hypotheses expl'!B104))</f>
        <v>100</v>
      </c>
      <c r="D54" s="390">
        <f>IF('Hypotheses expl'!$P$104="0j",'Hypotheses expl'!E104,IF('Hypotheses expl'!$P$104="30j",'Hypotheses expl'!D104,'Hypotheses expl'!C104))</f>
        <v>100</v>
      </c>
      <c r="E54" s="390">
        <f>IF('Hypotheses expl'!$P$104="0j",'Hypotheses expl'!F104,IF('Hypotheses expl'!$P$104="30j",'Hypotheses expl'!E104,'Hypotheses expl'!D104))</f>
        <v>100</v>
      </c>
      <c r="F54" s="390">
        <f>IF('Hypotheses expl'!$P$104="0j",'Hypotheses expl'!G104,IF('Hypotheses expl'!$P$104="30j",'Hypotheses expl'!F104,'Hypotheses expl'!E104))</f>
        <v>100</v>
      </c>
      <c r="G54" s="390">
        <f>IF('Hypotheses expl'!$P$104="0j",'Hypotheses expl'!H104,IF('Hypotheses expl'!$P$104="30j",'Hypotheses expl'!G104,'Hypotheses expl'!F104))</f>
        <v>100</v>
      </c>
      <c r="H54" s="390">
        <f>IF('Hypotheses expl'!$P$104="0j",'Hypotheses expl'!I104,IF('Hypotheses expl'!$P$104="30j",'Hypotheses expl'!H104,'Hypotheses expl'!G104))</f>
        <v>100</v>
      </c>
      <c r="I54" s="390">
        <f>IF('Hypotheses expl'!$P$104="0j",'Hypotheses expl'!J104,IF('Hypotheses expl'!$P$104="30j",'Hypotheses expl'!I104,'Hypotheses expl'!H104))</f>
        <v>100</v>
      </c>
      <c r="J54" s="390">
        <f>IF('Hypotheses expl'!$P$104="0j",'Hypotheses expl'!K104,IF('Hypotheses expl'!$P$104="30j",'Hypotheses expl'!J104,'Hypotheses expl'!I104))</f>
        <v>100</v>
      </c>
      <c r="K54" s="390">
        <f>IF('Hypotheses expl'!$P$104="0j",'Hypotheses expl'!L104,IF('Hypotheses expl'!$P$104="30j",'Hypotheses expl'!K104,'Hypotheses expl'!J104))</f>
        <v>100</v>
      </c>
      <c r="L54" s="390">
        <f>IF('Hypotheses expl'!$P$104="0j",'Hypotheses expl'!M104,IF('Hypotheses expl'!$P$104="30j",'Hypotheses expl'!L104,'Hypotheses expl'!K104))</f>
        <v>100</v>
      </c>
      <c r="M54" s="390">
        <f>IF('Hypotheses expl'!$P$104="0j",'Hypotheses expl'!N104,IF('Hypotheses expl'!$P$104="30j",'Hypotheses expl'!M104,'Hypotheses expl'!L104))</f>
        <v>100</v>
      </c>
    </row>
    <row r="55" outlineLevel="1">
      <c r="A55" s="393" t="str">
        <f>'Compte résultat prévi'!A50</f>
        <v>Carburant</v>
      </c>
      <c r="B55" s="390">
        <f>IF('Hypotheses expl'!$P$105="0j",'Hypotheses expl'!C105,IF('Hypotheses expl'!$P$105="30j",'Hypotheses expl'!B105,'Hypotheses expl'!A105))</f>
        <v>125</v>
      </c>
      <c r="C55" s="390">
        <f>IF('Hypotheses expl'!$P$105="0j",'Hypotheses expl'!D105,IF('Hypotheses expl'!$P$105="30j",'Hypotheses expl'!C105,'Hypotheses expl'!B105))</f>
        <v>125</v>
      </c>
      <c r="D55" s="390">
        <f>IF('Hypotheses expl'!$P$105="0j",'Hypotheses expl'!E105,IF('Hypotheses expl'!$P$105="30j",'Hypotheses expl'!D105,'Hypotheses expl'!C105))</f>
        <v>125</v>
      </c>
      <c r="E55" s="390">
        <f>IF('Hypotheses expl'!$P$105="0j",'Hypotheses expl'!F105,IF('Hypotheses expl'!$P$105="30j",'Hypotheses expl'!E105,'Hypotheses expl'!D105))</f>
        <v>125</v>
      </c>
      <c r="F55" s="390">
        <f>IF('Hypotheses expl'!$P$105="0j",'Hypotheses expl'!G105,IF('Hypotheses expl'!$P$105="30j",'Hypotheses expl'!F105,'Hypotheses expl'!E105))</f>
        <v>125</v>
      </c>
      <c r="G55" s="390">
        <f>IF('Hypotheses expl'!$P$105="0j",'Hypotheses expl'!H105,IF('Hypotheses expl'!$P$105="30j",'Hypotheses expl'!G105,'Hypotheses expl'!F105))</f>
        <v>125</v>
      </c>
      <c r="H55" s="390">
        <f>IF('Hypotheses expl'!$P$105="0j",'Hypotheses expl'!I105,IF('Hypotheses expl'!$P$105="30j",'Hypotheses expl'!H105,'Hypotheses expl'!G105))</f>
        <v>125</v>
      </c>
      <c r="I55" s="390">
        <f>IF('Hypotheses expl'!$P$105="0j",'Hypotheses expl'!J105,IF('Hypotheses expl'!$P$105="30j",'Hypotheses expl'!I105,'Hypotheses expl'!H105))</f>
        <v>125</v>
      </c>
      <c r="J55" s="390">
        <f>IF('Hypotheses expl'!$P$105="0j",'Hypotheses expl'!K105,IF('Hypotheses expl'!$P$105="30j",'Hypotheses expl'!J105,'Hypotheses expl'!I105))</f>
        <v>125</v>
      </c>
      <c r="K55" s="390">
        <f>IF('Hypotheses expl'!$P$105="0j",'Hypotheses expl'!L105,IF('Hypotheses expl'!$P$105="30j",'Hypotheses expl'!K105,'Hypotheses expl'!J105))</f>
        <v>125</v>
      </c>
      <c r="L55" s="390">
        <f>IF('Hypotheses expl'!$P$105="0j",'Hypotheses expl'!M105,IF('Hypotheses expl'!$P$105="30j",'Hypotheses expl'!L105,'Hypotheses expl'!K105))</f>
        <v>125</v>
      </c>
      <c r="M55" s="390">
        <f>IF('Hypotheses expl'!$P$105="0j",'Hypotheses expl'!N105,IF('Hypotheses expl'!$P$105="30j",'Hypotheses expl'!M105,'Hypotheses expl'!L105))</f>
        <v>125</v>
      </c>
    </row>
    <row r="56" outlineLevel="1">
      <c r="A56" s="393" t="str">
        <f>'Compte résultat prévi'!A51</f>
        <v xml:space="preserve">Produits d'entretien</v>
      </c>
      <c r="B56" s="390">
        <f>IF('Hypotheses expl'!$P$106="0j",'Hypotheses expl'!C106,IF('Hypotheses expl'!$P$106="30j",'Hypotheses expl'!B106,'Hypotheses expl'!A106))</f>
        <v>208.33333333333334</v>
      </c>
      <c r="C56" s="390">
        <f>IF('Hypotheses expl'!$P$106="0j",'Hypotheses expl'!D106,IF('Hypotheses expl'!$P$106="30j",'Hypotheses expl'!C106,'Hypotheses expl'!B106))</f>
        <v>208.33333333333334</v>
      </c>
      <c r="D56" s="390">
        <f>IF('Hypotheses expl'!$P$106="0j",'Hypotheses expl'!E106,IF('Hypotheses expl'!$P$106="30j",'Hypotheses expl'!D106,'Hypotheses expl'!C106))</f>
        <v>208.33333333333334</v>
      </c>
      <c r="E56" s="390">
        <f>IF('Hypotheses expl'!$P$106="0j",'Hypotheses expl'!F106,IF('Hypotheses expl'!$P$106="30j",'Hypotheses expl'!E106,'Hypotheses expl'!D106))</f>
        <v>208.33333333333334</v>
      </c>
      <c r="F56" s="390">
        <f>IF('Hypotheses expl'!$P$106="0j",'Hypotheses expl'!G106,IF('Hypotheses expl'!$P$106="30j",'Hypotheses expl'!F106,'Hypotheses expl'!E106))</f>
        <v>208.33333333333334</v>
      </c>
      <c r="G56" s="390">
        <f>IF('Hypotheses expl'!$P$106="0j",'Hypotheses expl'!H106,IF('Hypotheses expl'!$P$106="30j",'Hypotheses expl'!G106,'Hypotheses expl'!F106))</f>
        <v>208.33333333333334</v>
      </c>
      <c r="H56" s="390">
        <f>IF('Hypotheses expl'!$P$106="0j",'Hypotheses expl'!I106,IF('Hypotheses expl'!$P$106="30j",'Hypotheses expl'!H106,'Hypotheses expl'!G106))</f>
        <v>208.33333333333334</v>
      </c>
      <c r="I56" s="390">
        <f>IF('Hypotheses expl'!$P$106="0j",'Hypotheses expl'!J106,IF('Hypotheses expl'!$P$106="30j",'Hypotheses expl'!I106,'Hypotheses expl'!H106))</f>
        <v>208.33333333333334</v>
      </c>
      <c r="J56" s="390">
        <f>IF('Hypotheses expl'!$P$106="0j",'Hypotheses expl'!K106,IF('Hypotheses expl'!$P$106="30j",'Hypotheses expl'!J106,'Hypotheses expl'!I106))</f>
        <v>208.33333333333334</v>
      </c>
      <c r="K56" s="390">
        <f>IF('Hypotheses expl'!$P$106="0j",'Hypotheses expl'!L106,IF('Hypotheses expl'!$P$106="30j",'Hypotheses expl'!K106,'Hypotheses expl'!J106))</f>
        <v>208.33333333333334</v>
      </c>
      <c r="L56" s="390">
        <f>IF('Hypotheses expl'!$P$106="0j",'Hypotheses expl'!M106,IF('Hypotheses expl'!$P$106="30j",'Hypotheses expl'!L106,'Hypotheses expl'!K106))</f>
        <v>208.33333333333334</v>
      </c>
      <c r="M56" s="390">
        <f>IF('Hypotheses expl'!$P$106="0j",'Hypotheses expl'!N106,IF('Hypotheses expl'!$P$106="30j",'Hypotheses expl'!M106,'Hypotheses expl'!L106))</f>
        <v>208.33333333333334</v>
      </c>
    </row>
    <row r="57" outlineLevel="1">
      <c r="A57" s="393" t="str">
        <f>'Compte résultat prévi'!A52</f>
        <v xml:space="preserve">Petites fournitures</v>
      </c>
      <c r="B57" s="390">
        <f>IF('Hypotheses expl'!$P$107="0j",'Hypotheses expl'!C107,IF('Hypotheses expl'!$P$107="30j",'Hypotheses expl'!B107,'Hypotheses expl'!A107))</f>
        <v>1666.6666666666667</v>
      </c>
      <c r="C57" s="390">
        <f>IF('Hypotheses expl'!$P$107="0j",'Hypotheses expl'!D107,IF('Hypotheses expl'!$P$107="30j",'Hypotheses expl'!C107,'Hypotheses expl'!B107))</f>
        <v>1666.6666666666667</v>
      </c>
      <c r="D57" s="390">
        <f>IF('Hypotheses expl'!$P$107="0j",'Hypotheses expl'!E107,IF('Hypotheses expl'!$P$107="30j",'Hypotheses expl'!D107,'Hypotheses expl'!C107))</f>
        <v>1666.6666666666667</v>
      </c>
      <c r="E57" s="390">
        <f>IF('Hypotheses expl'!$P$107="0j",'Hypotheses expl'!F107,IF('Hypotheses expl'!$P$107="30j",'Hypotheses expl'!E107,'Hypotheses expl'!D107))</f>
        <v>1666.6666666666667</v>
      </c>
      <c r="F57" s="390">
        <f>IF('Hypotheses expl'!$P$107="0j",'Hypotheses expl'!G107,IF('Hypotheses expl'!$P$107="30j",'Hypotheses expl'!F107,'Hypotheses expl'!E107))</f>
        <v>1666.6666666666667</v>
      </c>
      <c r="G57" s="390">
        <f>IF('Hypotheses expl'!$P$107="0j",'Hypotheses expl'!H107,IF('Hypotheses expl'!$P$107="30j",'Hypotheses expl'!G107,'Hypotheses expl'!F107))</f>
        <v>1666.6666666666667</v>
      </c>
      <c r="H57" s="390">
        <f>IF('Hypotheses expl'!$P$107="0j",'Hypotheses expl'!I107,IF('Hypotheses expl'!$P$107="30j",'Hypotheses expl'!H107,'Hypotheses expl'!G107))</f>
        <v>1666.6666666666667</v>
      </c>
      <c r="I57" s="390">
        <f>IF('Hypotheses expl'!$P$107="0j",'Hypotheses expl'!J107,IF('Hypotheses expl'!$P$107="30j",'Hypotheses expl'!I107,'Hypotheses expl'!H107))</f>
        <v>1666.6666666666667</v>
      </c>
      <c r="J57" s="390">
        <f>IF('Hypotheses expl'!$P$107="0j",'Hypotheses expl'!K107,IF('Hypotheses expl'!$P$107="30j",'Hypotheses expl'!J107,'Hypotheses expl'!I107))</f>
        <v>1666.6666666666667</v>
      </c>
      <c r="K57" s="390">
        <f>IF('Hypotheses expl'!$P$107="0j",'Hypotheses expl'!L107,IF('Hypotheses expl'!$P$107="30j",'Hypotheses expl'!K107,'Hypotheses expl'!J107))</f>
        <v>1666.6666666666667</v>
      </c>
      <c r="L57" s="390">
        <f>IF('Hypotheses expl'!$P$107="0j",'Hypotheses expl'!M107,IF('Hypotheses expl'!$P$107="30j",'Hypotheses expl'!L107,'Hypotheses expl'!K107))</f>
        <v>1666.6666666666667</v>
      </c>
      <c r="M57" s="390">
        <f>IF('Hypotheses expl'!$P$107="0j",'Hypotheses expl'!N107,IF('Hypotheses expl'!$P$107="30j",'Hypotheses expl'!M107,'Hypotheses expl'!L107))</f>
        <v>1666.6666666666667</v>
      </c>
    </row>
    <row r="58" outlineLevel="1">
      <c r="A58" s="393" t="str">
        <f>'Compte résultat prévi'!A53</f>
        <v xml:space="preserve">Photocopies et frais éducatifs</v>
      </c>
      <c r="B58" s="390">
        <f>IF('Hypotheses expl'!$P$108="0j",'Hypotheses expl'!C108,IF('Hypotheses expl'!$P$108="30j",'Hypotheses expl'!B108,'Hypotheses expl'!A108))</f>
        <v>750</v>
      </c>
      <c r="C58" s="390">
        <f>IF('Hypotheses expl'!$P$108="0j",'Hypotheses expl'!D108,IF('Hypotheses expl'!$P$108="30j",'Hypotheses expl'!C108,'Hypotheses expl'!B108))</f>
        <v>750</v>
      </c>
      <c r="D58" s="390">
        <f>IF('Hypotheses expl'!$P$108="0j",'Hypotheses expl'!E108,IF('Hypotheses expl'!$P$108="30j",'Hypotheses expl'!D108,'Hypotheses expl'!C108))</f>
        <v>750</v>
      </c>
      <c r="E58" s="390">
        <f>IF('Hypotheses expl'!$P$108="0j",'Hypotheses expl'!F108,IF('Hypotheses expl'!$P$108="30j",'Hypotheses expl'!E108,'Hypotheses expl'!D108))</f>
        <v>750</v>
      </c>
      <c r="F58" s="390">
        <f>IF('Hypotheses expl'!$P$108="0j",'Hypotheses expl'!G108,IF('Hypotheses expl'!$P$108="30j",'Hypotheses expl'!F108,'Hypotheses expl'!E108))</f>
        <v>750</v>
      </c>
      <c r="G58" s="390">
        <f>IF('Hypotheses expl'!$P$108="0j",'Hypotheses expl'!H108,IF('Hypotheses expl'!$P$108="30j",'Hypotheses expl'!G108,'Hypotheses expl'!F108))</f>
        <v>750</v>
      </c>
      <c r="H58" s="390">
        <f>IF('Hypotheses expl'!$P$108="0j",'Hypotheses expl'!I108,IF('Hypotheses expl'!$P$108="30j",'Hypotheses expl'!H108,'Hypotheses expl'!G108))</f>
        <v>750</v>
      </c>
      <c r="I58" s="390">
        <f>IF('Hypotheses expl'!$P$108="0j",'Hypotheses expl'!J108,IF('Hypotheses expl'!$P$108="30j",'Hypotheses expl'!I108,'Hypotheses expl'!H108))</f>
        <v>750</v>
      </c>
      <c r="J58" s="390">
        <f>IF('Hypotheses expl'!$P$108="0j",'Hypotheses expl'!K108,IF('Hypotheses expl'!$P$108="30j",'Hypotheses expl'!J108,'Hypotheses expl'!I108))</f>
        <v>750</v>
      </c>
      <c r="K58" s="390">
        <f>IF('Hypotheses expl'!$P$108="0j",'Hypotheses expl'!L108,IF('Hypotheses expl'!$P$108="30j",'Hypotheses expl'!K108,'Hypotheses expl'!J108))</f>
        <v>750</v>
      </c>
      <c r="L58" s="390">
        <f>IF('Hypotheses expl'!$P$108="0j",'Hypotheses expl'!M108,IF('Hypotheses expl'!$P$108="30j",'Hypotheses expl'!L108,'Hypotheses expl'!K108))</f>
        <v>750</v>
      </c>
      <c r="M58" s="390">
        <f>IF('Hypotheses expl'!$P$108="0j",'Hypotheses expl'!N108,IF('Hypotheses expl'!$P$108="30j",'Hypotheses expl'!M108,'Hypotheses expl'!L108))</f>
        <v>750</v>
      </c>
    </row>
    <row r="59" outlineLevel="1">
      <c r="A59" s="393" t="str">
        <f>'Compte résultat prévi'!A54</f>
        <v xml:space="preserve">Sous-traitance générale</v>
      </c>
      <c r="B59" s="390">
        <f>IF('Hypotheses expl'!$P$109="0j",'Hypotheses expl'!C109,IF('Hypotheses expl'!$P$109="30j",'Hypotheses expl'!B109,'Hypotheses expl'!A109))</f>
        <v>0</v>
      </c>
      <c r="C59" s="390">
        <f>IF('Hypotheses expl'!$P$109="0j",'Hypotheses expl'!D109,IF('Hypotheses expl'!$P$109="30j",'Hypotheses expl'!C109,'Hypotheses expl'!B109))</f>
        <v>0</v>
      </c>
      <c r="D59" s="390">
        <f>IF('Hypotheses expl'!$P$109="0j",'Hypotheses expl'!E109,IF('Hypotheses expl'!$P$109="30j",'Hypotheses expl'!D109,'Hypotheses expl'!C109))</f>
        <v>500</v>
      </c>
      <c r="E59" s="390">
        <f>IF('Hypotheses expl'!$P$109="0j",'Hypotheses expl'!F109,IF('Hypotheses expl'!$P$109="30j",'Hypotheses expl'!E109,'Hypotheses expl'!D109))</f>
        <v>0</v>
      </c>
      <c r="F59" s="390">
        <f>IF('Hypotheses expl'!$P$109="0j",'Hypotheses expl'!G109,IF('Hypotheses expl'!$P$109="30j",'Hypotheses expl'!F109,'Hypotheses expl'!E109))</f>
        <v>3000</v>
      </c>
      <c r="G59" s="390">
        <f>IF('Hypotheses expl'!$P$109="0j",'Hypotheses expl'!H109,IF('Hypotheses expl'!$P$109="30j",'Hypotheses expl'!G109,'Hypotheses expl'!F109))</f>
        <v>0</v>
      </c>
      <c r="H59" s="390">
        <f>IF('Hypotheses expl'!$P$109="0j",'Hypotheses expl'!I109,IF('Hypotheses expl'!$P$109="30j",'Hypotheses expl'!H109,'Hypotheses expl'!G109))</f>
        <v>0</v>
      </c>
      <c r="I59" s="390">
        <f>IF('Hypotheses expl'!$P$109="0j",'Hypotheses expl'!J109,IF('Hypotheses expl'!$P$109="30j",'Hypotheses expl'!I109,'Hypotheses expl'!H109))</f>
        <v>0</v>
      </c>
      <c r="J59" s="390">
        <f>IF('Hypotheses expl'!$P$109="0j",'Hypotheses expl'!K109,IF('Hypotheses expl'!$P$109="30j",'Hypotheses expl'!J109,'Hypotheses expl'!I109))</f>
        <v>500</v>
      </c>
      <c r="K59" s="390">
        <f>IF('Hypotheses expl'!$P$109="0j",'Hypotheses expl'!L109,IF('Hypotheses expl'!$P$109="30j",'Hypotheses expl'!K109,'Hypotheses expl'!J109))</f>
        <v>0</v>
      </c>
      <c r="L59" s="390">
        <f>IF('Hypotheses expl'!$P$109="0j",'Hypotheses expl'!M109,IF('Hypotheses expl'!$P$109="30j",'Hypotheses expl'!L109,'Hypotheses expl'!K109))</f>
        <v>0</v>
      </c>
      <c r="M59" s="390">
        <f>IF('Hypotheses expl'!$P$109="0j",'Hypotheses expl'!N109,IF('Hypotheses expl'!$P$109="30j",'Hypotheses expl'!M109,'Hypotheses expl'!L109))</f>
        <v>0</v>
      </c>
    </row>
    <row r="60" outlineLevel="1">
      <c r="A60" s="393" t="str">
        <f>'Compte résultat prévi'!A55</f>
        <v xml:space="preserve">Stages techniques</v>
      </c>
      <c r="B60" s="390">
        <f>IF('Hypotheses expl'!$P$110="0j",'Hypotheses expl'!C110,IF('Hypotheses expl'!$P$110="30j",'Hypotheses expl'!B110,'Hypotheses expl'!A110))</f>
        <v>0</v>
      </c>
      <c r="C60" s="390">
        <f>IF('Hypotheses expl'!$P$110="0j",'Hypotheses expl'!D110,IF('Hypotheses expl'!$P$110="30j",'Hypotheses expl'!C110,'Hypotheses expl'!B110))</f>
        <v>0</v>
      </c>
      <c r="D60" s="390">
        <f>IF('Hypotheses expl'!$P$110="0j",'Hypotheses expl'!E110,IF('Hypotheses expl'!$P$110="30j",'Hypotheses expl'!D110,'Hypotheses expl'!C110))</f>
        <v>0</v>
      </c>
      <c r="E60" s="390">
        <f>IF('Hypotheses expl'!$P$110="0j",'Hypotheses expl'!F110,IF('Hypotheses expl'!$P$110="30j",'Hypotheses expl'!E110,'Hypotheses expl'!D110))</f>
        <v>0</v>
      </c>
      <c r="F60" s="390">
        <f>IF('Hypotheses expl'!$P$110="0j",'Hypotheses expl'!G110,IF('Hypotheses expl'!$P$110="30j",'Hypotheses expl'!F110,'Hypotheses expl'!E110))</f>
        <v>0</v>
      </c>
      <c r="G60" s="390">
        <f>IF('Hypotheses expl'!$P$110="0j",'Hypotheses expl'!H110,IF('Hypotheses expl'!$P$110="30j",'Hypotheses expl'!G110,'Hypotheses expl'!F110))</f>
        <v>0</v>
      </c>
      <c r="H60" s="390">
        <f>IF('Hypotheses expl'!$P$110="0j",'Hypotheses expl'!I110,IF('Hypotheses expl'!$P$110="30j",'Hypotheses expl'!H110,'Hypotheses expl'!G110))</f>
        <v>0</v>
      </c>
      <c r="I60" s="390">
        <f>IF('Hypotheses expl'!$P$110="0j",'Hypotheses expl'!J110,IF('Hypotheses expl'!$P$110="30j",'Hypotheses expl'!I110,'Hypotheses expl'!H110))</f>
        <v>0</v>
      </c>
      <c r="J60" s="390">
        <f>IF('Hypotheses expl'!$P$110="0j",'Hypotheses expl'!K110,IF('Hypotheses expl'!$P$110="30j",'Hypotheses expl'!J110,'Hypotheses expl'!I110))</f>
        <v>0</v>
      </c>
      <c r="K60" s="390">
        <f>IF('Hypotheses expl'!$P$110="0j",'Hypotheses expl'!L110,IF('Hypotheses expl'!$P$110="30j",'Hypotheses expl'!K110,'Hypotheses expl'!J110))</f>
        <v>0</v>
      </c>
      <c r="L60" s="390">
        <f>IF('Hypotheses expl'!$P$110="0j",'Hypotheses expl'!M110,IF('Hypotheses expl'!$P$110="30j",'Hypotheses expl'!L110,'Hypotheses expl'!K110))</f>
        <v>0</v>
      </c>
      <c r="M60" s="390">
        <f>IF('Hypotheses expl'!$P$110="0j",'Hypotheses expl'!N110,IF('Hypotheses expl'!$P$110="30j",'Hypotheses expl'!M110,'Hypotheses expl'!L110))</f>
        <v>0</v>
      </c>
    </row>
    <row r="61" outlineLevel="1">
      <c r="A61" s="393" t="str">
        <f>'Compte résultat prévi'!A56</f>
        <v xml:space="preserve">Prestataires formation</v>
      </c>
      <c r="B61" s="390">
        <v>14975</v>
      </c>
      <c r="C61" s="390">
        <v>9492</v>
      </c>
      <c r="D61" s="390">
        <v>6204</v>
      </c>
      <c r="E61" s="390">
        <v>13754</v>
      </c>
      <c r="F61" s="390">
        <v>6398</v>
      </c>
      <c r="G61" s="390">
        <v>6598</v>
      </c>
      <c r="H61" s="390">
        <f>IF('Hypotheses expl'!$P$111="0j",'Hypotheses expl'!I111,IF('Hypotheses expl'!$P$111="30j",'Hypotheses expl'!H111,'Hypotheses expl'!G111))</f>
        <v>4862.5500000000002</v>
      </c>
      <c r="I61" s="390">
        <v>0</v>
      </c>
      <c r="J61" s="390">
        <f>IF('Hypotheses expl'!$P$111="0j",'Hypotheses expl'!K111,IF('Hypotheses expl'!$P$111="30j",'Hypotheses expl'!J111,'Hypotheses expl'!I111))</f>
        <v>0</v>
      </c>
      <c r="K61" s="390">
        <v>10644</v>
      </c>
      <c r="L61" s="390">
        <f>IF('Hypotheses expl'!$P$111="0j",'Hypotheses expl'!M111,IF('Hypotheses expl'!$P$111="30j",'Hypotheses expl'!L111,'Hypotheses expl'!K111))</f>
        <v>7599.9000000000005</v>
      </c>
      <c r="M61" s="390">
        <f>IF('Hypotheses expl'!$P$111="0j",'Hypotheses expl'!N111,IF('Hypotheses expl'!$P$111="30j",'Hypotheses expl'!M111,'Hypotheses expl'!L111))</f>
        <v>8085</v>
      </c>
    </row>
    <row r="62" outlineLevel="1">
      <c r="A62" s="393" t="str">
        <f>'Compte résultat prévi'!A57</f>
        <v xml:space="preserve">Location immobilière</v>
      </c>
      <c r="B62" s="390">
        <f>IF('Hypotheses expl'!$P$112="0j",'Hypotheses expl'!C112,0)</f>
        <v>0</v>
      </c>
      <c r="C62" s="390">
        <f>IF('Hypotheses expl'!$P$112="0j",'Hypotheses expl'!D112,IF('Hypotheses expl'!$P$112="30j",'Hypotheses expl'!C112,'Hypotheses expl'!B112))</f>
        <v>59110</v>
      </c>
      <c r="D62" s="390">
        <f>IF('Hypotheses expl'!$P$112="0j",'Hypotheses expl'!E112,IF('Hypotheses expl'!$P$112="30j",'Hypotheses expl'!D112,'Hypotheses expl'!C112))</f>
        <v>0</v>
      </c>
      <c r="E62" s="390">
        <f>IF('Hypotheses expl'!$P$112="0j",'Hypotheses expl'!F112,IF('Hypotheses expl'!$P$112="30j",'Hypotheses expl'!E112,'Hypotheses expl'!D112))</f>
        <v>0</v>
      </c>
      <c r="F62" s="390">
        <f>IF('Hypotheses expl'!$P$112="0j",'Hypotheses expl'!G112,IF('Hypotheses expl'!$P$112="30j",'Hypotheses expl'!F112,'Hypotheses expl'!E112))</f>
        <v>59110</v>
      </c>
      <c r="G62" s="390">
        <v>4020</v>
      </c>
      <c r="H62" s="390">
        <f>IF('Hypotheses expl'!$P$112="0j",'Hypotheses expl'!I112,IF('Hypotheses expl'!$P$112="30j",'Hypotheses expl'!H112,'Hypotheses expl'!G112))</f>
        <v>0</v>
      </c>
      <c r="I62" s="390">
        <v>0</v>
      </c>
      <c r="J62" s="390">
        <v>0</v>
      </c>
      <c r="K62" s="390">
        <v>0</v>
      </c>
      <c r="L62" s="390">
        <v>0</v>
      </c>
      <c r="M62" s="390">
        <v>118220</v>
      </c>
    </row>
    <row r="63" outlineLevel="1">
      <c r="A63" s="393" t="str">
        <f>'Compte résultat prévi'!A58</f>
        <v xml:space="preserve">Location mobilière</v>
      </c>
      <c r="B63" s="390">
        <f>IF('Hypotheses expl'!$P$113="0j",'Hypotheses expl'!C113,IF('Hypotheses expl'!$P$113="30j",'Hypotheses expl'!B113,'Hypotheses expl'!A113))</f>
        <v>5152.833333333333</v>
      </c>
      <c r="C63" s="390">
        <f>IF('Hypotheses expl'!$P$113="0j",'Hypotheses expl'!D113,IF('Hypotheses expl'!$P$113="30j",'Hypotheses expl'!C113,'Hypotheses expl'!B113))</f>
        <v>102.83333333333333</v>
      </c>
      <c r="D63" s="390">
        <f>IF('Hypotheses expl'!$P$113="0j",'Hypotheses expl'!E113,IF('Hypotheses expl'!$P$113="30j",'Hypotheses expl'!D113,'Hypotheses expl'!C113))</f>
        <v>102.83333333333333</v>
      </c>
      <c r="E63" s="390">
        <f>IF('Hypotheses expl'!$P$113="0j",'Hypotheses expl'!F113,IF('Hypotheses expl'!$P$113="30j",'Hypotheses expl'!E113,'Hypotheses expl'!D113))</f>
        <v>5152.833333333333</v>
      </c>
      <c r="F63" s="390">
        <f>IF('Hypotheses expl'!$P$113="0j",'Hypotheses expl'!G113,IF('Hypotheses expl'!$P$113="30j",'Hypotheses expl'!F113,'Hypotheses expl'!E113))</f>
        <v>102.83333333333333</v>
      </c>
      <c r="G63" s="390">
        <f>IF('Hypotheses expl'!$P$113="0j",'Hypotheses expl'!H113,IF('Hypotheses expl'!$P$113="30j",'Hypotheses expl'!G113,'Hypotheses expl'!F113))</f>
        <v>102.83333333333333</v>
      </c>
      <c r="H63" s="390">
        <f>IF('Hypotheses expl'!$P$113="0j",'Hypotheses expl'!I113,IF('Hypotheses expl'!$P$113="30j",'Hypotheses expl'!H113,'Hypotheses expl'!G113))</f>
        <v>5152.833333333333</v>
      </c>
      <c r="I63" s="390">
        <f>IF('Hypotheses expl'!$P$113="0j",'Hypotheses expl'!J113,IF('Hypotheses expl'!$P$113="30j",'Hypotheses expl'!I113,'Hypotheses expl'!H113))</f>
        <v>102.83333333333333</v>
      </c>
      <c r="J63" s="390">
        <f>IF('Hypotheses expl'!$P$113="0j",'Hypotheses expl'!K113,IF('Hypotheses expl'!$P$113="30j",'Hypotheses expl'!J113,'Hypotheses expl'!I113))</f>
        <v>102.83333333333333</v>
      </c>
      <c r="K63" s="390">
        <f>IF('Hypotheses expl'!$P$113="0j",'Hypotheses expl'!L113,IF('Hypotheses expl'!$P$113="30j",'Hypotheses expl'!K113,'Hypotheses expl'!J113))</f>
        <v>5152.833333333333</v>
      </c>
      <c r="L63" s="390">
        <f>IF('Hypotheses expl'!$P$113="0j",'Hypotheses expl'!M113,IF('Hypotheses expl'!$P$113="30j",'Hypotheses expl'!L113,'Hypotheses expl'!K113))</f>
        <v>102.83333333333333</v>
      </c>
      <c r="M63" s="390">
        <f>IF('Hypotheses expl'!$P$113="0j",'Hypotheses expl'!N113,IF('Hypotheses expl'!$P$113="30j",'Hypotheses expl'!M113,'Hypotheses expl'!L113))</f>
        <v>102.83333333333333</v>
      </c>
    </row>
    <row r="64" outlineLevel="1">
      <c r="A64" s="393" t="str">
        <f>'Compte résultat prévi'!A59</f>
        <v xml:space="preserve">Entretien sur locaux</v>
      </c>
      <c r="B64" s="390">
        <f>IF('Hypotheses expl'!$P$114="0j",'Hypotheses expl'!C114,IF('Hypotheses expl'!$P$114="30j",'Hypotheses expl'!B114,'Hypotheses expl'!A114))</f>
        <v>2750</v>
      </c>
      <c r="C64" s="390">
        <f>IF('Hypotheses expl'!$P$114="0j",'Hypotheses expl'!D114,IF('Hypotheses expl'!$P$114="30j",'Hypotheses expl'!C114,'Hypotheses expl'!B114))</f>
        <v>0</v>
      </c>
      <c r="D64" s="390">
        <f>IF('Hypotheses expl'!$P$114="0j",'Hypotheses expl'!E114,IF('Hypotheses expl'!$P$114="30j",'Hypotheses expl'!D114,'Hypotheses expl'!C114))</f>
        <v>0</v>
      </c>
      <c r="E64" s="390">
        <f>IF('Hypotheses expl'!$P$114="0j",'Hypotheses expl'!F114,IF('Hypotheses expl'!$P$114="30j",'Hypotheses expl'!E114,'Hypotheses expl'!D114))</f>
        <v>2750</v>
      </c>
      <c r="F64" s="390">
        <f>IF('Hypotheses expl'!$P$114="0j",'Hypotheses expl'!G114,IF('Hypotheses expl'!$P$114="30j",'Hypotheses expl'!F114,'Hypotheses expl'!E114))</f>
        <v>0</v>
      </c>
      <c r="G64" s="390">
        <f>IF('Hypotheses expl'!$P$114="0j",'Hypotheses expl'!H114,IF('Hypotheses expl'!$P$114="30j",'Hypotheses expl'!G114,'Hypotheses expl'!F114))</f>
        <v>0</v>
      </c>
      <c r="H64" s="390">
        <f>IF('Hypotheses expl'!$P$114="0j",'Hypotheses expl'!I114,IF('Hypotheses expl'!$P$114="30j",'Hypotheses expl'!H114,'Hypotheses expl'!G114))</f>
        <v>2750</v>
      </c>
      <c r="I64" s="390">
        <f>IF('Hypotheses expl'!$P$114="0j",'Hypotheses expl'!J114,IF('Hypotheses expl'!$P$114="30j",'Hypotheses expl'!I114,'Hypotheses expl'!H114))</f>
        <v>0</v>
      </c>
      <c r="J64" s="390">
        <f>IF('Hypotheses expl'!$P$114="0j",'Hypotheses expl'!K114,IF('Hypotheses expl'!$P$114="30j",'Hypotheses expl'!J114,'Hypotheses expl'!I114))</f>
        <v>0</v>
      </c>
      <c r="K64" s="390">
        <f>IF('Hypotheses expl'!$P$114="0j",'Hypotheses expl'!L114,IF('Hypotheses expl'!$P$114="30j",'Hypotheses expl'!K114,'Hypotheses expl'!J114))</f>
        <v>2750</v>
      </c>
      <c r="L64" s="390">
        <f>IF('Hypotheses expl'!$P$114="0j",'Hypotheses expl'!M114,IF('Hypotheses expl'!$P$114="30j",'Hypotheses expl'!L114,'Hypotheses expl'!K114))</f>
        <v>0</v>
      </c>
      <c r="M64" s="390">
        <f>IF('Hypotheses expl'!$P$114="0j",'Hypotheses expl'!N114,IF('Hypotheses expl'!$P$114="30j",'Hypotheses expl'!M114,'Hypotheses expl'!L114))</f>
        <v>0</v>
      </c>
    </row>
    <row r="65" outlineLevel="1">
      <c r="A65" s="393" t="str">
        <f>'Compte résultat prévi'!A60</f>
        <v xml:space="preserve">Maintenance  générale</v>
      </c>
      <c r="B65" s="390">
        <f>IF('Hypotheses expl'!$P$115="0j",'Hypotheses expl'!C115,IF('Hypotheses expl'!$P$115="30j",'Hypotheses expl'!B115,'Hypotheses expl'!A115))</f>
        <v>841</v>
      </c>
      <c r="C65" s="390">
        <f>IF('Hypotheses expl'!$P$115="0j",'Hypotheses expl'!D115,IF('Hypotheses expl'!$P$115="30j",'Hypotheses expl'!C115,'Hypotheses expl'!B115))</f>
        <v>841</v>
      </c>
      <c r="D65" s="390">
        <f>IF('Hypotheses expl'!$P$115="0j",'Hypotheses expl'!E115,IF('Hypotheses expl'!$P$115="30j",'Hypotheses expl'!D115,'Hypotheses expl'!C115))</f>
        <v>841</v>
      </c>
      <c r="E65" s="390">
        <f>IF('Hypotheses expl'!$P$115="0j",'Hypotheses expl'!F115,IF('Hypotheses expl'!$P$115="30j",'Hypotheses expl'!E115,'Hypotheses expl'!D115))</f>
        <v>841</v>
      </c>
      <c r="F65" s="390">
        <f>IF('Hypotheses expl'!$P$115="0j",'Hypotheses expl'!G115,IF('Hypotheses expl'!$P$115="30j",'Hypotheses expl'!F115,'Hypotheses expl'!E115))</f>
        <v>841</v>
      </c>
      <c r="G65" s="390">
        <f>IF('Hypotheses expl'!$P$115="0j",'Hypotheses expl'!H115,IF('Hypotheses expl'!$P$115="30j",'Hypotheses expl'!G115,'Hypotheses expl'!F115))</f>
        <v>841</v>
      </c>
      <c r="H65" s="390">
        <f>IF('Hypotheses expl'!$P$115="0j",'Hypotheses expl'!I115,IF('Hypotheses expl'!$P$115="30j",'Hypotheses expl'!H115,'Hypotheses expl'!G115))</f>
        <v>841</v>
      </c>
      <c r="I65" s="390">
        <f>IF('Hypotheses expl'!$P$115="0j",'Hypotheses expl'!J115,IF('Hypotheses expl'!$P$115="30j",'Hypotheses expl'!I115,'Hypotheses expl'!H115))</f>
        <v>841</v>
      </c>
      <c r="J65" s="390">
        <f>IF('Hypotheses expl'!$P$115="0j",'Hypotheses expl'!K115,IF('Hypotheses expl'!$P$115="30j",'Hypotheses expl'!J115,'Hypotheses expl'!I115))</f>
        <v>841</v>
      </c>
      <c r="K65" s="390">
        <f>IF('Hypotheses expl'!$P$115="0j",'Hypotheses expl'!L115,IF('Hypotheses expl'!$P$115="30j",'Hypotheses expl'!K115,'Hypotheses expl'!J115))</f>
        <v>841</v>
      </c>
      <c r="L65" s="390">
        <f>IF('Hypotheses expl'!$P$115="0j",'Hypotheses expl'!M115,IF('Hypotheses expl'!$P$115="30j",'Hypotheses expl'!L115,'Hypotheses expl'!K115))</f>
        <v>841</v>
      </c>
      <c r="M65" s="390">
        <f>IF('Hypotheses expl'!$P$115="0j",'Hypotheses expl'!N115,IF('Hypotheses expl'!$P$115="30j",'Hypotheses expl'!M115,'Hypotheses expl'!L115))</f>
        <v>841</v>
      </c>
    </row>
    <row r="66" outlineLevel="1">
      <c r="A66" s="393" t="str">
        <f>'Compte résultat prévi'!A61</f>
        <v>Assurance</v>
      </c>
      <c r="B66" s="390">
        <f>IF('Hypotheses expl'!$P$116="0j",'Hypotheses expl'!C116,IF('Hypotheses expl'!$P$116="30j",'Hypotheses expl'!B116,'Hypotheses expl'!A116))</f>
        <v>883.33333333333337</v>
      </c>
      <c r="C66" s="390">
        <f>IF('Hypotheses expl'!$P$116="0j",'Hypotheses expl'!D116,IF('Hypotheses expl'!$P$116="30j",'Hypotheses expl'!C116,'Hypotheses expl'!B116))</f>
        <v>883.33333333333337</v>
      </c>
      <c r="D66" s="390">
        <f>IF('Hypotheses expl'!$P$116="0j",'Hypotheses expl'!E116,IF('Hypotheses expl'!$P$116="30j",'Hypotheses expl'!D116,'Hypotheses expl'!C116))</f>
        <v>883.33333333333337</v>
      </c>
      <c r="E66" s="390">
        <f>IF('Hypotheses expl'!$P$116="0j",'Hypotheses expl'!F116,IF('Hypotheses expl'!$P$116="30j",'Hypotheses expl'!E116,'Hypotheses expl'!D116))</f>
        <v>883.33333333333337</v>
      </c>
      <c r="F66" s="390">
        <f>IF('Hypotheses expl'!$P$116="0j",'Hypotheses expl'!G116,IF('Hypotheses expl'!$P$116="30j",'Hypotheses expl'!F116,'Hypotheses expl'!E116))</f>
        <v>883.33333333333337</v>
      </c>
      <c r="G66" s="390">
        <f>IF('Hypotheses expl'!$P$116="0j",'Hypotheses expl'!H116,IF('Hypotheses expl'!$P$116="30j",'Hypotheses expl'!G116,'Hypotheses expl'!F116))</f>
        <v>883.33333333333337</v>
      </c>
      <c r="H66" s="390">
        <f>IF('Hypotheses expl'!$P$116="0j",'Hypotheses expl'!I116,IF('Hypotheses expl'!$P$116="30j",'Hypotheses expl'!H116,'Hypotheses expl'!G116))</f>
        <v>883.33333333333337</v>
      </c>
      <c r="I66" s="390">
        <f>IF('Hypotheses expl'!$P$116="0j",'Hypotheses expl'!J116,IF('Hypotheses expl'!$P$116="30j",'Hypotheses expl'!I116,'Hypotheses expl'!H116))</f>
        <v>883.33333333333337</v>
      </c>
      <c r="J66" s="390">
        <f>IF('Hypotheses expl'!$P$116="0j",'Hypotheses expl'!K116,IF('Hypotheses expl'!$P$116="30j",'Hypotheses expl'!J116,'Hypotheses expl'!I116))</f>
        <v>883.33333333333337</v>
      </c>
      <c r="K66" s="390">
        <f>IF('Hypotheses expl'!$P$116="0j",'Hypotheses expl'!L116,IF('Hypotheses expl'!$P$116="30j",'Hypotheses expl'!K116,'Hypotheses expl'!J116))</f>
        <v>883.33333333333337</v>
      </c>
      <c r="L66" s="390">
        <f>IF('Hypotheses expl'!$P$116="0j",'Hypotheses expl'!M116,IF('Hypotheses expl'!$P$116="30j",'Hypotheses expl'!L116,'Hypotheses expl'!K116))</f>
        <v>883.33333333333337</v>
      </c>
      <c r="M66" s="390">
        <f>IF('Hypotheses expl'!$P$116="0j",'Hypotheses expl'!N116,IF('Hypotheses expl'!$P$116="30j",'Hypotheses expl'!M116,'Hypotheses expl'!L116))</f>
        <v>883.33333333333337</v>
      </c>
    </row>
    <row r="67" outlineLevel="1">
      <c r="A67" s="393" t="str">
        <f>'Compte résultat prévi'!A62</f>
        <v>Documentation</v>
      </c>
      <c r="B67" s="390">
        <f>IF('Hypotheses expl'!$P$117="0j",'Hypotheses expl'!C117,IF('Hypotheses expl'!$P$117="30j",'Hypotheses expl'!B117,'Hypotheses expl'!A117))</f>
        <v>1250</v>
      </c>
      <c r="C67" s="390">
        <f>IF('Hypotheses expl'!$P$117="0j",'Hypotheses expl'!D117,IF('Hypotheses expl'!$P$117="30j",'Hypotheses expl'!C117,'Hypotheses expl'!B117))</f>
        <v>1250</v>
      </c>
      <c r="D67" s="390">
        <f>IF('Hypotheses expl'!$P$117="0j",'Hypotheses expl'!E117,IF('Hypotheses expl'!$P$117="30j",'Hypotheses expl'!D117,'Hypotheses expl'!C117))</f>
        <v>1250</v>
      </c>
      <c r="E67" s="390">
        <f>IF('Hypotheses expl'!$P$117="0j",'Hypotheses expl'!F117,IF('Hypotheses expl'!$P$117="30j",'Hypotheses expl'!E117,'Hypotheses expl'!D117))</f>
        <v>1250</v>
      </c>
      <c r="F67" s="390">
        <f>IF('Hypotheses expl'!$P$117="0j",'Hypotheses expl'!G117,IF('Hypotheses expl'!$P$117="30j",'Hypotheses expl'!F117,'Hypotheses expl'!E117))</f>
        <v>1250</v>
      </c>
      <c r="G67" s="390">
        <f>IF('Hypotheses expl'!$P$117="0j",'Hypotheses expl'!H117,IF('Hypotheses expl'!$P$117="30j",'Hypotheses expl'!G117,'Hypotheses expl'!F117))</f>
        <v>1250</v>
      </c>
      <c r="H67" s="390">
        <f>IF('Hypotheses expl'!$P$117="0j",'Hypotheses expl'!I117,IF('Hypotheses expl'!$P$117="30j",'Hypotheses expl'!H117,'Hypotheses expl'!G117))</f>
        <v>1250</v>
      </c>
      <c r="I67" s="390">
        <f>IF('Hypotheses expl'!$P$117="0j",'Hypotheses expl'!J117,IF('Hypotheses expl'!$P$117="30j",'Hypotheses expl'!I117,'Hypotheses expl'!H117))</f>
        <v>1250</v>
      </c>
      <c r="J67" s="390">
        <f>IF('Hypotheses expl'!$P$117="0j",'Hypotheses expl'!K117,IF('Hypotheses expl'!$P$117="30j",'Hypotheses expl'!J117,'Hypotheses expl'!I117))</f>
        <v>1250</v>
      </c>
      <c r="K67" s="390">
        <f>IF('Hypotheses expl'!$P$117="0j",'Hypotheses expl'!L117,IF('Hypotheses expl'!$P$117="30j",'Hypotheses expl'!K117,'Hypotheses expl'!J117))</f>
        <v>1250</v>
      </c>
      <c r="L67" s="390">
        <f>IF('Hypotheses expl'!$P$117="0j",'Hypotheses expl'!M117,IF('Hypotheses expl'!$P$117="30j",'Hypotheses expl'!L117,'Hypotheses expl'!K117))</f>
        <v>1250</v>
      </c>
      <c r="M67" s="390">
        <f>IF('Hypotheses expl'!$P$117="0j",'Hypotheses expl'!N117,IF('Hypotheses expl'!$P$117="30j",'Hypotheses expl'!M117,'Hypotheses expl'!L117))</f>
        <v>1250</v>
      </c>
    </row>
    <row r="68" outlineLevel="1">
      <c r="A68" s="393" t="str">
        <f>'Compte résultat prévi'!A63</f>
        <v xml:space="preserve">Honoraires EC/CAC</v>
      </c>
      <c r="B68" s="390">
        <f>IF('Hypotheses expl'!$P$118="0j",'Hypotheses expl'!C118,0)</f>
        <v>0</v>
      </c>
      <c r="C68" s="390">
        <f>IF('Hypotheses expl'!$P$118="0j",'Hypotheses expl'!D118,IF('Hypotheses expl'!$P$118="30j",'Hypotheses expl'!C118,'Hypotheses expl'!B118))</f>
        <v>1458.3333333333333</v>
      </c>
      <c r="D68" s="390">
        <f>IF('Hypotheses expl'!$P$118="0j",'Hypotheses expl'!E118,IF('Hypotheses expl'!$P$118="30j",'Hypotheses expl'!D118,'Hypotheses expl'!C118))</f>
        <v>1458.3333333333333</v>
      </c>
      <c r="E68" s="390">
        <f>IF('Hypotheses expl'!$P$118="0j",'Hypotheses expl'!F118,IF('Hypotheses expl'!$P$118="30j",'Hypotheses expl'!E118,'Hypotheses expl'!D118))</f>
        <v>7698.333333333333</v>
      </c>
      <c r="F68" s="390">
        <f>IF('Hypotheses expl'!$P$118="0j",'Hypotheses expl'!G118,IF('Hypotheses expl'!$P$118="30j",'Hypotheses expl'!F118,'Hypotheses expl'!E118))</f>
        <v>1458.3333333333333</v>
      </c>
      <c r="G68" s="390">
        <f>IF('Hypotheses expl'!$P$118="0j",'Hypotheses expl'!H118,IF('Hypotheses expl'!$P$118="30j",'Hypotheses expl'!G118,'Hypotheses expl'!F118))</f>
        <v>1458.3333333333333</v>
      </c>
      <c r="H68" s="390">
        <f>IF('Hypotheses expl'!$P$118="0j",'Hypotheses expl'!I118,IF('Hypotheses expl'!$P$118="30j",'Hypotheses expl'!H118,'Hypotheses expl'!G118))</f>
        <v>1458.3333333333333</v>
      </c>
      <c r="I68" s="390">
        <f>IF('Hypotheses expl'!$P$118="0j",'Hypotheses expl'!J118,IF('Hypotheses expl'!$P$118="30j",'Hypotheses expl'!I118,'Hypotheses expl'!H118))</f>
        <v>1458.3333333333333</v>
      </c>
      <c r="J68" s="390">
        <f>IF('Hypotheses expl'!$P$118="0j",'Hypotheses expl'!K118,IF('Hypotheses expl'!$P$118="30j",'Hypotheses expl'!J118,'Hypotheses expl'!I118))</f>
        <v>1458.3333333333333</v>
      </c>
      <c r="K68" s="390">
        <f>IF('Hypotheses expl'!$P$118="0j",'Hypotheses expl'!L118,IF('Hypotheses expl'!$P$118="30j",'Hypotheses expl'!K118,'Hypotheses expl'!J118))</f>
        <v>9958.3333333333339</v>
      </c>
      <c r="L68" s="390">
        <f>IF('Hypotheses expl'!$P$118="0j",'Hypotheses expl'!M118,IF('Hypotheses expl'!$P$118="30j",'Hypotheses expl'!L118,'Hypotheses expl'!K118))</f>
        <v>1458.3333333333333</v>
      </c>
      <c r="M68" s="390">
        <f>IF('Hypotheses expl'!$P$118="0j",'Hypotheses expl'!N118,IF('Hypotheses expl'!$P$118="30j",'Hypotheses expl'!M118,'Hypotheses expl'!L118))</f>
        <v>1458.3333333333333</v>
      </c>
    </row>
    <row r="69" outlineLevel="1">
      <c r="A69" s="393" t="str">
        <f>'Compte résultat prévi'!A64</f>
        <v xml:space="preserve">Honoraires paie</v>
      </c>
      <c r="B69" s="390">
        <f>IF('Hypotheses expl'!$P$119="0j",'Hypotheses expl'!C119,IF('Hypotheses expl'!$P$119="30j",'Hypotheses expl'!B119,'Hypotheses expl'!A119))</f>
        <v>1250</v>
      </c>
      <c r="C69" s="390">
        <f>IF('Hypotheses expl'!$P$119="0j",'Hypotheses expl'!D119,IF('Hypotheses expl'!$P$119="30j",'Hypotheses expl'!C119,'Hypotheses expl'!B119))</f>
        <v>1250</v>
      </c>
      <c r="D69" s="390">
        <f>IF('Hypotheses expl'!$P$119="0j",'Hypotheses expl'!E119,IF('Hypotheses expl'!$P$119="30j",'Hypotheses expl'!D119,'Hypotheses expl'!C119))</f>
        <v>1250</v>
      </c>
      <c r="E69" s="390">
        <f>IF('Hypotheses expl'!$P$119="0j",'Hypotheses expl'!F119,IF('Hypotheses expl'!$P$119="30j",'Hypotheses expl'!E119,'Hypotheses expl'!D119))</f>
        <v>1250</v>
      </c>
      <c r="F69" s="390">
        <f>IF('Hypotheses expl'!$P$119="0j",'Hypotheses expl'!G119,IF('Hypotheses expl'!$P$119="30j",'Hypotheses expl'!F119,'Hypotheses expl'!E119))</f>
        <v>1250</v>
      </c>
      <c r="G69" s="390">
        <f>IF('Hypotheses expl'!$P$119="0j",'Hypotheses expl'!H119,IF('Hypotheses expl'!$P$119="30j",'Hypotheses expl'!G119,'Hypotheses expl'!F119))</f>
        <v>1250</v>
      </c>
      <c r="H69" s="390">
        <f>IF('Hypotheses expl'!$P$119="0j",'Hypotheses expl'!I119,IF('Hypotheses expl'!$P$119="30j",'Hypotheses expl'!H119,'Hypotheses expl'!G119))</f>
        <v>1250</v>
      </c>
      <c r="I69" s="390">
        <f>IF('Hypotheses expl'!$P$119="0j",'Hypotheses expl'!J119,IF('Hypotheses expl'!$P$119="30j",'Hypotheses expl'!I119,'Hypotheses expl'!H119))</f>
        <v>1250</v>
      </c>
      <c r="J69" s="390">
        <f>IF('Hypotheses expl'!$P$119="0j",'Hypotheses expl'!K119,IF('Hypotheses expl'!$P$119="30j",'Hypotheses expl'!J119,'Hypotheses expl'!I119))</f>
        <v>1250</v>
      </c>
      <c r="K69" s="390">
        <f>IF('Hypotheses expl'!$P$119="0j",'Hypotheses expl'!L119,IF('Hypotheses expl'!$P$119="30j",'Hypotheses expl'!K119,'Hypotheses expl'!J119))</f>
        <v>1250</v>
      </c>
      <c r="L69" s="390">
        <f>IF('Hypotheses expl'!$P$119="0j",'Hypotheses expl'!M119,IF('Hypotheses expl'!$P$119="30j",'Hypotheses expl'!L119,'Hypotheses expl'!K119))</f>
        <v>1250</v>
      </c>
      <c r="M69" s="390">
        <f>IF('Hypotheses expl'!$P$119="0j",'Hypotheses expl'!N119,IF('Hypotheses expl'!$P$119="30j",'Hypotheses expl'!M119,'Hypotheses expl'!L119))</f>
        <v>1250</v>
      </c>
    </row>
    <row r="70" outlineLevel="1">
      <c r="A70" s="393" t="str">
        <f>'Compte résultat prévi'!A65</f>
        <v xml:space="preserve">Honoraires divers</v>
      </c>
      <c r="B70" s="390">
        <f>IF('Hypotheses expl'!$P$120="0j",'Hypotheses expl'!C120,IF('Hypotheses expl'!$P$120="30j",'Hypotheses expl'!B120,'Hypotheses expl'!A120))</f>
        <v>0</v>
      </c>
      <c r="C70" s="390">
        <f>IF('Hypotheses expl'!$P$120="0j",'Hypotheses expl'!D120,IF('Hypotheses expl'!$P$120="30j",'Hypotheses expl'!C120,'Hypotheses expl'!B120))</f>
        <v>0</v>
      </c>
      <c r="D70" s="390">
        <v>5418</v>
      </c>
      <c r="E70" s="390">
        <v>5652</v>
      </c>
      <c r="F70" s="390">
        <v>5369</v>
      </c>
      <c r="G70" s="390">
        <v>3956</v>
      </c>
      <c r="H70" s="390">
        <v>2166</v>
      </c>
      <c r="I70" s="390">
        <v>1300</v>
      </c>
      <c r="J70" s="390">
        <v>5000</v>
      </c>
      <c r="K70" s="390">
        <v>5000</v>
      </c>
      <c r="L70" s="390">
        <v>5000</v>
      </c>
      <c r="M70" s="390">
        <v>5000</v>
      </c>
    </row>
    <row r="71" outlineLevel="1">
      <c r="A71" s="393" t="str">
        <f>'Compte résultat prévi'!A66</f>
        <v>Communication</v>
      </c>
      <c r="B71" s="390">
        <f>IF('Hypotheses expl'!$P$121="0j",'Hypotheses expl'!C121,IF('Hypotheses expl'!$P$121="30j",'Hypotheses expl'!B121,'Hypotheses expl'!A121))</f>
        <v>0</v>
      </c>
      <c r="C71" s="390">
        <f>IF('Hypotheses expl'!$P$121="0j",'Hypotheses expl'!D121,IF('Hypotheses expl'!$P$121="30j",'Hypotheses expl'!C121,'Hypotheses expl'!B121))</f>
        <v>625</v>
      </c>
      <c r="D71" s="390">
        <f>IF('Hypotheses expl'!$P$121="0j",'Hypotheses expl'!E121,IF('Hypotheses expl'!$P$121="30j",'Hypotheses expl'!D121,'Hypotheses expl'!C121))</f>
        <v>0</v>
      </c>
      <c r="E71" s="390">
        <f>IF('Hypotheses expl'!$P$121="0j",'Hypotheses expl'!F121,IF('Hypotheses expl'!$P$121="30j",'Hypotheses expl'!E121,'Hypotheses expl'!D121))</f>
        <v>0</v>
      </c>
      <c r="F71" s="390">
        <f>IF('Hypotheses expl'!$P$121="0j",'Hypotheses expl'!G121,IF('Hypotheses expl'!$P$121="30j",'Hypotheses expl'!F121,'Hypotheses expl'!E121))</f>
        <v>625</v>
      </c>
      <c r="G71" s="390">
        <f>IF('Hypotheses expl'!$P$121="0j",'Hypotheses expl'!H121,IF('Hypotheses expl'!$P$121="30j",'Hypotheses expl'!G121,'Hypotheses expl'!F121))</f>
        <v>0</v>
      </c>
      <c r="H71" s="390">
        <f>IF('Hypotheses expl'!$P$121="0j",'Hypotheses expl'!I121,IF('Hypotheses expl'!$P$121="30j",'Hypotheses expl'!H121,'Hypotheses expl'!G121))</f>
        <v>0</v>
      </c>
      <c r="I71" s="390">
        <f>IF('Hypotheses expl'!$P$121="0j",'Hypotheses expl'!J121,IF('Hypotheses expl'!$P$121="30j",'Hypotheses expl'!I121,'Hypotheses expl'!H121))</f>
        <v>625</v>
      </c>
      <c r="J71" s="390">
        <f>IF('Hypotheses expl'!$P$121="0j",'Hypotheses expl'!K121,IF('Hypotheses expl'!$P$121="30j",'Hypotheses expl'!J121,'Hypotheses expl'!I121))</f>
        <v>0</v>
      </c>
      <c r="K71" s="390">
        <f>IF('Hypotheses expl'!$P$121="0j",'Hypotheses expl'!L121,IF('Hypotheses expl'!$P$121="30j",'Hypotheses expl'!K121,'Hypotheses expl'!J121))</f>
        <v>0</v>
      </c>
      <c r="L71" s="390">
        <f>IF('Hypotheses expl'!$P$121="0j",'Hypotheses expl'!M121,IF('Hypotheses expl'!$P$121="30j",'Hypotheses expl'!L121,'Hypotheses expl'!K121))</f>
        <v>625</v>
      </c>
      <c r="M71" s="390">
        <f>IF('Hypotheses expl'!$P$121="0j",'Hypotheses expl'!N121,IF('Hypotheses expl'!$P$121="30j",'Hypotheses expl'!M121,'Hypotheses expl'!L121))</f>
        <v>0</v>
      </c>
    </row>
    <row r="72" outlineLevel="1">
      <c r="A72" s="393" t="str">
        <f>'Compte résultat prévi'!A67</f>
        <v xml:space="preserve">Frais déplacement</v>
      </c>
      <c r="B72" s="390">
        <f>IF('Hypotheses expl'!$P$122="0j",'Hypotheses expl'!C122,IF('Hypotheses expl'!$P$122="30j",'Hypotheses expl'!B122,'Hypotheses expl'!A122))</f>
        <v>100</v>
      </c>
      <c r="C72" s="390">
        <f>IF('Hypotheses expl'!$P$122="0j",'Hypotheses expl'!D122,IF('Hypotheses expl'!$P$122="30j",'Hypotheses expl'!C122,'Hypotheses expl'!B122))</f>
        <v>100</v>
      </c>
      <c r="D72" s="390">
        <f>IF('Hypotheses expl'!$P$122="0j",'Hypotheses expl'!E122,IF('Hypotheses expl'!$P$122="30j",'Hypotheses expl'!D122,'Hypotheses expl'!C122))</f>
        <v>100</v>
      </c>
      <c r="E72" s="390">
        <f>499.1+35.99+372.73+65.81+47.9</f>
        <v>1021.5300000000001</v>
      </c>
      <c r="F72" s="390">
        <f>IF('Hypotheses expl'!$P$122="0j",'Hypotheses expl'!G122,IF('Hypotheses expl'!$P$122="30j",'Hypotheses expl'!F122,'Hypotheses expl'!E122))</f>
        <v>100</v>
      </c>
      <c r="G72" s="390">
        <f>IF('Hypotheses expl'!$P$122="0j",'Hypotheses expl'!H122,IF('Hypotheses expl'!$P$122="30j",'Hypotheses expl'!G122,'Hypotheses expl'!F122))</f>
        <v>100</v>
      </c>
      <c r="H72" s="390">
        <f>IF('Hypotheses expl'!$P$122="0j",'Hypotheses expl'!I122,IF('Hypotheses expl'!$P$122="30j",'Hypotheses expl'!H122,'Hypotheses expl'!G122))</f>
        <v>100</v>
      </c>
      <c r="I72" s="390">
        <f>IF('Hypotheses expl'!$P$122="0j",'Hypotheses expl'!J122,IF('Hypotheses expl'!$P$122="30j",'Hypotheses expl'!I122,'Hypotheses expl'!H122))</f>
        <v>100</v>
      </c>
      <c r="J72" s="390">
        <f>IF('Hypotheses expl'!$P$122="0j",'Hypotheses expl'!K122,IF('Hypotheses expl'!$P$122="30j",'Hypotheses expl'!J122,'Hypotheses expl'!I122))</f>
        <v>100</v>
      </c>
      <c r="K72" s="390">
        <f>IF('Hypotheses expl'!$P$122="0j",'Hypotheses expl'!L122,IF('Hypotheses expl'!$P$122="30j",'Hypotheses expl'!K122,'Hypotheses expl'!J122))</f>
        <v>100</v>
      </c>
      <c r="L72" s="390">
        <f>IF('Hypotheses expl'!$P$122="0j",'Hypotheses expl'!M122,IF('Hypotheses expl'!$P$122="30j",'Hypotheses expl'!L122,'Hypotheses expl'!K122))</f>
        <v>100</v>
      </c>
      <c r="M72" s="390">
        <f>IF('Hypotheses expl'!$P$122="0j",'Hypotheses expl'!N122,IF('Hypotheses expl'!$P$122="30j",'Hypotheses expl'!M122,'Hypotheses expl'!L122))</f>
        <v>100</v>
      </c>
    </row>
    <row r="73" outlineLevel="1">
      <c r="A73" s="393" t="str">
        <f>'Compte résultat prévi'!A68</f>
        <v xml:space="preserve">Déplacement vacataires/stagiaires</v>
      </c>
      <c r="B73" s="390">
        <f>IF('Hypotheses expl'!$P$123="0j",'Hypotheses expl'!C123,IF('Hypotheses expl'!$P$123="30j",'Hypotheses expl'!B123,'Hypotheses expl'!A123))</f>
        <v>191.66666666666666</v>
      </c>
      <c r="C73" s="390">
        <f>IF('Hypotheses expl'!$P$123="0j",'Hypotheses expl'!D123,IF('Hypotheses expl'!$P$123="30j",'Hypotheses expl'!C123,'Hypotheses expl'!B123))</f>
        <v>191.66666666666666</v>
      </c>
      <c r="D73" s="390">
        <f>IF('Hypotheses expl'!$P$123="0j",'Hypotheses expl'!E123,IF('Hypotheses expl'!$P$123="30j",'Hypotheses expl'!D123,'Hypotheses expl'!C123))</f>
        <v>191.66666666666666</v>
      </c>
      <c r="E73" s="390">
        <f>IF('Hypotheses expl'!$P$123="0j",'Hypotheses expl'!F123,IF('Hypotheses expl'!$P$123="30j",'Hypotheses expl'!E123,'Hypotheses expl'!D123))</f>
        <v>191.66666666666666</v>
      </c>
      <c r="F73" s="390">
        <f>IF('Hypotheses expl'!$P$123="0j",'Hypotheses expl'!G123,IF('Hypotheses expl'!$P$123="30j",'Hypotheses expl'!F123,'Hypotheses expl'!E123))</f>
        <v>191.66666666666666</v>
      </c>
      <c r="G73" s="390">
        <f>IF('Hypotheses expl'!$P$123="0j",'Hypotheses expl'!H123,IF('Hypotheses expl'!$P$123="30j",'Hypotheses expl'!G123,'Hypotheses expl'!F123))</f>
        <v>191.66666666666666</v>
      </c>
      <c r="H73" s="390">
        <f>IF('Hypotheses expl'!$P$123="0j",'Hypotheses expl'!I123,IF('Hypotheses expl'!$P$123="30j",'Hypotheses expl'!H123,'Hypotheses expl'!G123))</f>
        <v>191.66666666666666</v>
      </c>
      <c r="I73" s="390">
        <f>IF('Hypotheses expl'!$P$123="0j",'Hypotheses expl'!J123,IF('Hypotheses expl'!$P$123="30j",'Hypotheses expl'!I123,'Hypotheses expl'!H123))</f>
        <v>191.66666666666666</v>
      </c>
      <c r="J73" s="390">
        <f>IF('Hypotheses expl'!$P$123="0j",'Hypotheses expl'!K123,IF('Hypotheses expl'!$P$123="30j",'Hypotheses expl'!J123,'Hypotheses expl'!I123))</f>
        <v>191.66666666666666</v>
      </c>
      <c r="K73" s="390">
        <f>IF('Hypotheses expl'!$P$123="0j",'Hypotheses expl'!L123,IF('Hypotheses expl'!$P$123="30j",'Hypotheses expl'!K123,'Hypotheses expl'!J123))</f>
        <v>191.66666666666666</v>
      </c>
      <c r="L73" s="390">
        <f>IF('Hypotheses expl'!$P$123="0j",'Hypotheses expl'!M123,IF('Hypotheses expl'!$P$123="30j",'Hypotheses expl'!L123,'Hypotheses expl'!K123))</f>
        <v>191.66666666666666</v>
      </c>
      <c r="M73" s="390">
        <f>IF('Hypotheses expl'!$P$123="0j",'Hypotheses expl'!N123,IF('Hypotheses expl'!$P$123="30j",'Hypotheses expl'!M123,'Hypotheses expl'!L123))</f>
        <v>191.66666666666666</v>
      </c>
    </row>
    <row r="74" outlineLevel="1">
      <c r="A74" s="393" t="str">
        <f>'Compte résultat prévi'!A69</f>
        <v xml:space="preserve">Déplacement formateurs</v>
      </c>
      <c r="B74" s="390">
        <f>IF('Hypotheses expl'!$P$124="0j",'Hypotheses expl'!C124,IF('Hypotheses expl'!$P$124="30j",'Hypotheses expl'!B124,'Hypotheses expl'!A124))</f>
        <v>475</v>
      </c>
      <c r="C74" s="390">
        <f>IF('Hypotheses expl'!$P$124="0j",'Hypotheses expl'!D124,IF('Hypotheses expl'!$P$124="30j",'Hypotheses expl'!C124,'Hypotheses expl'!B124))</f>
        <v>475</v>
      </c>
      <c r="D74" s="390">
        <f>IF('Hypotheses expl'!$P$124="0j",'Hypotheses expl'!E124,IF('Hypotheses expl'!$P$124="30j",'Hypotheses expl'!D124,'Hypotheses expl'!C124))</f>
        <v>475</v>
      </c>
      <c r="E74" s="390">
        <f>IF('Hypotheses expl'!$P$124="0j",'Hypotheses expl'!F124,IF('Hypotheses expl'!$P$124="30j",'Hypotheses expl'!E124,'Hypotheses expl'!D124))</f>
        <v>475</v>
      </c>
      <c r="F74" s="390">
        <f>IF('Hypotheses expl'!$P$124="0j",'Hypotheses expl'!G124,IF('Hypotheses expl'!$P$124="30j",'Hypotheses expl'!F124,'Hypotheses expl'!E124))</f>
        <v>475</v>
      </c>
      <c r="G74" s="390">
        <f>IF('Hypotheses expl'!$P$124="0j",'Hypotheses expl'!H124,IF('Hypotheses expl'!$P$124="30j",'Hypotheses expl'!G124,'Hypotheses expl'!F124))</f>
        <v>475</v>
      </c>
      <c r="H74" s="390">
        <f>IF('Hypotheses expl'!$P$124="0j",'Hypotheses expl'!I124,IF('Hypotheses expl'!$P$124="30j",'Hypotheses expl'!H124,'Hypotheses expl'!G124))</f>
        <v>475</v>
      </c>
      <c r="I74" s="390">
        <f>IF('Hypotheses expl'!$P$124="0j",'Hypotheses expl'!J124,IF('Hypotheses expl'!$P$124="30j",'Hypotheses expl'!I124,'Hypotheses expl'!H124))</f>
        <v>475</v>
      </c>
      <c r="J74" s="390">
        <f>IF('Hypotheses expl'!$P$124="0j",'Hypotheses expl'!K124,IF('Hypotheses expl'!$P$124="30j",'Hypotheses expl'!J124,'Hypotheses expl'!I124))</f>
        <v>475</v>
      </c>
      <c r="K74" s="390">
        <f>IF('Hypotheses expl'!$P$124="0j",'Hypotheses expl'!L124,IF('Hypotheses expl'!$P$124="30j",'Hypotheses expl'!K124,'Hypotheses expl'!J124))</f>
        <v>475</v>
      </c>
      <c r="L74" s="390">
        <f>IF('Hypotheses expl'!$P$124="0j",'Hypotheses expl'!M124,IF('Hypotheses expl'!$P$124="30j",'Hypotheses expl'!L124,'Hypotheses expl'!K124))</f>
        <v>475</v>
      </c>
      <c r="M74" s="390">
        <f>IF('Hypotheses expl'!$P$124="0j",'Hypotheses expl'!N124,IF('Hypotheses expl'!$P$124="30j",'Hypotheses expl'!M124,'Hypotheses expl'!L124))</f>
        <v>475</v>
      </c>
    </row>
    <row r="75" outlineLevel="1">
      <c r="A75" s="393" t="str">
        <f>'Compte résultat prévi'!A70</f>
        <v xml:space="preserve">Déplacements admin</v>
      </c>
      <c r="B75" s="390">
        <f>IF('Hypotheses expl'!$P$125="0j",'Hypotheses expl'!C125,IF('Hypotheses expl'!$P$125="30j",'Hypotheses expl'!B125,'Hypotheses expl'!A125))</f>
        <v>125</v>
      </c>
      <c r="C75" s="390">
        <f>IF('Hypotheses expl'!$P$125="0j",'Hypotheses expl'!D125,IF('Hypotheses expl'!$P$125="30j",'Hypotheses expl'!C125,'Hypotheses expl'!B125))</f>
        <v>125</v>
      </c>
      <c r="D75" s="390">
        <f>IF('Hypotheses expl'!$P$125="0j",'Hypotheses expl'!E125,IF('Hypotheses expl'!$P$125="30j",'Hypotheses expl'!D125,'Hypotheses expl'!C125))</f>
        <v>125</v>
      </c>
      <c r="E75" s="390">
        <f>IF('Hypotheses expl'!$P$125="0j",'Hypotheses expl'!F125,IF('Hypotheses expl'!$P$125="30j",'Hypotheses expl'!E125,'Hypotheses expl'!D125))</f>
        <v>125</v>
      </c>
      <c r="F75" s="390">
        <f>IF('Hypotheses expl'!$P$125="0j",'Hypotheses expl'!G125,IF('Hypotheses expl'!$P$125="30j",'Hypotheses expl'!F125,'Hypotheses expl'!E125))</f>
        <v>125</v>
      </c>
      <c r="G75" s="390">
        <f>IF('Hypotheses expl'!$P$125="0j",'Hypotheses expl'!H125,IF('Hypotheses expl'!$P$125="30j",'Hypotheses expl'!G125,'Hypotheses expl'!F125))</f>
        <v>125</v>
      </c>
      <c r="H75" s="390">
        <f>IF('Hypotheses expl'!$P$125="0j",'Hypotheses expl'!I125,IF('Hypotheses expl'!$P$125="30j",'Hypotheses expl'!H125,'Hypotheses expl'!G125))</f>
        <v>125</v>
      </c>
      <c r="I75" s="390">
        <f>IF('Hypotheses expl'!$P$125="0j",'Hypotheses expl'!J125,IF('Hypotheses expl'!$P$125="30j",'Hypotheses expl'!I125,'Hypotheses expl'!H125))</f>
        <v>125</v>
      </c>
      <c r="J75" s="390">
        <f>IF('Hypotheses expl'!$P$125="0j",'Hypotheses expl'!K125,IF('Hypotheses expl'!$P$125="30j",'Hypotheses expl'!J125,'Hypotheses expl'!I125))</f>
        <v>125</v>
      </c>
      <c r="K75" s="390">
        <f>IF('Hypotheses expl'!$P$125="0j",'Hypotheses expl'!L125,IF('Hypotheses expl'!$P$125="30j",'Hypotheses expl'!K125,'Hypotheses expl'!J125))</f>
        <v>125</v>
      </c>
      <c r="L75" s="390">
        <f>IF('Hypotheses expl'!$P$125="0j",'Hypotheses expl'!M125,IF('Hypotheses expl'!$P$125="30j",'Hypotheses expl'!L125,'Hypotheses expl'!K125))</f>
        <v>125</v>
      </c>
      <c r="M75" s="390">
        <f>IF('Hypotheses expl'!$P$125="0j",'Hypotheses expl'!N125,IF('Hypotheses expl'!$P$125="30j",'Hypotheses expl'!M125,'Hypotheses expl'!L125))</f>
        <v>125</v>
      </c>
    </row>
    <row r="76" outlineLevel="1">
      <c r="A76" s="393" t="str">
        <f>'Compte résultat prévi'!A71</f>
        <v xml:space="preserve">Frais de mission</v>
      </c>
      <c r="B76" s="390">
        <f>IF('Hypotheses expl'!$P$126="0j",'Hypotheses expl'!C126,IF('Hypotheses expl'!$P$126="30j",'Hypotheses expl'!B126,'Hypotheses expl'!A126))</f>
        <v>1000</v>
      </c>
      <c r="C76" s="390">
        <f>IF('Hypotheses expl'!$P$126="0j",'Hypotheses expl'!D126,IF('Hypotheses expl'!$P$126="30j",'Hypotheses expl'!C126,'Hypotheses expl'!B126))</f>
        <v>1000</v>
      </c>
      <c r="D76" s="390">
        <f>IF('Hypotheses expl'!$P$126="0j",'Hypotheses expl'!E126,IF('Hypotheses expl'!$P$126="30j",'Hypotheses expl'!D126,'Hypotheses expl'!C126))</f>
        <v>1000</v>
      </c>
      <c r="E76" s="390">
        <f>IF('Hypotheses expl'!$P$126="0j",'Hypotheses expl'!F126,IF('Hypotheses expl'!$P$126="30j",'Hypotheses expl'!E126,'Hypotheses expl'!D126))</f>
        <v>1000</v>
      </c>
      <c r="F76" s="390">
        <f>IF('Hypotheses expl'!$P$126="0j",'Hypotheses expl'!G126,IF('Hypotheses expl'!$P$126="30j",'Hypotheses expl'!F126,'Hypotheses expl'!E126))</f>
        <v>1000</v>
      </c>
      <c r="G76" s="390">
        <f>IF('Hypotheses expl'!$P$126="0j",'Hypotheses expl'!H126,IF('Hypotheses expl'!$P$126="30j",'Hypotheses expl'!G126,'Hypotheses expl'!F126))</f>
        <v>1000</v>
      </c>
      <c r="H76" s="390">
        <f>IF('Hypotheses expl'!$P$126="0j",'Hypotheses expl'!I126,IF('Hypotheses expl'!$P$126="30j",'Hypotheses expl'!H126,'Hypotheses expl'!G126))</f>
        <v>1000</v>
      </c>
      <c r="I76" s="390">
        <f>IF('Hypotheses expl'!$P$126="0j",'Hypotheses expl'!J126,IF('Hypotheses expl'!$P$126="30j",'Hypotheses expl'!I126,'Hypotheses expl'!H126))</f>
        <v>1000</v>
      </c>
      <c r="J76" s="390">
        <f>IF('Hypotheses expl'!$P$126="0j",'Hypotheses expl'!K126,IF('Hypotheses expl'!$P$126="30j",'Hypotheses expl'!J126,'Hypotheses expl'!I126))</f>
        <v>1000</v>
      </c>
      <c r="K76" s="390">
        <f>IF('Hypotheses expl'!$P$126="0j",'Hypotheses expl'!L126,IF('Hypotheses expl'!$P$126="30j",'Hypotheses expl'!K126,'Hypotheses expl'!J126))</f>
        <v>1000</v>
      </c>
      <c r="L76" s="390">
        <f>IF('Hypotheses expl'!$P$126="0j",'Hypotheses expl'!M126,IF('Hypotheses expl'!$P$126="30j",'Hypotheses expl'!L126,'Hypotheses expl'!K126))</f>
        <v>1000</v>
      </c>
      <c r="M76" s="390">
        <f>IF('Hypotheses expl'!$P$126="0j",'Hypotheses expl'!N126,IF('Hypotheses expl'!$P$126="30j",'Hypotheses expl'!M126,'Hypotheses expl'!L126))</f>
        <v>1000</v>
      </c>
    </row>
    <row r="77" outlineLevel="1">
      <c r="A77" s="393" t="str">
        <f>'Compte résultat prévi'!A72</f>
        <v>Téléphonie</v>
      </c>
      <c r="B77" s="390">
        <f>IF('Hypotheses expl'!$P$127="0j",'Hypotheses expl'!C127,IF('Hypotheses expl'!$P$127="30j",'Hypotheses expl'!B127,'Hypotheses expl'!A127))</f>
        <v>1173</v>
      </c>
      <c r="C77" s="390">
        <f>IF('Hypotheses expl'!$P$127="0j",'Hypotheses expl'!D127,IF('Hypotheses expl'!$P$127="30j",'Hypotheses expl'!C127,'Hypotheses expl'!B127))</f>
        <v>1173</v>
      </c>
      <c r="D77" s="390">
        <f>IF('Hypotheses expl'!$P$127="0j",'Hypotheses expl'!E127,IF('Hypotheses expl'!$P$127="30j",'Hypotheses expl'!D127,'Hypotheses expl'!C127))</f>
        <v>1173</v>
      </c>
      <c r="E77" s="390">
        <f>IF('Hypotheses expl'!$P$127="0j",'Hypotheses expl'!F127,IF('Hypotheses expl'!$P$127="30j",'Hypotheses expl'!E127,'Hypotheses expl'!D127))</f>
        <v>1173</v>
      </c>
      <c r="F77" s="390">
        <f>IF('Hypotheses expl'!$P$127="0j",'Hypotheses expl'!G127,IF('Hypotheses expl'!$P$127="30j",'Hypotheses expl'!F127,'Hypotheses expl'!E127))</f>
        <v>1173</v>
      </c>
      <c r="G77" s="390">
        <f>IF('Hypotheses expl'!$P$127="0j",'Hypotheses expl'!H127,IF('Hypotheses expl'!$P$127="30j",'Hypotheses expl'!G127,'Hypotheses expl'!F127))</f>
        <v>1173</v>
      </c>
      <c r="H77" s="390">
        <f>IF('Hypotheses expl'!$P$127="0j",'Hypotheses expl'!I127,IF('Hypotheses expl'!$P$127="30j",'Hypotheses expl'!H127,'Hypotheses expl'!G127))</f>
        <v>1173</v>
      </c>
      <c r="I77" s="390">
        <f>IF('Hypotheses expl'!$P$127="0j",'Hypotheses expl'!J127,IF('Hypotheses expl'!$P$127="30j",'Hypotheses expl'!I127,'Hypotheses expl'!H127))</f>
        <v>1173</v>
      </c>
      <c r="J77" s="390">
        <f>IF('Hypotheses expl'!$P$127="0j",'Hypotheses expl'!K127,IF('Hypotheses expl'!$P$127="30j",'Hypotheses expl'!J127,'Hypotheses expl'!I127))</f>
        <v>1173</v>
      </c>
      <c r="K77" s="390">
        <f>IF('Hypotheses expl'!$P$127="0j",'Hypotheses expl'!L127,IF('Hypotheses expl'!$P$127="30j",'Hypotheses expl'!K127,'Hypotheses expl'!J127))</f>
        <v>1173</v>
      </c>
      <c r="L77" s="390">
        <f>IF('Hypotheses expl'!$P$127="0j",'Hypotheses expl'!M127,IF('Hypotheses expl'!$P$127="30j",'Hypotheses expl'!L127,'Hypotheses expl'!K127))</f>
        <v>1173</v>
      </c>
      <c r="M77" s="390">
        <f>IF('Hypotheses expl'!$P$127="0j",'Hypotheses expl'!N127,IF('Hypotheses expl'!$P$127="30j",'Hypotheses expl'!M127,'Hypotheses expl'!L127))</f>
        <v>1173</v>
      </c>
    </row>
    <row r="78" outlineLevel="1">
      <c r="A78" s="393" t="str">
        <f>'Compte résultat prévi'!A73</f>
        <v>Affranchissement</v>
      </c>
      <c r="B78" s="390">
        <f>IF('Hypotheses expl'!$P$128="0j",'Hypotheses expl'!C128,IF('Hypotheses expl'!$P$128="30j",'Hypotheses expl'!B128,'Hypotheses expl'!A128))</f>
        <v>6583.333333333333</v>
      </c>
      <c r="C78" s="390">
        <f>IF('Hypotheses expl'!$P$128="0j",'Hypotheses expl'!D128,IF('Hypotheses expl'!$P$128="30j",'Hypotheses expl'!C128,'Hypotheses expl'!B128))</f>
        <v>583.33333333333337</v>
      </c>
      <c r="D78" s="390">
        <f>IF('Hypotheses expl'!$P$128="0j",'Hypotheses expl'!E128,IF('Hypotheses expl'!$P$128="30j",'Hypotheses expl'!D128,'Hypotheses expl'!C128))</f>
        <v>583.33333333333337</v>
      </c>
      <c r="E78" s="390">
        <f>IF('Hypotheses expl'!$P$128="0j",'Hypotheses expl'!F128,IF('Hypotheses expl'!$P$128="30j",'Hypotheses expl'!E128,'Hypotheses expl'!D128))</f>
        <v>583.33333333333337</v>
      </c>
      <c r="F78" s="390">
        <f>IF('Hypotheses expl'!$P$128="0j",'Hypotheses expl'!G128,IF('Hypotheses expl'!$P$128="30j",'Hypotheses expl'!F128,'Hypotheses expl'!E128))</f>
        <v>583.33333333333337</v>
      </c>
      <c r="G78" s="390">
        <f>IF('Hypotheses expl'!$P$128="0j",'Hypotheses expl'!H128,IF('Hypotheses expl'!$P$128="30j",'Hypotheses expl'!G128,'Hypotheses expl'!F128))</f>
        <v>583.33333333333337</v>
      </c>
      <c r="H78" s="390">
        <f>IF('Hypotheses expl'!$P$128="0j",'Hypotheses expl'!I128,IF('Hypotheses expl'!$P$128="30j",'Hypotheses expl'!H128,'Hypotheses expl'!G128))</f>
        <v>583.33333333333337</v>
      </c>
      <c r="I78" s="390">
        <f>IF('Hypotheses expl'!$P$128="0j",'Hypotheses expl'!J128,IF('Hypotheses expl'!$P$128="30j",'Hypotheses expl'!I128,'Hypotheses expl'!H128))</f>
        <v>583.33333333333337</v>
      </c>
      <c r="J78" s="390">
        <f>IF('Hypotheses expl'!$P$128="0j",'Hypotheses expl'!K128,IF('Hypotheses expl'!$P$128="30j",'Hypotheses expl'!J128,'Hypotheses expl'!I128))</f>
        <v>583.33333333333337</v>
      </c>
      <c r="K78" s="390">
        <f>IF('Hypotheses expl'!$P$128="0j",'Hypotheses expl'!L128,IF('Hypotheses expl'!$P$128="30j",'Hypotheses expl'!K128,'Hypotheses expl'!J128))</f>
        <v>583.33333333333337</v>
      </c>
      <c r="L78" s="390">
        <f>IF('Hypotheses expl'!$P$128="0j",'Hypotheses expl'!M128,IF('Hypotheses expl'!$P$128="30j",'Hypotheses expl'!L128,'Hypotheses expl'!K128))</f>
        <v>583.33333333333337</v>
      </c>
      <c r="M78" s="390">
        <f>IF('Hypotheses expl'!$P$128="0j",'Hypotheses expl'!N128,IF('Hypotheses expl'!$P$128="30j",'Hypotheses expl'!M128,'Hypotheses expl'!L128))</f>
        <v>583.33333333333337</v>
      </c>
    </row>
    <row r="79" outlineLevel="1">
      <c r="A79" s="393" t="str">
        <f>'Compte résultat prévi'!A74</f>
        <v>Internet</v>
      </c>
      <c r="B79" s="390">
        <f>IF('Hypotheses expl'!$P$129="0j",'Hypotheses expl'!C129,IF('Hypotheses expl'!$P$129="30j",'Hypotheses expl'!B129,'Hypotheses expl'!A129))</f>
        <v>72</v>
      </c>
      <c r="C79" s="390">
        <f>IF('Hypotheses expl'!$P$129="0j",'Hypotheses expl'!D129,IF('Hypotheses expl'!$P$129="30j",'Hypotheses expl'!C129,'Hypotheses expl'!B129))</f>
        <v>302</v>
      </c>
      <c r="D79" s="390">
        <f>IF('Hypotheses expl'!$P$129="0j",'Hypotheses expl'!E129,IF('Hypotheses expl'!$P$129="30j",'Hypotheses expl'!D129,'Hypotheses expl'!C129))</f>
        <v>72</v>
      </c>
      <c r="E79" s="390">
        <f>IF('Hypotheses expl'!$P$129="0j",'Hypotheses expl'!F129,IF('Hypotheses expl'!$P$129="30j",'Hypotheses expl'!E129,'Hypotheses expl'!D129))</f>
        <v>302</v>
      </c>
      <c r="F79" s="390">
        <f>IF('Hypotheses expl'!$P$129="0j",'Hypotheses expl'!G129,IF('Hypotheses expl'!$P$129="30j",'Hypotheses expl'!F129,'Hypotheses expl'!E129))</f>
        <v>72</v>
      </c>
      <c r="G79" s="390">
        <f>IF('Hypotheses expl'!$P$129="0j",'Hypotheses expl'!H129,IF('Hypotheses expl'!$P$129="30j",'Hypotheses expl'!G129,'Hypotheses expl'!F129))</f>
        <v>302</v>
      </c>
      <c r="H79" s="390">
        <f>IF('Hypotheses expl'!$P$129="0j",'Hypotheses expl'!I129,IF('Hypotheses expl'!$P$129="30j",'Hypotheses expl'!H129,'Hypotheses expl'!G129))</f>
        <v>72</v>
      </c>
      <c r="I79" s="390">
        <f>IF('Hypotheses expl'!$P$129="0j",'Hypotheses expl'!J129,IF('Hypotheses expl'!$P$129="30j",'Hypotheses expl'!I129,'Hypotheses expl'!H129))</f>
        <v>302</v>
      </c>
      <c r="J79" s="390">
        <f>IF('Hypotheses expl'!$P$129="0j",'Hypotheses expl'!K129,IF('Hypotheses expl'!$P$129="30j",'Hypotheses expl'!J129,'Hypotheses expl'!I129))</f>
        <v>72</v>
      </c>
      <c r="K79" s="390">
        <f>IF('Hypotheses expl'!$P$129="0j",'Hypotheses expl'!L129,IF('Hypotheses expl'!$P$129="30j",'Hypotheses expl'!K129,'Hypotheses expl'!J129))</f>
        <v>302</v>
      </c>
      <c r="L79" s="390">
        <f>IF('Hypotheses expl'!$P$129="0j",'Hypotheses expl'!M129,IF('Hypotheses expl'!$P$129="30j",'Hypotheses expl'!L129,'Hypotheses expl'!K129))</f>
        <v>72</v>
      </c>
      <c r="M79" s="390">
        <f>IF('Hypotheses expl'!$P$129="0j",'Hypotheses expl'!N129,IF('Hypotheses expl'!$P$129="30j",'Hypotheses expl'!M129,'Hypotheses expl'!L129))</f>
        <v>302</v>
      </c>
    </row>
    <row r="80" outlineLevel="1">
      <c r="A80" s="393" t="str">
        <f>'Compte résultat prévi'!A75</f>
        <v xml:space="preserve">Services bancaires</v>
      </c>
      <c r="B80" s="390">
        <f>IF('Hypotheses expl'!$P$130="0j",'Hypotheses expl'!C130,IF('Hypotheses expl'!$P$130="30j",'Hypotheses expl'!B130,'Hypotheses expl'!A130))</f>
        <v>8</v>
      </c>
      <c r="C80" s="390">
        <f>IF('Hypotheses expl'!$P$130="0j",'Hypotheses expl'!D130,IF('Hypotheses expl'!$P$130="30j",'Hypotheses expl'!C130,'Hypotheses expl'!B130))</f>
        <v>8</v>
      </c>
      <c r="D80" s="390">
        <f>IF('Hypotheses expl'!$P$130="0j",'Hypotheses expl'!E130,IF('Hypotheses expl'!$P$130="30j",'Hypotheses expl'!D130,'Hypotheses expl'!C130))</f>
        <v>8</v>
      </c>
      <c r="E80" s="390">
        <f>IF('Hypotheses expl'!$P$130="0j",'Hypotheses expl'!F130,IF('Hypotheses expl'!$P$130="30j",'Hypotheses expl'!E130,'Hypotheses expl'!D130))</f>
        <v>8</v>
      </c>
      <c r="F80" s="390">
        <f>IF('Hypotheses expl'!$P$130="0j",'Hypotheses expl'!G130,IF('Hypotheses expl'!$P$130="30j",'Hypotheses expl'!F130,'Hypotheses expl'!E130))</f>
        <v>8</v>
      </c>
      <c r="G80" s="390">
        <f>IF('Hypotheses expl'!$P$130="0j",'Hypotheses expl'!H130,IF('Hypotheses expl'!$P$130="30j",'Hypotheses expl'!G130,'Hypotheses expl'!F130))</f>
        <v>158</v>
      </c>
      <c r="H80" s="390">
        <f>IF('Hypotheses expl'!$P$130="0j",'Hypotheses expl'!I130,IF('Hypotheses expl'!$P$130="30j",'Hypotheses expl'!H130,'Hypotheses expl'!G130))</f>
        <v>8</v>
      </c>
      <c r="I80" s="390">
        <f>IF('Hypotheses expl'!$P$130="0j",'Hypotheses expl'!J130,IF('Hypotheses expl'!$P$130="30j",'Hypotheses expl'!I130,'Hypotheses expl'!H130))</f>
        <v>8</v>
      </c>
      <c r="J80" s="390">
        <f>IF('Hypotheses expl'!$P$130="0j",'Hypotheses expl'!K130,IF('Hypotheses expl'!$P$130="30j",'Hypotheses expl'!J130,'Hypotheses expl'!I130))</f>
        <v>8</v>
      </c>
      <c r="K80" s="390">
        <f>IF('Hypotheses expl'!$P$130="0j",'Hypotheses expl'!L130,IF('Hypotheses expl'!$P$130="30j",'Hypotheses expl'!K130,'Hypotheses expl'!J130))</f>
        <v>158</v>
      </c>
      <c r="L80" s="390">
        <f>IF('Hypotheses expl'!$P$130="0j",'Hypotheses expl'!M130,IF('Hypotheses expl'!$P$130="30j",'Hypotheses expl'!L130,'Hypotheses expl'!K130))</f>
        <v>8</v>
      </c>
      <c r="M80" s="390">
        <f>IF('Hypotheses expl'!$P$130="0j",'Hypotheses expl'!N130,IF('Hypotheses expl'!$P$130="30j",'Hypotheses expl'!M130,'Hypotheses expl'!L130))</f>
        <v>8</v>
      </c>
    </row>
    <row r="81" outlineLevel="1">
      <c r="A81" s="393" t="str">
        <f>'Compte résultat prévi'!A76</f>
        <v>Certification</v>
      </c>
      <c r="B81" s="390">
        <f>IF('Hypotheses expl'!$P$131="0j",'Hypotheses expl'!C131,IF('Hypotheses expl'!$P$131="30j",'Hypotheses expl'!B131,'Hypotheses expl'!A131))</f>
        <v>0</v>
      </c>
      <c r="C81" s="390">
        <f>IF('Hypotheses expl'!$P$131="0j",'Hypotheses expl'!D131,IF('Hypotheses expl'!$P$131="30j",'Hypotheses expl'!C131,'Hypotheses expl'!B131))</f>
        <v>0</v>
      </c>
      <c r="D81" s="390">
        <f>IF('Hypotheses expl'!$P$131="0j",'Hypotheses expl'!E131,IF('Hypotheses expl'!$P$131="30j",'Hypotheses expl'!D131,'Hypotheses expl'!C131))</f>
        <v>0</v>
      </c>
      <c r="E81" s="390">
        <f>IF('Hypotheses expl'!$P$131="0j",'Hypotheses expl'!F131,IF('Hypotheses expl'!$P$131="30j",'Hypotheses expl'!E131,'Hypotheses expl'!D131))</f>
        <v>0</v>
      </c>
      <c r="F81" s="390">
        <f>IF('Hypotheses expl'!$P$131="0j",'Hypotheses expl'!G131,IF('Hypotheses expl'!$P$131="30j",'Hypotheses expl'!F131,'Hypotheses expl'!E131))</f>
        <v>0</v>
      </c>
      <c r="G81" s="390">
        <f>IF('Hypotheses expl'!$P$131="0j",'Hypotheses expl'!H131,IF('Hypotheses expl'!$P$131="30j",'Hypotheses expl'!G131,'Hypotheses expl'!F131))</f>
        <v>0</v>
      </c>
      <c r="H81" s="390">
        <f>IF('Hypotheses expl'!$P$131="0j",'Hypotheses expl'!I131,IF('Hypotheses expl'!$P$131="30j",'Hypotheses expl'!H131,'Hypotheses expl'!G131))</f>
        <v>0</v>
      </c>
      <c r="I81" s="390">
        <f>IF('Hypotheses expl'!$P$131="0j",'Hypotheses expl'!J131,IF('Hypotheses expl'!$P$131="30j",'Hypotheses expl'!I131,'Hypotheses expl'!H131))</f>
        <v>0</v>
      </c>
      <c r="J81" s="390">
        <f>IF('Hypotheses expl'!$P$131="0j",'Hypotheses expl'!K131,IF('Hypotheses expl'!$P$131="30j",'Hypotheses expl'!J131,'Hypotheses expl'!I131))</f>
        <v>0</v>
      </c>
      <c r="K81" s="390">
        <f>IF('Hypotheses expl'!$P$131="0j",'Hypotheses expl'!L131,IF('Hypotheses expl'!$P$131="30j",'Hypotheses expl'!K131,'Hypotheses expl'!J131))</f>
        <v>0</v>
      </c>
      <c r="L81" s="390">
        <f>IF('Hypotheses expl'!$P$131="0j",'Hypotheses expl'!M131,IF('Hypotheses expl'!$P$131="30j",'Hypotheses expl'!L131,'Hypotheses expl'!K131))</f>
        <v>0</v>
      </c>
      <c r="M81" s="390">
        <f>IF('Hypotheses expl'!$P$131="0j",'Hypotheses expl'!N131,IF('Hypotheses expl'!$P$131="30j",'Hypotheses expl'!M131,'Hypotheses expl'!L131))</f>
        <v>0</v>
      </c>
    </row>
    <row r="82" outlineLevel="1">
      <c r="A82" s="393" t="str">
        <f>'Compte résultat prévi'!A77</f>
        <v>Electricité</v>
      </c>
      <c r="B82" s="390">
        <f>IF('Hypotheses expl'!$P$132="0j",'Hypotheses expl'!C132,IF('Hypotheses expl'!$P$132="30j",'Hypotheses expl'!B132,'Hypotheses expl'!A132))</f>
        <v>0</v>
      </c>
      <c r="C82" s="390">
        <f>IF('Hypotheses expl'!$P$132="0j",'Hypotheses expl'!D132,IF('Hypotheses expl'!$P$132="30j",'Hypotheses expl'!C132,'Hypotheses expl'!B132))</f>
        <v>0</v>
      </c>
      <c r="D82" s="390">
        <f>IF('Hypotheses expl'!$P$132="0j",'Hypotheses expl'!E132,IF('Hypotheses expl'!$P$132="30j",'Hypotheses expl'!D132,'Hypotheses expl'!C132))</f>
        <v>0</v>
      </c>
      <c r="E82" s="390">
        <f>IF('Hypotheses expl'!$P$132="0j",'Hypotheses expl'!F132,IF('Hypotheses expl'!$P$132="30j",'Hypotheses expl'!E132,'Hypotheses expl'!D132))</f>
        <v>0</v>
      </c>
      <c r="F82" s="390">
        <f>IF('Hypotheses expl'!$P$132="0j",'Hypotheses expl'!G132,IF('Hypotheses expl'!$P$132="30j",'Hypotheses expl'!F132,'Hypotheses expl'!E132))</f>
        <v>0</v>
      </c>
      <c r="G82" s="390">
        <f>IF('Hypotheses expl'!$P$132="0j",'Hypotheses expl'!H132,IF('Hypotheses expl'!$P$132="30j",'Hypotheses expl'!G132,'Hypotheses expl'!F132))</f>
        <v>0</v>
      </c>
      <c r="H82" s="390">
        <f>IF('Hypotheses expl'!$P$132="0j",'Hypotheses expl'!I132,IF('Hypotheses expl'!$P$132="30j",'Hypotheses expl'!H132,'Hypotheses expl'!G132))</f>
        <v>0</v>
      </c>
      <c r="I82" s="390">
        <f>IF('Hypotheses expl'!$P$132="0j",'Hypotheses expl'!J132,IF('Hypotheses expl'!$P$132="30j",'Hypotheses expl'!I132,'Hypotheses expl'!H132))</f>
        <v>0</v>
      </c>
      <c r="J82" s="390">
        <f>IF('Hypotheses expl'!$P$132="0j",'Hypotheses expl'!K132,IF('Hypotheses expl'!$P$132="30j",'Hypotheses expl'!J132,'Hypotheses expl'!I132))</f>
        <v>0</v>
      </c>
      <c r="K82" s="390">
        <f>IF('Hypotheses expl'!$P$132="0j",'Hypotheses expl'!L132,IF('Hypotheses expl'!$P$132="30j",'Hypotheses expl'!K132,'Hypotheses expl'!J132))</f>
        <v>0</v>
      </c>
      <c r="L82" s="390">
        <f>IF('Hypotheses expl'!$P$132="0j",'Hypotheses expl'!M132,IF('Hypotheses expl'!$P$132="30j",'Hypotheses expl'!L132,'Hypotheses expl'!K132))</f>
        <v>0</v>
      </c>
      <c r="M82" s="390">
        <f>IF('Hypotheses expl'!$P$132="0j",'Hypotheses expl'!N132,IF('Hypotheses expl'!$P$132="30j",'Hypotheses expl'!M132,'Hypotheses expl'!L132))</f>
        <v>0</v>
      </c>
    </row>
    <row r="83" outlineLevel="1">
      <c r="A83" s="393" t="str">
        <f>'Compte résultat prévi'!A78</f>
        <v xml:space="preserve">Colloques et formations</v>
      </c>
      <c r="B83" s="390">
        <f>IF('Hypotheses expl'!$P$133="0j",'Hypotheses expl'!C133,IF('Hypotheses expl'!$P$133="30j",'Hypotheses expl'!B133,'Hypotheses expl'!A133))</f>
        <v>0</v>
      </c>
      <c r="C83" s="390">
        <f>IF('Hypotheses expl'!$P$133="0j",'Hypotheses expl'!D133,IF('Hypotheses expl'!$P$133="30j",'Hypotheses expl'!C133,'Hypotheses expl'!B133))</f>
        <v>0</v>
      </c>
      <c r="D83" s="390">
        <f>IF('Hypotheses expl'!$P$133="0j",'Hypotheses expl'!E133,IF('Hypotheses expl'!$P$133="30j",'Hypotheses expl'!D133,'Hypotheses expl'!C133))</f>
        <v>3750</v>
      </c>
      <c r="E83" s="390">
        <f>IF('Hypotheses expl'!$P$133="0j",'Hypotheses expl'!F133,IF('Hypotheses expl'!$P$133="30j",'Hypotheses expl'!E133,'Hypotheses expl'!D133))</f>
        <v>0</v>
      </c>
      <c r="F83" s="390">
        <f>IF('Hypotheses expl'!$P$133="0j",'Hypotheses expl'!G133,IF('Hypotheses expl'!$P$133="30j",'Hypotheses expl'!F133,'Hypotheses expl'!E133))</f>
        <v>0</v>
      </c>
      <c r="G83" s="390">
        <f>IF('Hypotheses expl'!$P$133="0j",'Hypotheses expl'!H133,IF('Hypotheses expl'!$P$133="30j",'Hypotheses expl'!G133,'Hypotheses expl'!F133))</f>
        <v>3750</v>
      </c>
      <c r="H83" s="390">
        <f>IF('Hypotheses expl'!$P$133="0j",'Hypotheses expl'!I133,IF('Hypotheses expl'!$P$133="30j",'Hypotheses expl'!H133,'Hypotheses expl'!G133))</f>
        <v>0</v>
      </c>
      <c r="I83" s="390">
        <f>IF('Hypotheses expl'!$P$133="0j",'Hypotheses expl'!J133,IF('Hypotheses expl'!$P$133="30j",'Hypotheses expl'!I133,'Hypotheses expl'!H133))</f>
        <v>0</v>
      </c>
      <c r="J83" s="390">
        <f>IF('Hypotheses expl'!$P$133="0j",'Hypotheses expl'!K133,IF('Hypotheses expl'!$P$133="30j",'Hypotheses expl'!J133,'Hypotheses expl'!I133))</f>
        <v>3750</v>
      </c>
      <c r="K83" s="390">
        <f>IF('Hypotheses expl'!$P$133="0j",'Hypotheses expl'!L133,IF('Hypotheses expl'!$P$133="30j",'Hypotheses expl'!K133,'Hypotheses expl'!J133))</f>
        <v>0</v>
      </c>
      <c r="L83" s="390">
        <f>IF('Hypotheses expl'!$P$133="0j",'Hypotheses expl'!M133,IF('Hypotheses expl'!$P$133="30j",'Hypotheses expl'!L133,'Hypotheses expl'!K133))</f>
        <v>0</v>
      </c>
      <c r="M83" s="390">
        <f>IF('Hypotheses expl'!$P$133="0j",'Hypotheses expl'!N133,IF('Hypotheses expl'!$P$133="30j",'Hypotheses expl'!M133,'Hypotheses expl'!L133))</f>
        <v>0</v>
      </c>
    </row>
    <row r="84" outlineLevel="1">
      <c r="A84" s="393" t="str">
        <f>'Compte résultat prévi'!A79</f>
        <v xml:space="preserve">Logiciel de documentation</v>
      </c>
      <c r="B84" s="390">
        <f>IF('Hypotheses expl'!$P$134="0j",'Hypotheses expl'!C134,IF('Hypotheses expl'!$P$134="30j",'Hypotheses expl'!B134,'Hypotheses expl'!A134))</f>
        <v>625</v>
      </c>
      <c r="C84" s="390">
        <f>IF('Hypotheses expl'!$P$134="0j",'Hypotheses expl'!D134,IF('Hypotheses expl'!$P$134="30j",'Hypotheses expl'!C134,'Hypotheses expl'!B134))</f>
        <v>625</v>
      </c>
      <c r="D84" s="390">
        <f>IF('Hypotheses expl'!$P$134="0j",'Hypotheses expl'!E134,IF('Hypotheses expl'!$P$134="30j",'Hypotheses expl'!D134,'Hypotheses expl'!C134))</f>
        <v>625</v>
      </c>
      <c r="E84" s="390">
        <f>IF('Hypotheses expl'!$P$134="0j",'Hypotheses expl'!F134,IF('Hypotheses expl'!$P$134="30j",'Hypotheses expl'!E134,'Hypotheses expl'!D134))</f>
        <v>625</v>
      </c>
      <c r="F84" s="390">
        <f>IF('Hypotheses expl'!$P$134="0j",'Hypotheses expl'!G134,IF('Hypotheses expl'!$P$134="30j",'Hypotheses expl'!F134,'Hypotheses expl'!E134))</f>
        <v>625</v>
      </c>
      <c r="G84" s="390">
        <f>IF('Hypotheses expl'!$P$134="0j",'Hypotheses expl'!H134,IF('Hypotheses expl'!$P$134="30j",'Hypotheses expl'!G134,'Hypotheses expl'!F134))</f>
        <v>625</v>
      </c>
      <c r="H84" s="390">
        <f>IF('Hypotheses expl'!$P$134="0j",'Hypotheses expl'!I134,IF('Hypotheses expl'!$P$134="30j",'Hypotheses expl'!H134,'Hypotheses expl'!G134))</f>
        <v>625</v>
      </c>
      <c r="I84" s="390">
        <f>IF('Hypotheses expl'!$P$134="0j",'Hypotheses expl'!J134,IF('Hypotheses expl'!$P$134="30j",'Hypotheses expl'!I134,'Hypotheses expl'!H134))</f>
        <v>625</v>
      </c>
      <c r="J84" s="390">
        <f>IF('Hypotheses expl'!$P$134="0j",'Hypotheses expl'!K134,IF('Hypotheses expl'!$P$134="30j",'Hypotheses expl'!J134,'Hypotheses expl'!I134))</f>
        <v>625</v>
      </c>
      <c r="K84" s="390">
        <f>IF('Hypotheses expl'!$P$134="0j",'Hypotheses expl'!L134,IF('Hypotheses expl'!$P$134="30j",'Hypotheses expl'!K134,'Hypotheses expl'!J134))</f>
        <v>625</v>
      </c>
      <c r="L84" s="390">
        <f>IF('Hypotheses expl'!$P$134="0j",'Hypotheses expl'!M134,IF('Hypotheses expl'!$P$134="30j",'Hypotheses expl'!L134,'Hypotheses expl'!K134))</f>
        <v>625</v>
      </c>
      <c r="M84" s="390">
        <f>IF('Hypotheses expl'!$P$134="0j",'Hypotheses expl'!N134,IF('Hypotheses expl'!$P$134="30j",'Hypotheses expl'!M134,'Hypotheses expl'!L134))</f>
        <v>625</v>
      </c>
    </row>
    <row r="85" hidden="1" outlineLevel="1">
      <c r="A85" s="393" t="str">
        <f>'Compte résultat prévi'!A81</f>
        <v xml:space="preserve">Charges locatives</v>
      </c>
      <c r="B85" s="390">
        <f>IF('Hypotheses expl'!$P$135="0j",'Hypotheses expl'!C135,IF('Hypotheses expl'!$P$135="30j",'Hypotheses expl'!B135,'Hypotheses expl'!A135))</f>
        <v>2500</v>
      </c>
      <c r="C85" s="390">
        <f>IF('Hypotheses expl'!$P$135="0j",'Hypotheses expl'!D135,IF('Hypotheses expl'!$P$135="30j",'Hypotheses expl'!C135,'Hypotheses expl'!B135))</f>
        <v>0</v>
      </c>
      <c r="D85" s="390">
        <f>IF('Hypotheses expl'!$P$135="0j",'Hypotheses expl'!E135,IF('Hypotheses expl'!$P$135="30j",'Hypotheses expl'!D135,'Hypotheses expl'!C135))</f>
        <v>0</v>
      </c>
      <c r="E85" s="390">
        <f>IF('Hypotheses expl'!$P$135="0j",'Hypotheses expl'!F135,IF('Hypotheses expl'!$P$135="30j",'Hypotheses expl'!E135,'Hypotheses expl'!D135))</f>
        <v>2500</v>
      </c>
      <c r="F85" s="390">
        <f>IF('Hypotheses expl'!$P$135="0j",'Hypotheses expl'!G135,IF('Hypotheses expl'!$P$135="30j",'Hypotheses expl'!F135,'Hypotheses expl'!E135))</f>
        <v>0</v>
      </c>
      <c r="G85" s="390">
        <f>IF('Hypotheses expl'!$P$135="0j",'Hypotheses expl'!H135,IF('Hypotheses expl'!$P$135="30j",'Hypotheses expl'!G135,'Hypotheses expl'!F135))</f>
        <v>0</v>
      </c>
      <c r="H85" s="390">
        <f>IF('Hypotheses expl'!$P$135="0j",'Hypotheses expl'!I135,IF('Hypotheses expl'!$P$135="30j",'Hypotheses expl'!H135,'Hypotheses expl'!G135))</f>
        <v>2500</v>
      </c>
      <c r="I85" s="390">
        <f>IF('Hypotheses expl'!$P$135="0j",'Hypotheses expl'!J135,IF('Hypotheses expl'!$P$135="30j",'Hypotheses expl'!I135,'Hypotheses expl'!H135))</f>
        <v>0</v>
      </c>
      <c r="J85" s="390">
        <f>IF('Hypotheses expl'!$P$135="0j",'Hypotheses expl'!K135,IF('Hypotheses expl'!$P$135="30j",'Hypotheses expl'!J135,'Hypotheses expl'!I135))</f>
        <v>0</v>
      </c>
      <c r="K85" s="390">
        <f>IF('Hypotheses expl'!$P$135="0j",'Hypotheses expl'!L135,IF('Hypotheses expl'!$P$135="30j",'Hypotheses expl'!K135,'Hypotheses expl'!J135))</f>
        <v>2500</v>
      </c>
      <c r="L85" s="390">
        <f>IF('Hypotheses expl'!$P$135="0j",'Hypotheses expl'!M135,IF('Hypotheses expl'!$P$135="30j",'Hypotheses expl'!L135,'Hypotheses expl'!K135))</f>
        <v>0</v>
      </c>
      <c r="M85" s="390">
        <f>IF('Hypotheses expl'!$P$135="0j",'Hypotheses expl'!N135,IF('Hypotheses expl'!$P$135="30j",'Hypotheses expl'!M135,'Hypotheses expl'!L135))</f>
        <v>0</v>
      </c>
    </row>
    <row r="86" hidden="1" outlineLevel="1">
      <c r="A86" s="393">
        <f>'Compte résultat prévi'!A82</f>
        <v>0</v>
      </c>
      <c r="B86" s="390">
        <f>IF('Hypotheses expl'!$P$136="0j",'Hypotheses expl'!C136,IF('Hypotheses expl'!$P$136="30j",'Hypotheses expl'!B136,'Hypotheses expl'!A136))</f>
        <v>0</v>
      </c>
      <c r="C86" s="390">
        <f>IF('Hypotheses expl'!$P$136="0j",'Hypotheses expl'!D136,IF('Hypotheses expl'!$P$136="30j",'Hypotheses expl'!C136,'Hypotheses expl'!B136))</f>
        <v>0</v>
      </c>
      <c r="D86" s="390">
        <f>IF('Hypotheses expl'!$P$136="0j",'Hypotheses expl'!E136,IF('Hypotheses expl'!$P$136="30j",'Hypotheses expl'!D136,'Hypotheses expl'!C136))</f>
        <v>0</v>
      </c>
      <c r="E86" s="390">
        <f>IF('Hypotheses expl'!$P$136="0j",'Hypotheses expl'!F136,IF('Hypotheses expl'!$P$136="30j",'Hypotheses expl'!E136,'Hypotheses expl'!D136))</f>
        <v>0</v>
      </c>
      <c r="F86" s="390">
        <f>IF('Hypotheses expl'!$P$136="0j",'Hypotheses expl'!G136,IF('Hypotheses expl'!$P$136="30j",'Hypotheses expl'!F136,'Hypotheses expl'!E136))</f>
        <v>0</v>
      </c>
      <c r="G86" s="390">
        <f>IF('Hypotheses expl'!$P$136="0j",'Hypotheses expl'!H136,IF('Hypotheses expl'!$P$136="30j",'Hypotheses expl'!G136,'Hypotheses expl'!F136))</f>
        <v>0</v>
      </c>
      <c r="H86" s="390">
        <f>IF('Hypotheses expl'!$P$136="0j",'Hypotheses expl'!I136,IF('Hypotheses expl'!$P$136="30j",'Hypotheses expl'!H136,'Hypotheses expl'!G136))</f>
        <v>0</v>
      </c>
      <c r="I86" s="390">
        <f>IF('Hypotheses expl'!$P$136="0j",'Hypotheses expl'!J136,IF('Hypotheses expl'!$P$136="30j",'Hypotheses expl'!I136,'Hypotheses expl'!H136))</f>
        <v>0</v>
      </c>
      <c r="J86" s="390">
        <f>IF('Hypotheses expl'!$P$136="0j",'Hypotheses expl'!K136,IF('Hypotheses expl'!$P$136="30j",'Hypotheses expl'!J136,'Hypotheses expl'!I136))</f>
        <v>0</v>
      </c>
      <c r="K86" s="390">
        <f>IF('Hypotheses expl'!$P$136="0j",'Hypotheses expl'!L136,IF('Hypotheses expl'!$P$136="30j",'Hypotheses expl'!K136,'Hypotheses expl'!J136))</f>
        <v>0</v>
      </c>
      <c r="L86" s="390">
        <f>IF('Hypotheses expl'!$P$136="0j",'Hypotheses expl'!M136,IF('Hypotheses expl'!$P$136="30j",'Hypotheses expl'!L136,'Hypotheses expl'!K136))</f>
        <v>0</v>
      </c>
      <c r="M86" s="390">
        <f>IF('Hypotheses expl'!$P$136="0j",'Hypotheses expl'!N136,IF('Hypotheses expl'!$P$136="30j",'Hypotheses expl'!M136,'Hypotheses expl'!L136))</f>
        <v>0</v>
      </c>
    </row>
    <row r="87">
      <c r="A87" s="391" t="str">
        <f>'Compte résultat prévi'!A83</f>
        <v xml:space="preserve">Impôts, taxes et versements assimilés</v>
      </c>
      <c r="B87" s="388">
        <f>SUM(B88:B93)</f>
        <v>0</v>
      </c>
      <c r="C87" s="388">
        <f t="shared" ref="C87:M87" si="307">SUM(C88:C93)</f>
        <v>6540.0353519399996</v>
      </c>
      <c r="D87" s="388">
        <f t="shared" si="307"/>
        <v>6300.981401940001</v>
      </c>
      <c r="E87" s="388">
        <f t="shared" si="307"/>
        <v>6489.2390099400009</v>
      </c>
      <c r="F87" s="388">
        <f t="shared" si="307"/>
        <v>6551.9915459399999</v>
      </c>
      <c r="G87" s="388">
        <f t="shared" si="307"/>
        <v>7046.8808639399995</v>
      </c>
      <c r="H87" s="388">
        <f t="shared" si="307"/>
        <v>6253.916999940001</v>
      </c>
      <c r="I87" s="388">
        <f t="shared" si="307"/>
        <v>6287.4017339399998</v>
      </c>
      <c r="J87" s="388">
        <f t="shared" si="307"/>
        <v>6241.7635259400004</v>
      </c>
      <c r="K87" s="388">
        <f t="shared" si="307"/>
        <v>7610.9097659400004</v>
      </c>
      <c r="L87" s="388">
        <f t="shared" si="307"/>
        <v>7180.1991779399996</v>
      </c>
      <c r="M87" s="388">
        <f t="shared" si="307"/>
        <v>7240.0993259399993</v>
      </c>
    </row>
    <row r="88" outlineLevel="1">
      <c r="A88" s="393" t="str">
        <f>'Compte résultat prévi'!A84</f>
        <v xml:space="preserve">Taxe sur les salaires</v>
      </c>
      <c r="B88" s="390">
        <f>IF('Hypotheses expl'!$P$137="0j",'Hypotheses expl'!C137,0)</f>
        <v>0</v>
      </c>
      <c r="C88" s="390">
        <f>IF('Hypotheses expl'!$P$137="0j",'Hypotheses expl'!D137,IF('Hypotheses expl'!$P$137="30j",'Hypotheses expl'!C137,'Hypotheses expl'!B137))</f>
        <v>5086.6941626199996</v>
      </c>
      <c r="D88" s="390">
        <f>IF('Hypotheses expl'!$P$137="0j",'Hypotheses expl'!E137,IF('Hypotheses expl'!$P$137="30j",'Hypotheses expl'!D137,'Hypotheses expl'!C137))</f>
        <v>4900.7633126200008</v>
      </c>
      <c r="E88" s="390">
        <f>IF('Hypotheses expl'!$P$137="0j",'Hypotheses expl'!F137,IF('Hypotheses expl'!$P$137="30j",'Hypotheses expl'!E137,'Hypotheses expl'!D137))</f>
        <v>5047.1858966200007</v>
      </c>
      <c r="F88" s="390">
        <f>IF('Hypotheses expl'!$P$137="0j",'Hypotheses expl'!G137,IF('Hypotheses expl'!$P$137="30j",'Hypotheses expl'!F137,'Hypotheses expl'!E137))</f>
        <v>5095.99342462</v>
      </c>
      <c r="G88" s="390">
        <f>IF('Hypotheses expl'!$P$137="0j",'Hypotheses expl'!H137,IF('Hypotheses expl'!$P$137="30j",'Hypotheses expl'!G137,'Hypotheses expl'!F137))</f>
        <v>5480.9073386199998</v>
      </c>
      <c r="H88" s="390">
        <f>IF('Hypotheses expl'!$P$137="0j",'Hypotheses expl'!I137,IF('Hypotheses expl'!$P$137="30j",'Hypotheses expl'!H137,'Hypotheses expl'!G137))</f>
        <v>4864.1576666200008</v>
      </c>
      <c r="I88" s="390">
        <f>IF('Hypotheses expl'!$P$137="0j",'Hypotheses expl'!J137,IF('Hypotheses expl'!$P$137="30j",'Hypotheses expl'!I137,'Hypotheses expl'!H137))</f>
        <v>4890.2013486199994</v>
      </c>
      <c r="J88" s="390">
        <f>IF('Hypotheses expl'!$P$137="0j",'Hypotheses expl'!K137,IF('Hypotheses expl'!$P$137="30j",'Hypotheses expl'!J137,'Hypotheses expl'!I137))</f>
        <v>4854.7049646200003</v>
      </c>
      <c r="K88" s="390">
        <f>IF('Hypotheses expl'!$P$137="0j",'Hypotheses expl'!L137,IF('Hypotheses expl'!$P$137="30j",'Hypotheses expl'!K137,'Hypotheses expl'!J137))</f>
        <v>5919.5964846200004</v>
      </c>
      <c r="L88" s="390">
        <f>IF('Hypotheses expl'!$P$137="0j",'Hypotheses expl'!M137,IF('Hypotheses expl'!$P$137="30j",'Hypotheses expl'!L137,'Hypotheses expl'!K137))</f>
        <v>5584.59936062</v>
      </c>
      <c r="M88" s="390">
        <f>IF('Hypotheses expl'!$P$137="0j",'Hypotheses expl'!N137,IF('Hypotheses expl'!$P$137="30j",'Hypotheses expl'!M137,'Hypotheses expl'!L137))</f>
        <v>5631.1883646199994</v>
      </c>
    </row>
    <row r="89" outlineLevel="1">
      <c r="A89" s="393" t="str">
        <f>'Compte résultat prévi'!A85</f>
        <v xml:space="preserve">Participation à la formation pro</v>
      </c>
      <c r="B89" s="390">
        <f>IF('Hypotheses expl'!$P$138="0j",'Hypotheses expl'!C138,0)</f>
        <v>0</v>
      </c>
      <c r="C89" s="390">
        <f>IF('Hypotheses expl'!$P$138="0j",'Hypotheses expl'!D138,IF('Hypotheses expl'!$P$138="30j",'Hypotheses expl'!C138,'Hypotheses expl'!B138))</f>
        <v>1453.3411893199998</v>
      </c>
      <c r="D89" s="390">
        <f>IF('Hypotheses expl'!$P$138="0j",'Hypotheses expl'!E138,IF('Hypotheses expl'!$P$138="30j",'Hypotheses expl'!D138,'Hypotheses expl'!C138))</f>
        <v>1400.2180893200002</v>
      </c>
      <c r="E89" s="390">
        <f>IF('Hypotheses expl'!$P$138="0j",'Hypotheses expl'!F138,IF('Hypotheses expl'!$P$138="30j",'Hypotheses expl'!E138,'Hypotheses expl'!D138))</f>
        <v>1442.0531133200002</v>
      </c>
      <c r="F89" s="390">
        <f>IF('Hypotheses expl'!$P$138="0j",'Hypotheses expl'!G138,IF('Hypotheses expl'!$P$138="30j",'Hypotheses expl'!F138,'Hypotheses expl'!E138))</f>
        <v>1455.9981213199999</v>
      </c>
      <c r="G89" s="390">
        <f>IF('Hypotheses expl'!$P$138="0j",'Hypotheses expl'!H138,IF('Hypotheses expl'!$P$138="30j",'Hypotheses expl'!G138,'Hypotheses expl'!F138))</f>
        <v>1565.9735253199999</v>
      </c>
      <c r="H89" s="390">
        <f>IF('Hypotheses expl'!$P$138="0j",'Hypotheses expl'!I138,IF('Hypotheses expl'!$P$138="30j",'Hypotheses expl'!H138,'Hypotheses expl'!G138))</f>
        <v>1389.7593333200002</v>
      </c>
      <c r="I89" s="390">
        <f>IF('Hypotheses expl'!$P$138="0j",'Hypotheses expl'!J138,IF('Hypotheses expl'!$P$138="30j",'Hypotheses expl'!I138,'Hypotheses expl'!H138))</f>
        <v>1397.2003853199999</v>
      </c>
      <c r="J89" s="390">
        <f>IF('Hypotheses expl'!$P$138="0j",'Hypotheses expl'!K138,IF('Hypotheses expl'!$P$138="30j",'Hypotheses expl'!J138,'Hypotheses expl'!I138))</f>
        <v>1387.0585613199999</v>
      </c>
      <c r="K89" s="390">
        <f>IF('Hypotheses expl'!$P$138="0j",'Hypotheses expl'!L138,IF('Hypotheses expl'!$P$138="30j",'Hypotheses expl'!K138,'Hypotheses expl'!J138))</f>
        <v>1691.31328132</v>
      </c>
      <c r="L89" s="390">
        <f>IF('Hypotheses expl'!$P$138="0j",'Hypotheses expl'!M138,IF('Hypotheses expl'!$P$138="30j",'Hypotheses expl'!L138,'Hypotheses expl'!K138))</f>
        <v>1595.5998173199998</v>
      </c>
      <c r="M89" s="390">
        <f>IF('Hypotheses expl'!$P$138="0j",'Hypotheses expl'!N138,IF('Hypotheses expl'!$P$138="30j",'Hypotheses expl'!M138,'Hypotheses expl'!L138))</f>
        <v>1608.9109613199998</v>
      </c>
    </row>
    <row r="90" outlineLevel="1">
      <c r="A90" s="393" t="str">
        <f>'Compte résultat prévi'!A86</f>
        <v xml:space="preserve">Redevance TV</v>
      </c>
      <c r="B90" s="390">
        <f>IF('Hypotheses expl'!$P$139="0j",'Hypotheses expl'!C139,IF('Hypotheses expl'!$P$139="30j",'Hypotheses expl'!B139,'Hypotheses expl'!A139))</f>
        <v>0</v>
      </c>
      <c r="C90" s="390">
        <f>IF('Hypotheses expl'!$P$139="0j",'Hypotheses expl'!D139,IF('Hypotheses expl'!$P$139="30j",'Hypotheses expl'!C139,'Hypotheses expl'!B139))</f>
        <v>0</v>
      </c>
      <c r="D90" s="390">
        <f>IF('Hypotheses expl'!$P$139="0j",'Hypotheses expl'!E139,IF('Hypotheses expl'!$P$139="30j",'Hypotheses expl'!D139,'Hypotheses expl'!C139))</f>
        <v>0</v>
      </c>
      <c r="E90" s="390">
        <f>IF('Hypotheses expl'!$P$139="0j",'Hypotheses expl'!F139,IF('Hypotheses expl'!$P$139="30j",'Hypotheses expl'!E139,'Hypotheses expl'!D139))</f>
        <v>0</v>
      </c>
      <c r="F90" s="390">
        <f>IF('Hypotheses expl'!$P$139="0j",'Hypotheses expl'!G139,IF('Hypotheses expl'!$P$139="30j",'Hypotheses expl'!F139,'Hypotheses expl'!E139))</f>
        <v>0</v>
      </c>
      <c r="G90" s="390">
        <f>IF('Hypotheses expl'!$P$139="0j",'Hypotheses expl'!H139,IF('Hypotheses expl'!$P$139="30j",'Hypotheses expl'!G139,'Hypotheses expl'!F139))</f>
        <v>0</v>
      </c>
      <c r="H90" s="390">
        <f>IF('Hypotheses expl'!$P$139="0j",'Hypotheses expl'!I139,IF('Hypotheses expl'!$P$139="30j",'Hypotheses expl'!H139,'Hypotheses expl'!G139))</f>
        <v>0</v>
      </c>
      <c r="I90" s="390">
        <f>IF('Hypotheses expl'!$P$139="0j",'Hypotheses expl'!J139,IF('Hypotheses expl'!$P$139="30j",'Hypotheses expl'!I139,'Hypotheses expl'!H139))</f>
        <v>0</v>
      </c>
      <c r="J90" s="390">
        <f>IF('Hypotheses expl'!$P$139="0j",'Hypotheses expl'!K139,IF('Hypotheses expl'!$P$139="30j",'Hypotheses expl'!J139,'Hypotheses expl'!I139))</f>
        <v>0</v>
      </c>
      <c r="K90" s="390">
        <f>IF('Hypotheses expl'!$P$139="0j",'Hypotheses expl'!L139,IF('Hypotheses expl'!$P$139="30j",'Hypotheses expl'!K139,'Hypotheses expl'!J139))</f>
        <v>0</v>
      </c>
      <c r="L90" s="390">
        <f>IF('Hypotheses expl'!$P$139="0j",'Hypotheses expl'!M139,IF('Hypotheses expl'!$P$139="30j",'Hypotheses expl'!L139,'Hypotheses expl'!K139))</f>
        <v>0</v>
      </c>
      <c r="M90" s="390">
        <f>IF('Hypotheses expl'!$P$139="0j",'Hypotheses expl'!N139,IF('Hypotheses expl'!$P$139="30j",'Hypotheses expl'!M139,'Hypotheses expl'!L139))</f>
        <v>0</v>
      </c>
    </row>
    <row r="91" hidden="1" outlineLevel="1">
      <c r="A91" s="393">
        <f>'Compte résultat prévi'!A87</f>
        <v>0</v>
      </c>
      <c r="B91" s="390">
        <f>IF('Hypotheses expl'!$P$140="0j",'Hypotheses expl'!C140,IF('Hypotheses expl'!$P$140="30j",'Hypotheses expl'!B140,'Hypotheses expl'!A140))</f>
        <v>0</v>
      </c>
      <c r="C91" s="390">
        <f>IF('Hypotheses expl'!$P$140="0j",'Hypotheses expl'!D140,IF('Hypotheses expl'!$P$140="30j",'Hypotheses expl'!C140,'Hypotheses expl'!B140))</f>
        <v>0</v>
      </c>
      <c r="D91" s="390">
        <f>IF('Hypotheses expl'!$P$140="0j",'Hypotheses expl'!E140,IF('Hypotheses expl'!$P$140="30j",'Hypotheses expl'!D140,'Hypotheses expl'!C140))</f>
        <v>0</v>
      </c>
      <c r="E91" s="390">
        <f>IF('Hypotheses expl'!$P$140="0j",'Hypotheses expl'!F140,IF('Hypotheses expl'!$P$140="30j",'Hypotheses expl'!E140,'Hypotheses expl'!D140))</f>
        <v>0</v>
      </c>
      <c r="F91" s="390">
        <f>IF('Hypotheses expl'!$P$140="0j",'Hypotheses expl'!G140,IF('Hypotheses expl'!$P$140="30j",'Hypotheses expl'!F140,'Hypotheses expl'!E140))</f>
        <v>0</v>
      </c>
      <c r="G91" s="390">
        <f>IF('Hypotheses expl'!$P$140="0j",'Hypotheses expl'!H140,IF('Hypotheses expl'!$P$140="30j",'Hypotheses expl'!G140,'Hypotheses expl'!F140))</f>
        <v>0</v>
      </c>
      <c r="H91" s="390">
        <f>IF('Hypotheses expl'!$P$140="0j",'Hypotheses expl'!I140,IF('Hypotheses expl'!$P$140="30j",'Hypotheses expl'!H140,'Hypotheses expl'!G140))</f>
        <v>0</v>
      </c>
      <c r="I91" s="390">
        <f>IF('Hypotheses expl'!$P$140="0j",'Hypotheses expl'!J140,IF('Hypotheses expl'!$P$140="30j",'Hypotheses expl'!I140,'Hypotheses expl'!H140))</f>
        <v>0</v>
      </c>
      <c r="J91" s="390">
        <f>IF('Hypotheses expl'!$P$140="0j",'Hypotheses expl'!K140,IF('Hypotheses expl'!$P$140="30j",'Hypotheses expl'!J140,'Hypotheses expl'!I140))</f>
        <v>0</v>
      </c>
      <c r="K91" s="390">
        <f>IF('Hypotheses expl'!$P$140="0j",'Hypotheses expl'!L140,IF('Hypotheses expl'!$P$140="30j",'Hypotheses expl'!K140,'Hypotheses expl'!J140))</f>
        <v>0</v>
      </c>
      <c r="L91" s="390">
        <f>IF('Hypotheses expl'!$P$140="0j",'Hypotheses expl'!M140,IF('Hypotheses expl'!$P$140="30j",'Hypotheses expl'!L140,'Hypotheses expl'!K140))</f>
        <v>0</v>
      </c>
      <c r="M91" s="390">
        <f>IF('Hypotheses expl'!$P$140="0j",'Hypotheses expl'!N140,IF('Hypotheses expl'!$P$140="30j",'Hypotheses expl'!M140,'Hypotheses expl'!L140))</f>
        <v>0</v>
      </c>
    </row>
    <row r="92" hidden="1" outlineLevel="1">
      <c r="A92" s="393">
        <f>'Compte résultat prévi'!A88</f>
        <v>0</v>
      </c>
      <c r="B92" s="390">
        <f>IF('Hypotheses expl'!$P$141="0j",'Hypotheses expl'!C141,IF('Hypotheses expl'!$P$141="30j",'Hypotheses expl'!B141,'Hypotheses expl'!A141))</f>
        <v>0</v>
      </c>
      <c r="C92" s="390">
        <f>IF('Hypotheses expl'!$P$141="0j",'Hypotheses expl'!D141,IF('Hypotheses expl'!$P$141="30j",'Hypotheses expl'!C141,'Hypotheses expl'!B141))</f>
        <v>0</v>
      </c>
      <c r="D92" s="390">
        <f>IF('Hypotheses expl'!$P$141="0j",'Hypotheses expl'!E141,IF('Hypotheses expl'!$P$141="30j",'Hypotheses expl'!D141,'Hypotheses expl'!C141))</f>
        <v>0</v>
      </c>
      <c r="E92" s="390">
        <f>IF('Hypotheses expl'!$P$141="0j",'Hypotheses expl'!F141,IF('Hypotheses expl'!$P$141="30j",'Hypotheses expl'!E141,'Hypotheses expl'!D141))</f>
        <v>0</v>
      </c>
      <c r="F92" s="390">
        <f>IF('Hypotheses expl'!$P$141="0j",'Hypotheses expl'!G141,IF('Hypotheses expl'!$P$141="30j",'Hypotheses expl'!F141,'Hypotheses expl'!E141))</f>
        <v>0</v>
      </c>
      <c r="G92" s="390">
        <f>IF('Hypotheses expl'!$P$141="0j",'Hypotheses expl'!H141,IF('Hypotheses expl'!$P$141="30j",'Hypotheses expl'!G141,'Hypotheses expl'!F141))</f>
        <v>0</v>
      </c>
      <c r="H92" s="390">
        <f>IF('Hypotheses expl'!$P$141="0j",'Hypotheses expl'!I141,IF('Hypotheses expl'!$P$141="30j",'Hypotheses expl'!H141,'Hypotheses expl'!G141))</f>
        <v>0</v>
      </c>
      <c r="I92" s="390">
        <f>IF('Hypotheses expl'!$P$141="0j",'Hypotheses expl'!J141,IF('Hypotheses expl'!$P$141="30j",'Hypotheses expl'!I141,'Hypotheses expl'!H141))</f>
        <v>0</v>
      </c>
      <c r="J92" s="390">
        <f>IF('Hypotheses expl'!$P$141="0j",'Hypotheses expl'!K141,IF('Hypotheses expl'!$P$141="30j",'Hypotheses expl'!J141,'Hypotheses expl'!I141))</f>
        <v>0</v>
      </c>
      <c r="K92" s="390">
        <f>IF('Hypotheses expl'!$P$141="0j",'Hypotheses expl'!L141,IF('Hypotheses expl'!$P$141="30j",'Hypotheses expl'!K141,'Hypotheses expl'!J141))</f>
        <v>0</v>
      </c>
      <c r="L92" s="390">
        <f>IF('Hypotheses expl'!$P$141="0j",'Hypotheses expl'!M141,IF('Hypotheses expl'!$P$141="30j",'Hypotheses expl'!L141,'Hypotheses expl'!K141))</f>
        <v>0</v>
      </c>
      <c r="M92" s="390">
        <f>IF('Hypotheses expl'!$P$141="0j",'Hypotheses expl'!N141,IF('Hypotheses expl'!$P$141="30j",'Hypotheses expl'!M141,'Hypotheses expl'!L141))</f>
        <v>0</v>
      </c>
    </row>
    <row r="93" hidden="1" outlineLevel="1">
      <c r="A93" s="393">
        <f>'Compte résultat prévi'!A89</f>
        <v>0</v>
      </c>
      <c r="B93" s="390">
        <f>IF('Hypotheses expl'!$P$142="0j",'Hypotheses expl'!C142,IF('Hypotheses expl'!$P$142="30j",'Hypotheses expl'!B142,'Hypotheses expl'!A142))</f>
        <v>0</v>
      </c>
      <c r="C93" s="390">
        <f>IF('Hypotheses expl'!$P$142="0j",'Hypotheses expl'!D142,IF('Hypotheses expl'!$P$142="30j",'Hypotheses expl'!C142,'Hypotheses expl'!B142))</f>
        <v>0</v>
      </c>
      <c r="D93" s="390">
        <f>IF('Hypotheses expl'!$P$142="0j",'Hypotheses expl'!E142,IF('Hypotheses expl'!$P$142="30j",'Hypotheses expl'!D142,'Hypotheses expl'!C142))</f>
        <v>0</v>
      </c>
      <c r="E93" s="390">
        <f>IF('Hypotheses expl'!$P$142="0j",'Hypotheses expl'!F142,IF('Hypotheses expl'!$P$142="30j",'Hypotheses expl'!E142,'Hypotheses expl'!D142))</f>
        <v>0</v>
      </c>
      <c r="F93" s="390">
        <f>IF('Hypotheses expl'!$P$142="0j",'Hypotheses expl'!G142,IF('Hypotheses expl'!$P$142="30j",'Hypotheses expl'!F142,'Hypotheses expl'!E142))</f>
        <v>0</v>
      </c>
      <c r="G93" s="390">
        <f>IF('Hypotheses expl'!$P$142="0j",'Hypotheses expl'!H142,IF('Hypotheses expl'!$P$142="30j",'Hypotheses expl'!G142,'Hypotheses expl'!F142))</f>
        <v>0</v>
      </c>
      <c r="H93" s="390">
        <f>IF('Hypotheses expl'!$P$142="0j",'Hypotheses expl'!I142,IF('Hypotheses expl'!$P$142="30j",'Hypotheses expl'!H142,'Hypotheses expl'!G142))</f>
        <v>0</v>
      </c>
      <c r="I93" s="390">
        <f>IF('Hypotheses expl'!$P$142="0j",'Hypotheses expl'!J142,IF('Hypotheses expl'!$P$142="30j",'Hypotheses expl'!I142,'Hypotheses expl'!H142))</f>
        <v>0</v>
      </c>
      <c r="J93" s="390">
        <f>IF('Hypotheses expl'!$P$142="0j",'Hypotheses expl'!K142,IF('Hypotheses expl'!$P$142="30j",'Hypotheses expl'!J142,'Hypotheses expl'!I142))</f>
        <v>0</v>
      </c>
      <c r="K93" s="390">
        <f>IF('Hypotheses expl'!$P$142="0j",'Hypotheses expl'!L142,IF('Hypotheses expl'!$P$142="30j",'Hypotheses expl'!K142,'Hypotheses expl'!J142))</f>
        <v>0</v>
      </c>
      <c r="L93" s="390">
        <f>IF('Hypotheses expl'!$P$142="0j",'Hypotheses expl'!M142,IF('Hypotheses expl'!$P$142="30j",'Hypotheses expl'!L142,'Hypotheses expl'!K142))</f>
        <v>0</v>
      </c>
      <c r="M93" s="390">
        <f>IF('Hypotheses expl'!$P$142="0j",'Hypotheses expl'!N142,IF('Hypotheses expl'!$P$142="30j",'Hypotheses expl'!M142,'Hypotheses expl'!L142))</f>
        <v>0</v>
      </c>
    </row>
    <row r="94">
      <c r="A94" s="391" t="str">
        <f>'Compte résultat prévi'!A90</f>
        <v xml:space="preserve">Masse salariale</v>
      </c>
      <c r="B94" s="388">
        <f>SUM(B95:B105)</f>
        <v>115942</v>
      </c>
      <c r="C94" s="388">
        <f t="shared" ref="C94:M94" si="308">SUM(C95:C105)</f>
        <v>104332.66722530875</v>
      </c>
      <c r="D94" s="388">
        <f t="shared" si="308"/>
        <v>105370.16726216298</v>
      </c>
      <c r="E94" s="388">
        <f t="shared" si="308"/>
        <v>189572.86774216298</v>
      </c>
      <c r="F94" s="388">
        <f t="shared" si="308"/>
        <v>130728.01763616299</v>
      </c>
      <c r="G94" s="388">
        <f t="shared" si="308"/>
        <v>108654.27598216299</v>
      </c>
      <c r="H94" s="388">
        <f t="shared" si="308"/>
        <v>121285.11367616298</v>
      </c>
      <c r="I94" s="388">
        <f t="shared" si="308"/>
        <v>133410.03770525992</v>
      </c>
      <c r="J94" s="388">
        <f t="shared" si="308"/>
        <v>114837.12929125993</v>
      </c>
      <c r="K94" s="388">
        <f t="shared" si="308"/>
        <v>116136.22369125993</v>
      </c>
      <c r="L94" s="388">
        <f t="shared" si="308"/>
        <v>114887.95441125993</v>
      </c>
      <c r="M94" s="388">
        <f t="shared" si="308"/>
        <v>150400.17729125993</v>
      </c>
    </row>
    <row r="95" outlineLevel="1">
      <c r="A95" s="393" t="str">
        <f>'Compte résultat prévi'!A91</f>
        <v xml:space="preserve">Salaires bruts formateurs permanents/documentation</v>
      </c>
      <c r="B95" s="390">
        <v>54628</v>
      </c>
      <c r="C95" s="390">
        <f>IF('Hypotheses expl'!$P$143="0j",'Hypotheses expl'!D143,IF('Hypotheses expl'!$P$143="30j",'Hypotheses expl'!C143,'Hypotheses expl'!B143))</f>
        <v>42322.878466000002</v>
      </c>
      <c r="D95" s="390">
        <f>IF('Hypotheses expl'!$P$143="0j",'Hypotheses expl'!E143,IF('Hypotheses expl'!$P$143="30j",'Hypotheses expl'!D143,'Hypotheses expl'!C143))</f>
        <v>42322.878466000002</v>
      </c>
      <c r="E95" s="390">
        <f>IF('Hypotheses expl'!$P$143="0j",'Hypotheses expl'!F143,IF('Hypotheses expl'!$P$143="30j",'Hypotheses expl'!E143,'Hypotheses expl'!D143))</f>
        <v>42322.878466000002</v>
      </c>
      <c r="F95" s="390">
        <v>62512</v>
      </c>
      <c r="G95" s="390">
        <f>IF('Hypotheses expl'!$P$143="0j",'Hypotheses expl'!H143,IF('Hypotheses expl'!$P$143="30j",'Hypotheses expl'!G143,'Hypotheses expl'!F143))</f>
        <v>42322.878466000002</v>
      </c>
      <c r="H95" s="390">
        <v>52510</v>
      </c>
      <c r="I95" s="390">
        <v>44887</v>
      </c>
      <c r="J95" s="390">
        <f>IF('Hypotheses expl'!$P$143="0j",'Hypotheses expl'!K143,IF('Hypotheses expl'!$P$143="30j",'Hypotheses expl'!J143,'Hypotheses expl'!I143))</f>
        <v>48859.258465999999</v>
      </c>
      <c r="K95" s="390">
        <f>IF('Hypotheses expl'!$P$143="0j",'Hypotheses expl'!L143,IF('Hypotheses expl'!$P$143="30j",'Hypotheses expl'!K143,'Hypotheses expl'!J143))</f>
        <v>48859.258465999999</v>
      </c>
      <c r="L95" s="390">
        <f>IF('Hypotheses expl'!$P$143="0j",'Hypotheses expl'!M143,IF('Hypotheses expl'!$P$143="30j",'Hypotheses expl'!L143,'Hypotheses expl'!K143))</f>
        <v>48859.258465999999</v>
      </c>
      <c r="M95" s="390">
        <f>IF('Hypotheses expl'!$P$143="0j",'Hypotheses expl'!N143,IF('Hypotheses expl'!$P$143="30j",'Hypotheses expl'!M143,'Hypotheses expl'!L143))</f>
        <v>48859.258465999999</v>
      </c>
    </row>
    <row r="96" outlineLevel="1">
      <c r="A96" s="393" t="str">
        <f>'Compte résultat prévi'!A92</f>
        <v xml:space="preserve">Salaires bruts direction et administratif</v>
      </c>
      <c r="B96" s="390">
        <v>25312</v>
      </c>
      <c r="C96" s="390">
        <f>IF('Hypotheses expl'!$P$144="0j",'Hypotheses expl'!D144,IF('Hypotheses expl'!$P$144="30j",'Hypotheses expl'!C144,'Hypotheses expl'!B144))</f>
        <v>20493.669600000001</v>
      </c>
      <c r="D96" s="390">
        <f>IF('Hypotheses expl'!$P$144="0j",'Hypotheses expl'!E144,IF('Hypotheses expl'!$P$144="30j",'Hypotheses expl'!D144,'Hypotheses expl'!C144))</f>
        <v>20493.669600000001</v>
      </c>
      <c r="E96" s="390">
        <f>IF('Hypotheses expl'!$P$144="0j",'Hypotheses expl'!F144,IF('Hypotheses expl'!$P$144="30j",'Hypotheses expl'!E144,'Hypotheses expl'!D144))</f>
        <v>20493.669600000001</v>
      </c>
      <c r="F96" s="390">
        <f>IF('Hypotheses expl'!$P$144="0j",'Hypotheses expl'!G144,IF('Hypotheses expl'!$P$144="30j",'Hypotheses expl'!F144,'Hypotheses expl'!E144))</f>
        <v>20493.669600000001</v>
      </c>
      <c r="G96" s="390">
        <f>IF('Hypotheses expl'!$P$144="0j",'Hypotheses expl'!H144,IF('Hypotheses expl'!$P$144="30j",'Hypotheses expl'!G144,'Hypotheses expl'!F144))</f>
        <v>20493.669600000001</v>
      </c>
      <c r="H96" s="390">
        <f>IF('Hypotheses expl'!$P$144="0j",'Hypotheses expl'!I144,IF('Hypotheses expl'!$P$144="30j",'Hypotheses expl'!H144,'Hypotheses expl'!G144))</f>
        <v>20493.669600000001</v>
      </c>
      <c r="I96" s="390">
        <v>22689</v>
      </c>
      <c r="J96" s="390">
        <f>IF('Hypotheses expl'!$P$144="0j",'Hypotheses expl'!K144,IF('Hypotheses expl'!$P$144="30j",'Hypotheses expl'!J144,'Hypotheses expl'!I144))</f>
        <v>20493.669600000001</v>
      </c>
      <c r="K96" s="390">
        <f>IF('Hypotheses expl'!$P$144="0j",'Hypotheses expl'!L144,IF('Hypotheses expl'!$P$144="30j",'Hypotheses expl'!K144,'Hypotheses expl'!J144))</f>
        <v>20493.669600000001</v>
      </c>
      <c r="L96" s="390">
        <f>IF('Hypotheses expl'!$P$144="0j",'Hypotheses expl'!M144,IF('Hypotheses expl'!$P$144="30j",'Hypotheses expl'!L144,'Hypotheses expl'!K144))</f>
        <v>20493.669600000001</v>
      </c>
      <c r="M96" s="390">
        <f>IF('Hypotheses expl'!$P$144="0j",'Hypotheses expl'!N144,IF('Hypotheses expl'!$P$144="30j",'Hypotheses expl'!M144,'Hypotheses expl'!L144))</f>
        <v>20493.669600000001</v>
      </c>
    </row>
    <row r="97" outlineLevel="1">
      <c r="A97" s="393" t="str">
        <f>'Compte résultat prévi'!A93</f>
        <v xml:space="preserve">Salaires bruts formateurs vacataires</v>
      </c>
      <c r="B97" s="390">
        <v>10180</v>
      </c>
      <c r="C97" s="390">
        <v>7739</v>
      </c>
      <c r="D97" s="390">
        <v>11429</v>
      </c>
      <c r="E97" s="390">
        <v>12368</v>
      </c>
      <c r="F97" s="390">
        <f>IF('Hypotheses expl'!$P$145="0j",'Hypotheses expl'!G145,IF('Hypotheses expl'!$P$145="30j",'Hypotheses expl'!F145,'Hypotheses expl'!E145))</f>
        <v>15482.128199999999</v>
      </c>
      <c r="G97" s="390">
        <v>11398</v>
      </c>
      <c r="H97" s="390">
        <v>7392</v>
      </c>
      <c r="I97" s="390">
        <f>IF('Hypotheses expl'!$P$145="0j",'Hypotheses expl'!J145,IF('Hypotheses expl'!$P$145="30j",'Hypotheses expl'!I145,'Hypotheses expl'!H145))</f>
        <v>0</v>
      </c>
      <c r="J97" s="390">
        <v>15213</v>
      </c>
      <c r="K97" s="390">
        <v>10427</v>
      </c>
      <c r="L97" s="390">
        <v>11093</v>
      </c>
      <c r="M97" s="390">
        <v>6339</v>
      </c>
    </row>
    <row r="98" outlineLevel="1">
      <c r="A98" s="393" t="str">
        <f>'Compte résultat prévi'!A94</f>
        <v xml:space="preserve">Charges patronales formateurs permanents/documentation</v>
      </c>
      <c r="B98" s="390">
        <f>IF('Hypotheses expl'!$P$146="0j",'Hypotheses expl'!C146,0)</f>
        <v>0</v>
      </c>
      <c r="C98" s="390">
        <f>IF('Hypotheses expl'!$P$146="0j",'Hypotheses expl'!D146,IF('Hypotheses expl'!$P$146="30j",'Hypotheses expl'!C146,'Hypotheses expl'!B146))</f>
        <v>13107.445338258529</v>
      </c>
      <c r="D98" s="390">
        <f>IF('Hypotheses expl'!$P$146="0j",'Hypotheses expl'!E146,IF('Hypotheses expl'!$P$146="30j",'Hypotheses expl'!D146,'Hypotheses expl'!C146))</f>
        <v>13107.445338258529</v>
      </c>
      <c r="E98" s="390">
        <f>IF('Hypotheses expl'!$P$146="0j",'Hypotheses expl'!F146,IF('Hypotheses expl'!$P$146="30j",'Hypotheses expl'!E146,'Hypotheses expl'!D146))+82427</f>
        <v>95534.445338258534</v>
      </c>
      <c r="F98" s="390">
        <f>IF('Hypotheses expl'!$P$146="0j",'Hypotheses expl'!G146,IF('Hypotheses expl'!$P$146="30j",'Hypotheses expl'!F146,'Hypotheses expl'!E146))</f>
        <v>13107.445338258529</v>
      </c>
      <c r="G98" s="390">
        <f>IF('Hypotheses expl'!$P$146="0j",'Hypotheses expl'!H146,IF('Hypotheses expl'!$P$146="30j",'Hypotheses expl'!G146,'Hypotheses expl'!F146))</f>
        <v>13107.445338258529</v>
      </c>
      <c r="H98" s="390">
        <f>IF('Hypotheses expl'!$P$146="0j",'Hypotheses expl'!I146,IF('Hypotheses expl'!$P$146="30j",'Hypotheses expl'!H146,'Hypotheses expl'!G146))</f>
        <v>13107.445338258529</v>
      </c>
      <c r="I98" s="390">
        <f>IF('Hypotheses expl'!$P$146="0j",'Hypotheses expl'!J146,IF('Hypotheses expl'!$P$146="30j",'Hypotheses expl'!I146,'Hypotheses expl'!H146))</f>
        <v>15131.769927355494</v>
      </c>
      <c r="J98" s="390">
        <f>IF('Hypotheses expl'!$P$146="0j",'Hypotheses expl'!K146,IF('Hypotheses expl'!$P$146="30j",'Hypotheses expl'!J146,'Hypotheses expl'!I146))</f>
        <v>15131.769927355494</v>
      </c>
      <c r="K98" s="390">
        <f>IF('Hypotheses expl'!$P$146="0j",'Hypotheses expl'!L146,IF('Hypotheses expl'!$P$146="30j",'Hypotheses expl'!K146,'Hypotheses expl'!J146))</f>
        <v>15131.769927355494</v>
      </c>
      <c r="L98" s="390">
        <f>IF('Hypotheses expl'!$P$146="0j",'Hypotheses expl'!M146,IF('Hypotheses expl'!$P$146="30j",'Hypotheses expl'!L146,'Hypotheses expl'!K146))</f>
        <v>15131.769927355494</v>
      </c>
      <c r="M98" s="390">
        <f>IF('Hypotheses expl'!$P$146="0j",'Hypotheses expl'!N146,IF('Hypotheses expl'!$P$146="30j",'Hypotheses expl'!M146,'Hypotheses expl'!L146))</f>
        <v>15131.769927355494</v>
      </c>
    </row>
    <row r="99" outlineLevel="1">
      <c r="A99" s="393" t="str">
        <f>'Compte résultat prévi'!A95</f>
        <v xml:space="preserve">Charges patronales direction et administratif</v>
      </c>
      <c r="B99" s="390">
        <f>IF('Hypotheses expl'!$P$147="0j",'Hypotheses expl'!C147,0)</f>
        <v>0</v>
      </c>
      <c r="C99" s="390">
        <f>IF('Hypotheses expl'!$P$147="0j",'Hypotheses expl'!D147,IF('Hypotheses expl'!$P$147="30j",'Hypotheses expl'!C147,'Hypotheses expl'!B147))</f>
        <v>8684.9080610502151</v>
      </c>
      <c r="D99" s="390">
        <f>IF('Hypotheses expl'!$P$147="0j",'Hypotheses expl'!E147,IF('Hypotheses expl'!$P$147="30j",'Hypotheses expl'!D147,'Hypotheses expl'!C147))</f>
        <v>8439.4312979044425</v>
      </c>
      <c r="E99" s="390">
        <f>IF('Hypotheses expl'!$P$147="0j",'Hypotheses expl'!F147,IF('Hypotheses expl'!$P$147="30j",'Hypotheses expl'!E147,'Hypotheses expl'!D147))</f>
        <v>8439.4312979044425</v>
      </c>
      <c r="F99" s="390">
        <f>IF('Hypotheses expl'!$P$147="0j",'Hypotheses expl'!G147,IF('Hypotheses expl'!$P$147="30j",'Hypotheses expl'!F147,'Hypotheses expl'!E147))</f>
        <v>8439.4312979044425</v>
      </c>
      <c r="G99" s="390">
        <f>IF('Hypotheses expl'!$P$147="0j",'Hypotheses expl'!H147,IF('Hypotheses expl'!$P$147="30j",'Hypotheses expl'!G147,'Hypotheses expl'!F147))</f>
        <v>8439.4312979044425</v>
      </c>
      <c r="H99" s="390">
        <f>IF('Hypotheses expl'!$P$147="0j",'Hypotheses expl'!I147,IF('Hypotheses expl'!$P$147="30j",'Hypotheses expl'!H147,'Hypotheses expl'!G147))</f>
        <v>8439.4312979044425</v>
      </c>
      <c r="I99" s="390">
        <f>IF('Hypotheses expl'!$P$147="0j",'Hypotheses expl'!J147,IF('Hypotheses expl'!$P$147="30j",'Hypotheses expl'!I147,'Hypotheses expl'!H147))</f>
        <v>8439.4312979044425</v>
      </c>
      <c r="J99" s="390">
        <f>IF('Hypotheses expl'!$P$147="0j",'Hypotheses expl'!K147,IF('Hypotheses expl'!$P$147="30j",'Hypotheses expl'!J147,'Hypotheses expl'!I147))</f>
        <v>8439.4312979044425</v>
      </c>
      <c r="K99" s="390">
        <f>IF('Hypotheses expl'!$P$147="0j",'Hypotheses expl'!L147,IF('Hypotheses expl'!$P$147="30j",'Hypotheses expl'!K147,'Hypotheses expl'!J147))</f>
        <v>8439.4312979044425</v>
      </c>
      <c r="L99" s="390">
        <f>IF('Hypotheses expl'!$P$147="0j",'Hypotheses expl'!M147,IF('Hypotheses expl'!$P$147="30j",'Hypotheses expl'!L147,'Hypotheses expl'!K147))</f>
        <v>8439.4312979044425</v>
      </c>
      <c r="M99" s="390">
        <f>IF('Hypotheses expl'!$P$147="0j",'Hypotheses expl'!N147,IF('Hypotheses expl'!$P$147="30j",'Hypotheses expl'!M147,'Hypotheses expl'!L147))</f>
        <v>8439.4312979044425</v>
      </c>
    </row>
    <row r="100" outlineLevel="1">
      <c r="A100" s="393" t="str">
        <f>'Compte résultat prévi'!A96</f>
        <v xml:space="preserve">Charges patronales formateurs vacataires</v>
      </c>
      <c r="B100" s="390">
        <f>IF('Hypotheses expl'!$P$148="0j",'Hypotheses expl'!C148,0)</f>
        <v>0</v>
      </c>
      <c r="C100" s="390">
        <f>IF('Hypotheses expl'!$P$148="0j",'Hypotheses expl'!D148,IF('Hypotheses expl'!$P$148="30j",'Hypotheses expl'!C148,'Hypotheses expl'!B148))</f>
        <v>3701.7657600000002</v>
      </c>
      <c r="D100" s="390">
        <f>IF('Hypotheses expl'!$P$148="0j",'Hypotheses expl'!E148,IF('Hypotheses expl'!$P$148="30j",'Hypotheses expl'!D148,'Hypotheses expl'!C148))</f>
        <v>2877.7425600000001</v>
      </c>
      <c r="E100" s="390">
        <f>IF('Hypotheses expl'!$P$148="0j",'Hypotheses expl'!F148,IF('Hypotheses expl'!$P$148="30j",'Hypotheses expl'!E148,'Hypotheses expl'!D148))</f>
        <v>3714.4430400000006</v>
      </c>
      <c r="F100" s="390">
        <f>IF('Hypotheses expl'!$P$148="0j",'Hypotheses expl'!G148,IF('Hypotheses expl'!$P$148="30j",'Hypotheses expl'!F148,'Hypotheses expl'!E148))</f>
        <v>3993.3432000000003</v>
      </c>
      <c r="G100" s="390">
        <f>IF('Hypotheses expl'!$P$148="0j",'Hypotheses expl'!H148,IF('Hypotheses expl'!$P$148="30j",'Hypotheses expl'!G148,'Hypotheses expl'!F148))</f>
        <v>6192.8512799999999</v>
      </c>
      <c r="H100" s="390">
        <f>IF('Hypotheses expl'!$P$148="0j",'Hypotheses expl'!I148,IF('Hypotheses expl'!$P$148="30j",'Hypotheses expl'!H148,'Hypotheses expl'!G148))</f>
        <v>2668.5674400000003</v>
      </c>
      <c r="I100" s="390">
        <f>IF('Hypotheses expl'!$P$148="0j",'Hypotheses expl'!J148,IF('Hypotheses expl'!$P$148="30j",'Hypotheses expl'!I148,'Hypotheses expl'!H148))</f>
        <v>202.83648000000002</v>
      </c>
      <c r="J100" s="390">
        <f>IF('Hypotheses expl'!$P$148="0j",'Hypotheses expl'!K148,IF('Hypotheses expl'!$P$148="30j",'Hypotheses expl'!J148,'Hypotheses expl'!I148))</f>
        <v>0</v>
      </c>
      <c r="K100" s="390">
        <f>IF('Hypotheses expl'!$P$148="0j",'Hypotheses expl'!L148,IF('Hypotheses expl'!$P$148="30j",'Hypotheses expl'!K148,'Hypotheses expl'!J148))</f>
        <v>6085.0944</v>
      </c>
      <c r="L100" s="390">
        <f>IF('Hypotheses expl'!$P$148="0j",'Hypotheses expl'!M148,IF('Hypotheses expl'!$P$148="30j",'Hypotheses expl'!L148,'Hypotheses expl'!K148))</f>
        <v>4170.8251200000004</v>
      </c>
      <c r="M100" s="390">
        <f>IF('Hypotheses expl'!$P$148="0j",'Hypotheses expl'!N148,IF('Hypotheses expl'!$P$148="30j",'Hypotheses expl'!M148,'Hypotheses expl'!L148))</f>
        <v>4437.0479999999998</v>
      </c>
    </row>
    <row r="101" outlineLevel="1">
      <c r="A101" s="393" t="str">
        <f>'Compte résultat prévi'!A97</f>
        <v>Mutuelles</v>
      </c>
      <c r="B101" s="390">
        <f>IF('Hypotheses expl'!$P$149="0j",'Hypotheses expl'!C149,0)</f>
        <v>0</v>
      </c>
      <c r="C101" s="390">
        <f>IF('Hypotheses expl'!$P$149="0j",'Hypotheses expl'!D149,IF('Hypotheses expl'!$P$149="30j",'Hypotheses expl'!C149,'Hypotheses expl'!B149))</f>
        <v>2900</v>
      </c>
      <c r="D101" s="390">
        <f>IF('Hypotheses expl'!$P$149="0j",'Hypotheses expl'!E149,IF('Hypotheses expl'!$P$149="30j",'Hypotheses expl'!D149,'Hypotheses expl'!C149))</f>
        <v>2900</v>
      </c>
      <c r="E101" s="390">
        <f>IF('Hypotheses expl'!$P$149="0j",'Hypotheses expl'!F149,IF('Hypotheses expl'!$P$149="30j",'Hypotheses expl'!E149,'Hypotheses expl'!D149))</f>
        <v>2900</v>
      </c>
      <c r="F101" s="390">
        <f>IF('Hypotheses expl'!$P$149="0j",'Hypotheses expl'!G149,IF('Hypotheses expl'!$P$149="30j",'Hypotheses expl'!F149,'Hypotheses expl'!E149))</f>
        <v>2900</v>
      </c>
      <c r="G101" s="390">
        <f>IF('Hypotheses expl'!$P$149="0j",'Hypotheses expl'!H149,IF('Hypotheses expl'!$P$149="30j",'Hypotheses expl'!G149,'Hypotheses expl'!F149))</f>
        <v>2900</v>
      </c>
      <c r="H101" s="390">
        <f>IF('Hypotheses expl'!$P$149="0j",'Hypotheses expl'!I149,IF('Hypotheses expl'!$P$149="30j",'Hypotheses expl'!H149,'Hypotheses expl'!G149))</f>
        <v>2900</v>
      </c>
      <c r="I101" s="390">
        <f>IF('Hypotheses expl'!$P$149="0j",'Hypotheses expl'!J149,IF('Hypotheses expl'!$P$149="30j",'Hypotheses expl'!I149,'Hypotheses expl'!H149))</f>
        <v>2900</v>
      </c>
      <c r="J101" s="390">
        <f>IF('Hypotheses expl'!$P$149="0j",'Hypotheses expl'!K149,IF('Hypotheses expl'!$P$149="30j",'Hypotheses expl'!J149,'Hypotheses expl'!I149))</f>
        <v>2900</v>
      </c>
      <c r="K101" s="390">
        <f>IF('Hypotheses expl'!$P$149="0j",'Hypotheses expl'!L149,IF('Hypotheses expl'!$P$149="30j",'Hypotheses expl'!K149,'Hypotheses expl'!J149))</f>
        <v>2900</v>
      </c>
      <c r="L101" s="390">
        <f>IF('Hypotheses expl'!$P$149="0j",'Hypotheses expl'!M149,IF('Hypotheses expl'!$P$149="30j",'Hypotheses expl'!L149,'Hypotheses expl'!K149))</f>
        <v>2900</v>
      </c>
      <c r="M101" s="390">
        <f>IF('Hypotheses expl'!$P$149="0j",'Hypotheses expl'!N149,IF('Hypotheses expl'!$P$149="30j",'Hypotheses expl'!M149,'Hypotheses expl'!L149))</f>
        <v>2900</v>
      </c>
    </row>
    <row r="102" outlineLevel="1">
      <c r="A102" s="393" t="str">
        <f>'Compte résultat prévi'!A98</f>
        <v xml:space="preserve">Médecine du travail</v>
      </c>
      <c r="B102" s="390">
        <f>IF('Hypotheses expl'!$P$150="0j",'Hypotheses expl'!C150,IF('Hypotheses expl'!$P$150="30j",'Hypotheses expl'!B150,'Hypotheses expl'!A150))</f>
        <v>0</v>
      </c>
      <c r="C102" s="390">
        <v>1583</v>
      </c>
      <c r="D102" s="390">
        <f>IF('Hypotheses expl'!$P$150="0j",'Hypotheses expl'!E150,IF('Hypotheses expl'!$P$150="30j",'Hypotheses expl'!D150,'Hypotheses expl'!C150))</f>
        <v>0</v>
      </c>
      <c r="E102" s="390">
        <f>IF('Hypotheses expl'!$P$150="0j",'Hypotheses expl'!F150,IF('Hypotheses expl'!$P$150="30j",'Hypotheses expl'!E150,'Hypotheses expl'!D150))</f>
        <v>0</v>
      </c>
      <c r="F102" s="390">
        <f>IF('Hypotheses expl'!$P$150="0j",'Hypotheses expl'!G150,IF('Hypotheses expl'!$P$150="30j",'Hypotheses expl'!F150,'Hypotheses expl'!E150))</f>
        <v>0</v>
      </c>
      <c r="G102" s="390">
        <f>IF('Hypotheses expl'!$P$150="0j",'Hypotheses expl'!H150,IF('Hypotheses expl'!$P$150="30j",'Hypotheses expl'!G150,'Hypotheses expl'!F150))</f>
        <v>0</v>
      </c>
      <c r="H102" s="390">
        <v>789</v>
      </c>
      <c r="I102" s="390">
        <f>IF('Hypotheses expl'!$P$150="0j",'Hypotheses expl'!J150,IF('Hypotheses expl'!$P$150="30j",'Hypotheses expl'!I150,'Hypotheses expl'!H150))</f>
        <v>0</v>
      </c>
      <c r="J102" s="390">
        <f>IF('Hypotheses expl'!$P$150="0j",'Hypotheses expl'!K150,IF('Hypotheses expl'!$P$150="30j",'Hypotheses expl'!J150,'Hypotheses expl'!I150))</f>
        <v>0</v>
      </c>
      <c r="K102" s="390">
        <f>IF('Hypotheses expl'!$P$150="0j",'Hypotheses expl'!L150,IF('Hypotheses expl'!$P$150="30j",'Hypotheses expl'!K150,'Hypotheses expl'!J150))</f>
        <v>0</v>
      </c>
      <c r="L102" s="390">
        <f>IF('Hypotheses expl'!$P$150="0j",'Hypotheses expl'!M150,IF('Hypotheses expl'!$P$150="30j",'Hypotheses expl'!L150,'Hypotheses expl'!K150))</f>
        <v>0</v>
      </c>
      <c r="M102" s="390">
        <f>IF('Hypotheses expl'!$P$150="0j",'Hypotheses expl'!N150,IF('Hypotheses expl'!$P$150="30j",'Hypotheses expl'!M150,'Hypotheses expl'!L150))</f>
        <v>0</v>
      </c>
    </row>
    <row r="103" outlineLevel="1">
      <c r="A103" s="393" t="str">
        <f>'Compte résultat prévi'!A99</f>
        <v xml:space="preserve">Indemnités départ</v>
      </c>
      <c r="B103" s="390">
        <v>22022</v>
      </c>
      <c r="C103" s="390">
        <f>IF('Hypotheses expl'!$P$151="0j",'Hypotheses expl'!D151,IF('Hypotheses expl'!$P$151="30j",'Hypotheses expl'!C151,'Hypotheses expl'!B151))</f>
        <v>0</v>
      </c>
      <c r="D103" s="390">
        <v>0</v>
      </c>
      <c r="E103" s="390">
        <f>IF('Hypotheses expl'!$P$151="0j",'Hypotheses expl'!F151,IF('Hypotheses expl'!$P$151="30j",'Hypotheses expl'!E151,'Hypotheses expl'!D151))</f>
        <v>0</v>
      </c>
      <c r="F103" s="390">
        <f>IF('Hypotheses expl'!$P$151="0j",'Hypotheses expl'!G151,IF('Hypotheses expl'!$P$151="30j",'Hypotheses expl'!F151,'Hypotheses expl'!E151))</f>
        <v>0</v>
      </c>
      <c r="G103" s="390">
        <f>IF('Hypotheses expl'!$P$151="0j",'Hypotheses expl'!H151,IF('Hypotheses expl'!$P$151="30j",'Hypotheses expl'!G151,'Hypotheses expl'!F151))</f>
        <v>0</v>
      </c>
      <c r="H103" s="390">
        <f>IF('Hypotheses expl'!$P$151="0j",'Hypotheses expl'!I151,IF('Hypotheses expl'!$P$151="30j",'Hypotheses expl'!H151,'Hypotheses expl'!G151))</f>
        <v>0</v>
      </c>
      <c r="I103" s="390">
        <v>35360</v>
      </c>
      <c r="J103" s="390">
        <f>IF('Hypotheses expl'!$P$151="0j",'Hypotheses expl'!K151,IF('Hypotheses expl'!$P$151="30j",'Hypotheses expl'!J151,'Hypotheses expl'!I151))</f>
        <v>0</v>
      </c>
      <c r="K103" s="390">
        <f>IF('Hypotheses expl'!$P$151="0j",'Hypotheses expl'!L151,IF('Hypotheses expl'!$P$151="30j",'Hypotheses expl'!K151,'Hypotheses expl'!J151))</f>
        <v>0</v>
      </c>
      <c r="L103" s="390">
        <f>IF('Hypotheses expl'!$P$151="0j",'Hypotheses expl'!M151,IF('Hypotheses expl'!$P$151="30j",'Hypotheses expl'!L151,'Hypotheses expl'!K151))</f>
        <v>0</v>
      </c>
      <c r="M103" s="390">
        <v>35000</v>
      </c>
    </row>
    <row r="104" outlineLevel="1">
      <c r="A104" s="393" t="str">
        <f>'Compte résultat prévi'!A100</f>
        <v xml:space="preserve">Versement CE</v>
      </c>
      <c r="B104" s="390">
        <f>IF('Hypotheses expl'!$P$152="0j",'Hypotheses expl'!C152,0)</f>
        <v>0</v>
      </c>
      <c r="C104" s="390">
        <f>IF('Hypotheses expl'!$P$152="0j",'Hypotheses expl'!D152,IF('Hypotheses expl'!$P$152="30j",'Hypotheses expl'!C152,'Hypotheses expl'!B152))</f>
        <v>0</v>
      </c>
      <c r="D104" s="390">
        <f>IF('Hypotheses expl'!$P$152="0j",'Hypotheses expl'!E152,IF('Hypotheses expl'!$P$152="30j",'Hypotheses expl'!D152,'Hypotheses expl'!C152))</f>
        <v>0</v>
      </c>
      <c r="E104" s="390">
        <f>IF('Hypotheses expl'!$P$152="0j",'Hypotheses expl'!F152,IF('Hypotheses expl'!$P$152="30j",'Hypotheses expl'!E152,'Hypotheses expl'!D152))</f>
        <v>0</v>
      </c>
      <c r="F104" s="390">
        <f>IF('Hypotheses expl'!$P$152="0j",'Hypotheses expl'!G152,IF('Hypotheses expl'!$P$152="30j",'Hypotheses expl'!F152,'Hypotheses expl'!E152))</f>
        <v>0</v>
      </c>
      <c r="G104" s="390">
        <f>IF('Hypotheses expl'!$P$152="0j",'Hypotheses expl'!H152,IF('Hypotheses expl'!$P$152="30j",'Hypotheses expl'!G152,'Hypotheses expl'!F152))</f>
        <v>0</v>
      </c>
      <c r="H104" s="390">
        <v>9185</v>
      </c>
      <c r="I104" s="390">
        <f>IF('Hypotheses expl'!$P$152="0j",'Hypotheses expl'!J152,IF('Hypotheses expl'!$P$152="30j",'Hypotheses expl'!I152,'Hypotheses expl'!H152))</f>
        <v>0</v>
      </c>
      <c r="J104" s="390">
        <v>0</v>
      </c>
      <c r="K104" s="390">
        <f>IF('Hypotheses expl'!$P$152="0j",'Hypotheses expl'!L152,IF('Hypotheses expl'!$P$152="30j",'Hypotheses expl'!K152,'Hypotheses expl'!J152))</f>
        <v>0</v>
      </c>
      <c r="L104" s="390">
        <v>0</v>
      </c>
      <c r="M104" s="390">
        <v>5000</v>
      </c>
    </row>
    <row r="105" outlineLevel="1">
      <c r="A105" s="393" t="str">
        <f>'Compte résultat prévi'!A101</f>
        <v xml:space="preserve">Ticket restaurants</v>
      </c>
      <c r="B105" s="390">
        <v>3800</v>
      </c>
      <c r="C105" s="390">
        <v>3800</v>
      </c>
      <c r="D105" s="390">
        <v>3800</v>
      </c>
      <c r="E105" s="390">
        <v>3800</v>
      </c>
      <c r="F105" s="390">
        <v>3800</v>
      </c>
      <c r="G105" s="390">
        <v>3800</v>
      </c>
      <c r="H105" s="390">
        <v>3800</v>
      </c>
      <c r="I105" s="390">
        <v>3800</v>
      </c>
      <c r="J105" s="390">
        <v>3800</v>
      </c>
      <c r="K105" s="390">
        <v>3800</v>
      </c>
      <c r="L105" s="390">
        <v>3800</v>
      </c>
      <c r="M105" s="390">
        <v>3800</v>
      </c>
    </row>
    <row r="106">
      <c r="A106" s="391" t="str">
        <f>'Compte résultat prévi'!A102</f>
        <v xml:space="preserve">Autres charges de gestion courante</v>
      </c>
      <c r="B106" s="388">
        <f>SUM(B107:B109)</f>
        <v>0</v>
      </c>
      <c r="C106" s="388">
        <f t="shared" ref="C106:M106" si="309">SUM(C107:C109)</f>
        <v>0</v>
      </c>
      <c r="D106" s="388">
        <f t="shared" si="309"/>
        <v>0</v>
      </c>
      <c r="E106" s="388">
        <f t="shared" si="309"/>
        <v>0</v>
      </c>
      <c r="F106" s="388">
        <f t="shared" si="309"/>
        <v>0</v>
      </c>
      <c r="G106" s="388">
        <f t="shared" si="309"/>
        <v>0</v>
      </c>
      <c r="H106" s="388">
        <f t="shared" si="309"/>
        <v>0</v>
      </c>
      <c r="I106" s="388">
        <f t="shared" si="309"/>
        <v>0</v>
      </c>
      <c r="J106" s="388">
        <f t="shared" si="309"/>
        <v>0</v>
      </c>
      <c r="K106" s="388">
        <f t="shared" si="309"/>
        <v>0</v>
      </c>
      <c r="L106" s="388">
        <f t="shared" si="309"/>
        <v>0</v>
      </c>
      <c r="M106" s="388">
        <f t="shared" si="309"/>
        <v>6900</v>
      </c>
    </row>
    <row r="107" hidden="1" outlineLevel="1">
      <c r="A107" s="393" t="str">
        <f>'Compte résultat prévi'!A103</f>
        <v xml:space="preserve">Pertes sur créances irrécouvrables</v>
      </c>
      <c r="B107" s="390">
        <f>IF('Hypotheses expl'!$P$154="0j",'Hypotheses expl'!C154,0)</f>
        <v>0</v>
      </c>
      <c r="C107" s="390">
        <f>IF('Hypotheses expl'!$P$154="0j",'Hypotheses expl'!D154,0)</f>
        <v>0</v>
      </c>
      <c r="D107" s="390">
        <f>IF('Hypotheses expl'!$P$154="0j",'Hypotheses expl'!E154,IF('Hypotheses expl'!$P$154="30j",'Hypotheses expl'!D154,'Hypotheses expl'!C154))</f>
        <v>0</v>
      </c>
      <c r="E107" s="390">
        <f>IF('Hypotheses expl'!$P$154="0j",'Hypotheses expl'!F154,IF('Hypotheses expl'!$P$154="30j",'Hypotheses expl'!E154,'Hypotheses expl'!D154))</f>
        <v>0</v>
      </c>
      <c r="F107" s="390">
        <f>IF('Hypotheses expl'!$P$154="0j",'Hypotheses expl'!G154,IF('Hypotheses expl'!$P$154="30j",'Hypotheses expl'!F154,'Hypotheses expl'!E154))</f>
        <v>0</v>
      </c>
      <c r="G107" s="390">
        <f>IF('Hypotheses expl'!$P$154="0j",'Hypotheses expl'!H154,IF('Hypotheses expl'!$P$154="30j",'Hypotheses expl'!G154,'Hypotheses expl'!F154))</f>
        <v>0</v>
      </c>
      <c r="H107" s="390">
        <f>IF('Hypotheses expl'!$P$154="0j",'Hypotheses expl'!I154,IF('Hypotheses expl'!$P$154="30j",'Hypotheses expl'!H154,'Hypotheses expl'!G154))</f>
        <v>0</v>
      </c>
      <c r="I107" s="390">
        <f>IF('Hypotheses expl'!$P$154="0j",'Hypotheses expl'!J154,IF('Hypotheses expl'!$P$154="30j",'Hypotheses expl'!I154,'Hypotheses expl'!H154))</f>
        <v>0</v>
      </c>
      <c r="J107" s="390">
        <f>IF('Hypotheses expl'!$P$154="0j",'Hypotheses expl'!K154,IF('Hypotheses expl'!$P$154="30j",'Hypotheses expl'!J154,'Hypotheses expl'!I154))</f>
        <v>0</v>
      </c>
      <c r="K107" s="390">
        <f>IF('Hypotheses expl'!$P$154="0j",'Hypotheses expl'!L154,IF('Hypotheses expl'!$P$154="30j",'Hypotheses expl'!K154,'Hypotheses expl'!J154))</f>
        <v>0</v>
      </c>
      <c r="L107" s="390">
        <f>IF('Hypotheses expl'!$P$154="0j",'Hypotheses expl'!M154,IF('Hypotheses expl'!$P$154="30j",'Hypotheses expl'!L154,'Hypotheses expl'!K154))</f>
        <v>0</v>
      </c>
      <c r="M107" s="390">
        <f>IF('Hypotheses expl'!$P$154="0j",'Hypotheses expl'!N154,IF('Hypotheses expl'!$P$154="30j",'Hypotheses expl'!M154,'Hypotheses expl'!L154))</f>
        <v>0</v>
      </c>
    </row>
    <row r="108" hidden="1" outlineLevel="1">
      <c r="A108" s="393" t="str">
        <f>'Compte résultat prévi'!A104</f>
        <v xml:space="preserve">Cotisations vie statuaire</v>
      </c>
      <c r="B108" s="390">
        <f>IF('Hypotheses expl'!$P$155="0j",'Hypotheses expl'!C155,IF('Hypotheses expl'!$P$155="30j",'Hypotheses expl'!B155,'Hypotheses expl'!A155))</f>
        <v>0</v>
      </c>
      <c r="C108" s="390">
        <f>IF('Hypotheses expl'!$P$155="0j",'Hypotheses expl'!D155,IF('Hypotheses expl'!$P$155="30j",'Hypotheses expl'!C155,'Hypotheses expl'!B155))</f>
        <v>0</v>
      </c>
      <c r="D108" s="390">
        <f>IF('Hypotheses expl'!$P$155="0j",'Hypotheses expl'!E155,IF('Hypotheses expl'!$P$155="30j",'Hypotheses expl'!D155,'Hypotheses expl'!C155))</f>
        <v>0</v>
      </c>
      <c r="E108" s="390">
        <f>IF('Hypotheses expl'!$P$155="0j",'Hypotheses expl'!F155,IF('Hypotheses expl'!$P$155="30j",'Hypotheses expl'!E155,'Hypotheses expl'!D155))</f>
        <v>0</v>
      </c>
      <c r="F108" s="390">
        <f>IF('Hypotheses expl'!$P$155="0j",'Hypotheses expl'!G155,IF('Hypotheses expl'!$P$155="30j",'Hypotheses expl'!F155,'Hypotheses expl'!E155))</f>
        <v>0</v>
      </c>
      <c r="G108" s="390">
        <f>IF('Hypotheses expl'!$P$155="0j",'Hypotheses expl'!H155,IF('Hypotheses expl'!$P$155="30j",'Hypotheses expl'!G155,'Hypotheses expl'!F155))</f>
        <v>0</v>
      </c>
      <c r="H108" s="390">
        <f>IF('Hypotheses expl'!$P$155="0j",'Hypotheses expl'!I155,IF('Hypotheses expl'!$P$155="30j",'Hypotheses expl'!H155,'Hypotheses expl'!G155))</f>
        <v>0</v>
      </c>
      <c r="I108" s="390">
        <f>IF('Hypotheses expl'!$P$155="0j",'Hypotheses expl'!J155,IF('Hypotheses expl'!$P$155="30j",'Hypotheses expl'!I155,'Hypotheses expl'!H155))</f>
        <v>0</v>
      </c>
      <c r="J108" s="390">
        <f>IF('Hypotheses expl'!$P$155="0j",'Hypotheses expl'!K155,IF('Hypotheses expl'!$P$155="30j",'Hypotheses expl'!J155,'Hypotheses expl'!I155))</f>
        <v>0</v>
      </c>
      <c r="K108" s="390">
        <f>IF('Hypotheses expl'!$P$155="0j",'Hypotheses expl'!L155,IF('Hypotheses expl'!$P$155="30j",'Hypotheses expl'!K155,'Hypotheses expl'!J155))</f>
        <v>0</v>
      </c>
      <c r="L108" s="390">
        <f>IF('Hypotheses expl'!$P$155="0j",'Hypotheses expl'!M155,IF('Hypotheses expl'!$P$155="30j",'Hypotheses expl'!L155,'Hypotheses expl'!K155))</f>
        <v>0</v>
      </c>
      <c r="M108" s="390">
        <f>IF('Hypotheses expl'!$P$155="0j",'Hypotheses expl'!N155,IF('Hypotheses expl'!$P$155="30j",'Hypotheses expl'!M155,'Hypotheses expl'!L155))</f>
        <v>6900</v>
      </c>
    </row>
    <row r="109" hidden="1" outlineLevel="1">
      <c r="A109" s="393" t="str">
        <f>'Compte résultat prévi'!A105</f>
        <v xml:space="preserve">Autres charges de gestion courante</v>
      </c>
      <c r="B109" s="390">
        <f>IF('Hypotheses expl'!$P$156="0j",'Hypotheses expl'!C156,IF('Hypotheses expl'!$P$156="30j",'Hypotheses expl'!B156,'Hypotheses expl'!A156))</f>
        <v>0</v>
      </c>
      <c r="C109" s="390">
        <f>IF('Hypotheses expl'!$P$156="0j",'Hypotheses expl'!D156,IF('Hypotheses expl'!$P$156="30j",'Hypotheses expl'!C156,'Hypotheses expl'!B156))</f>
        <v>0</v>
      </c>
      <c r="D109" s="390">
        <f>IF('Hypotheses expl'!$P$156="0j",'Hypotheses expl'!E156,IF('Hypotheses expl'!$P$156="30j",'Hypotheses expl'!D156,'Hypotheses expl'!C156))</f>
        <v>0</v>
      </c>
      <c r="E109" s="390">
        <f>IF('Hypotheses expl'!$P$156="0j",'Hypotheses expl'!F156,IF('Hypotheses expl'!$P$156="30j",'Hypotheses expl'!E156,'Hypotheses expl'!D156))</f>
        <v>0</v>
      </c>
      <c r="F109" s="390">
        <f>IF('Hypotheses expl'!$P$156="0j",'Hypotheses expl'!G156,IF('Hypotheses expl'!$P$156="30j",'Hypotheses expl'!F156,'Hypotheses expl'!E156))</f>
        <v>0</v>
      </c>
      <c r="G109" s="390">
        <f>IF('Hypotheses expl'!$P$156="0j",'Hypotheses expl'!H156,IF('Hypotheses expl'!$P$156="30j",'Hypotheses expl'!G156,'Hypotheses expl'!F156))</f>
        <v>0</v>
      </c>
      <c r="H109" s="390">
        <f>IF('Hypotheses expl'!$P$156="0j",'Hypotheses expl'!I156,IF('Hypotheses expl'!$P$156="30j",'Hypotheses expl'!H156,'Hypotheses expl'!G156))</f>
        <v>0</v>
      </c>
      <c r="I109" s="390">
        <f>IF('Hypotheses expl'!$P$156="0j",'Hypotheses expl'!J156,IF('Hypotheses expl'!$P$156="30j",'Hypotheses expl'!I156,'Hypotheses expl'!H156))</f>
        <v>0</v>
      </c>
      <c r="J109" s="390">
        <f>IF('Hypotheses expl'!$P$156="0j",'Hypotheses expl'!K156,IF('Hypotheses expl'!$P$156="30j",'Hypotheses expl'!J156,'Hypotheses expl'!I156))</f>
        <v>0</v>
      </c>
      <c r="K109" s="390">
        <f>IF('Hypotheses expl'!$P$156="0j",'Hypotheses expl'!L156,IF('Hypotheses expl'!$P$156="30j",'Hypotheses expl'!K156,'Hypotheses expl'!J156))</f>
        <v>0</v>
      </c>
      <c r="L109" s="390">
        <f>IF('Hypotheses expl'!$P$156="0j",'Hypotheses expl'!M156,IF('Hypotheses expl'!$P$156="30j",'Hypotheses expl'!L156,'Hypotheses expl'!K156))</f>
        <v>0</v>
      </c>
      <c r="M109" s="390">
        <f>IF('Hypotheses expl'!$P$156="0j",'Hypotheses expl'!N156,IF('Hypotheses expl'!$P$156="30j",'Hypotheses expl'!M156,'Hypotheses expl'!L156))</f>
        <v>0</v>
      </c>
    </row>
    <row r="110" collapsed="1">
      <c r="A110" s="391" t="str">
        <f>'Compte résultat prévi'!A113</f>
        <v xml:space="preserve">Charges financières</v>
      </c>
      <c r="B110" s="388">
        <f>SUM(B111:B112)</f>
        <v>1000</v>
      </c>
      <c r="C110" s="388">
        <f t="shared" ref="C110:M110" si="310">SUM(C111:C112)</f>
        <v>0</v>
      </c>
      <c r="D110" s="388">
        <f t="shared" si="310"/>
        <v>0</v>
      </c>
      <c r="E110" s="388">
        <f t="shared" si="310"/>
        <v>0</v>
      </c>
      <c r="F110" s="388">
        <f t="shared" si="310"/>
        <v>0</v>
      </c>
      <c r="G110" s="388">
        <f t="shared" si="310"/>
        <v>0</v>
      </c>
      <c r="H110" s="388">
        <f t="shared" si="310"/>
        <v>0</v>
      </c>
      <c r="I110" s="388">
        <f t="shared" si="310"/>
        <v>0</v>
      </c>
      <c r="J110" s="388">
        <f t="shared" si="310"/>
        <v>0</v>
      </c>
      <c r="K110" s="388">
        <f t="shared" si="310"/>
        <v>1000</v>
      </c>
      <c r="L110" s="388">
        <f t="shared" si="310"/>
        <v>1000</v>
      </c>
      <c r="M110" s="388">
        <f t="shared" si="310"/>
        <v>1000</v>
      </c>
    </row>
    <row r="111" hidden="1" outlineLevel="1">
      <c r="A111" s="393" t="str">
        <f>'Compte résultat prévi'!A114</f>
        <v xml:space="preserve">Autres charges financières</v>
      </c>
      <c r="B111" s="390">
        <f>IF('Hypotheses expl'!$P$157="0j",'Hypotheses expl'!C157,IF('Hypotheses expl'!$P$157="30j",'Hypotheses expl'!B157,'Hypotheses expl'!A157))</f>
        <v>1000</v>
      </c>
      <c r="C111" s="390">
        <f>IF('Hypotheses expl'!$P$157="0j",'Hypotheses expl'!D157,IF('Hypotheses expl'!$P$157="30j",'Hypotheses expl'!C157,'Hypotheses expl'!B157))</f>
        <v>0</v>
      </c>
      <c r="D111" s="390">
        <f>IF('Hypotheses expl'!$P$157="0j",'Hypotheses expl'!E157,IF('Hypotheses expl'!$P$157="30j",'Hypotheses expl'!D157,'Hypotheses expl'!C157))</f>
        <v>0</v>
      </c>
      <c r="E111" s="390">
        <f>IF('Hypotheses expl'!$P$157="0j",'Hypotheses expl'!F157,IF('Hypotheses expl'!$P$157="30j",'Hypotheses expl'!E157,'Hypotheses expl'!D157))</f>
        <v>0</v>
      </c>
      <c r="F111" s="390">
        <f>IF('Hypotheses expl'!$P$157="0j",'Hypotheses expl'!G157,IF('Hypotheses expl'!$P$157="30j",'Hypotheses expl'!F157,'Hypotheses expl'!E157))</f>
        <v>0</v>
      </c>
      <c r="G111" s="390">
        <f>IF('Hypotheses expl'!$P$157="0j",'Hypotheses expl'!H157,IF('Hypotheses expl'!$P$157="30j",'Hypotheses expl'!G157,'Hypotheses expl'!F157))</f>
        <v>0</v>
      </c>
      <c r="H111" s="390">
        <f>IF('Hypotheses expl'!$P$157="0j",'Hypotheses expl'!I157,IF('Hypotheses expl'!$P$157="30j",'Hypotheses expl'!H157,'Hypotheses expl'!G157))</f>
        <v>0</v>
      </c>
      <c r="I111" s="390">
        <f>IF('Hypotheses expl'!$P$157="0j",'Hypotheses expl'!J157,IF('Hypotheses expl'!$P$157="30j",'Hypotheses expl'!I157,'Hypotheses expl'!H157))</f>
        <v>0</v>
      </c>
      <c r="J111" s="390">
        <f>IF('Hypotheses expl'!$P$157="0j",'Hypotheses expl'!K157,IF('Hypotheses expl'!$P$157="30j",'Hypotheses expl'!J157,'Hypotheses expl'!I157))</f>
        <v>0</v>
      </c>
      <c r="K111" s="390">
        <f>IF('Hypotheses expl'!$P$157="0j",'Hypotheses expl'!L157,IF('Hypotheses expl'!$P$157="30j",'Hypotheses expl'!K157,'Hypotheses expl'!J157))</f>
        <v>1000</v>
      </c>
      <c r="L111" s="390">
        <f>IF('Hypotheses expl'!$P$157="0j",'Hypotheses expl'!M157,IF('Hypotheses expl'!$P$157="30j",'Hypotheses expl'!L157,'Hypotheses expl'!K157))</f>
        <v>1000</v>
      </c>
      <c r="M111" s="390">
        <f>IF('Hypotheses expl'!$P$157="0j",'Hypotheses expl'!N157,IF('Hypotheses expl'!$P$157="30j",'Hypotheses expl'!M157,'Hypotheses expl'!L157))</f>
        <v>1000</v>
      </c>
    </row>
    <row r="112" hidden="1" outlineLevel="1">
      <c r="A112" s="396">
        <f>'Compte résultat prévi'!A115</f>
        <v>0</v>
      </c>
      <c r="B112" s="390">
        <f>IF('Hypotheses expl'!$P$158="0j",'Hypotheses expl'!C158,IF('Hypotheses expl'!$P$158="30j",'Hypotheses expl'!B158,'Hypotheses expl'!A158))</f>
        <v>0</v>
      </c>
      <c r="C112" s="390">
        <f>IF('Hypotheses expl'!$P$158="0j",'Hypotheses expl'!D158,IF('Hypotheses expl'!$P$158="30j",'Hypotheses expl'!C158,'Hypotheses expl'!B158))</f>
        <v>0</v>
      </c>
      <c r="D112" s="390">
        <f>IF('Hypotheses expl'!$P$158="0j",'Hypotheses expl'!E158,IF('Hypotheses expl'!$P$158="30j",'Hypotheses expl'!D158,'Hypotheses expl'!C158))</f>
        <v>0</v>
      </c>
      <c r="E112" s="390">
        <f>IF('Hypotheses expl'!$P$158="0j",'Hypotheses expl'!F158,IF('Hypotheses expl'!$P$158="30j",'Hypotheses expl'!E158,'Hypotheses expl'!D158))</f>
        <v>0</v>
      </c>
      <c r="F112" s="390">
        <f>IF('Hypotheses expl'!$P$158="0j",'Hypotheses expl'!G158,IF('Hypotheses expl'!$P$158="30j",'Hypotheses expl'!F158,'Hypotheses expl'!E158))</f>
        <v>0</v>
      </c>
      <c r="G112" s="390">
        <f>IF('Hypotheses expl'!$P$158="0j",'Hypotheses expl'!H158,IF('Hypotheses expl'!$P$158="30j",'Hypotheses expl'!G158,'Hypotheses expl'!F158))</f>
        <v>0</v>
      </c>
      <c r="H112" s="390">
        <f>IF('Hypotheses expl'!$P$158="0j",'Hypotheses expl'!I158,IF('Hypotheses expl'!$P$158="30j",'Hypotheses expl'!H158,'Hypotheses expl'!G158))</f>
        <v>0</v>
      </c>
      <c r="I112" s="390">
        <f>IF('Hypotheses expl'!$P$158="0j",'Hypotheses expl'!J158,IF('Hypotheses expl'!$P$158="30j",'Hypotheses expl'!I158,'Hypotheses expl'!H158))</f>
        <v>0</v>
      </c>
      <c r="J112" s="390">
        <f>IF('Hypotheses expl'!$P$158="0j",'Hypotheses expl'!K158,IF('Hypotheses expl'!$P$158="30j",'Hypotheses expl'!J158,'Hypotheses expl'!I158))</f>
        <v>0</v>
      </c>
      <c r="K112" s="390">
        <f>IF('Hypotheses expl'!$P$158="0j",'Hypotheses expl'!L158,IF('Hypotheses expl'!$P$158="30j",'Hypotheses expl'!K158,'Hypotheses expl'!J158))</f>
        <v>0</v>
      </c>
      <c r="L112" s="390">
        <f>IF('Hypotheses expl'!$P$158="0j",'Hypotheses expl'!M158,IF('Hypotheses expl'!$P$158="30j",'Hypotheses expl'!L158,'Hypotheses expl'!K158))</f>
        <v>0</v>
      </c>
      <c r="M112" s="390">
        <f>IF('Hypotheses expl'!$P$158="0j",'Hypotheses expl'!N158,IF('Hypotheses expl'!$P$158="30j",'Hypotheses expl'!M158,'Hypotheses expl'!L158))</f>
        <v>0</v>
      </c>
    </row>
    <row r="113" collapsed="1">
      <c r="A113" s="391" t="str">
        <f>'Compte résultat prévi'!A120</f>
        <v xml:space="preserve">Charges exceptionnelles</v>
      </c>
      <c r="B113" s="388">
        <f>SUM(B114:B115)</f>
        <v>0</v>
      </c>
      <c r="C113" s="388">
        <f t="shared" ref="C113:M113" si="311">SUM(C114:C115)</f>
        <v>0</v>
      </c>
      <c r="D113" s="388">
        <f t="shared" si="311"/>
        <v>0</v>
      </c>
      <c r="E113" s="388">
        <f t="shared" si="311"/>
        <v>0</v>
      </c>
      <c r="F113" s="388">
        <f t="shared" si="311"/>
        <v>0</v>
      </c>
      <c r="G113" s="388">
        <f t="shared" si="311"/>
        <v>0</v>
      </c>
      <c r="H113" s="388">
        <f t="shared" si="311"/>
        <v>0</v>
      </c>
      <c r="I113" s="388">
        <f t="shared" si="311"/>
        <v>0</v>
      </c>
      <c r="J113" s="388">
        <f t="shared" si="311"/>
        <v>0</v>
      </c>
      <c r="K113" s="388">
        <f t="shared" si="311"/>
        <v>0</v>
      </c>
      <c r="L113" s="388">
        <f t="shared" si="311"/>
        <v>0</v>
      </c>
      <c r="M113" s="388">
        <f t="shared" si="311"/>
        <v>0</v>
      </c>
    </row>
    <row r="114" hidden="1" outlineLevel="1">
      <c r="A114" s="393" t="str">
        <f>'Compte résultat prévi'!A121</f>
        <v xml:space="preserve">Provisions pour risques et charges</v>
      </c>
      <c r="B114" s="390">
        <f>IF('Hypotheses expl'!$P$159="0j",'Hypotheses expl'!C159,IF('Hypotheses expl'!$P$159="30j",'Hypotheses expl'!B159,'Hypotheses expl'!A159))</f>
        <v>0</v>
      </c>
      <c r="C114" s="390">
        <f>IF('Hypotheses expl'!$P$159="0j",'Hypotheses expl'!D159,IF('Hypotheses expl'!$P$159="30j",'Hypotheses expl'!C159,'Hypotheses expl'!B159))</f>
        <v>0</v>
      </c>
      <c r="D114" s="390">
        <f>IF('Hypotheses expl'!$P$159="0j",'Hypotheses expl'!E159,IF('Hypotheses expl'!$P$159="30j",'Hypotheses expl'!D159,'Hypotheses expl'!C159))</f>
        <v>0</v>
      </c>
      <c r="E114" s="390">
        <f>IF('Hypotheses expl'!$P$159="0j",'Hypotheses expl'!F159,IF('Hypotheses expl'!$P$159="30j",'Hypotheses expl'!E159,'Hypotheses expl'!D159))</f>
        <v>0</v>
      </c>
      <c r="F114" s="390">
        <f>IF('Hypotheses expl'!$P$159="0j",'Hypotheses expl'!G159,IF('Hypotheses expl'!$P$159="30j",'Hypotheses expl'!F159,'Hypotheses expl'!E159))</f>
        <v>0</v>
      </c>
      <c r="G114" s="390">
        <f>IF('Hypotheses expl'!$P$159="0j",'Hypotheses expl'!H159,IF('Hypotheses expl'!$P$159="30j",'Hypotheses expl'!G159,'Hypotheses expl'!F159))</f>
        <v>0</v>
      </c>
      <c r="H114" s="390">
        <f>IF('Hypotheses expl'!$P$159="0j",'Hypotheses expl'!I159,IF('Hypotheses expl'!$P$159="30j",'Hypotheses expl'!H159,'Hypotheses expl'!G159))</f>
        <v>0</v>
      </c>
      <c r="I114" s="390">
        <f>IF('Hypotheses expl'!$P$159="0j",'Hypotheses expl'!J159,IF('Hypotheses expl'!$P$159="30j",'Hypotheses expl'!I159,'Hypotheses expl'!H159))</f>
        <v>0</v>
      </c>
      <c r="J114" s="390">
        <f>IF('Hypotheses expl'!$P$159="0j",'Hypotheses expl'!K159,IF('Hypotheses expl'!$P$159="30j",'Hypotheses expl'!J159,'Hypotheses expl'!I159))</f>
        <v>0</v>
      </c>
      <c r="K114" s="390">
        <f>IF('Hypotheses expl'!$P$159="0j",'Hypotheses expl'!L159,IF('Hypotheses expl'!$P$159="30j",'Hypotheses expl'!K159,'Hypotheses expl'!J159))</f>
        <v>0</v>
      </c>
      <c r="L114" s="390">
        <f>IF('Hypotheses expl'!$P$159="0j",'Hypotheses expl'!M159,IF('Hypotheses expl'!$P$159="30j",'Hypotheses expl'!L159,'Hypotheses expl'!K159))</f>
        <v>0</v>
      </c>
      <c r="M114" s="390">
        <f>IF('Hypotheses expl'!$P$159="0j",'Hypotheses expl'!N159,IF('Hypotheses expl'!$P$159="30j",'Hypotheses expl'!M159,'Hypotheses expl'!L159))</f>
        <v>0</v>
      </c>
    </row>
    <row r="115" hidden="1" outlineLevel="1">
      <c r="A115" s="393" t="str">
        <f>'Compte résultat prévi'!A122</f>
        <v xml:space="preserve">Autres charges exceptionnelles</v>
      </c>
      <c r="B115" s="390">
        <f>IF('Hypotheses expl'!$P$160="0j",'Hypotheses expl'!C160,IF('Hypotheses expl'!$P$160="30j",'Hypotheses expl'!B160,'Hypotheses expl'!A160))</f>
        <v>0</v>
      </c>
      <c r="C115" s="390">
        <f>IF('Hypotheses expl'!$P$160="0j",'Hypotheses expl'!D160,IF('Hypotheses expl'!$P$160="30j",'Hypotheses expl'!C160,'Hypotheses expl'!B160))</f>
        <v>0</v>
      </c>
      <c r="D115" s="390">
        <f>IF('Hypotheses expl'!$P$160="0j",'Hypotheses expl'!E160,IF('Hypotheses expl'!$P$160="30j",'Hypotheses expl'!D160,'Hypotheses expl'!C160))</f>
        <v>0</v>
      </c>
      <c r="E115" s="390">
        <f>IF('Hypotheses expl'!$P$160="0j",'Hypotheses expl'!F160,IF('Hypotheses expl'!$P$160="30j",'Hypotheses expl'!E160,'Hypotheses expl'!D160))</f>
        <v>0</v>
      </c>
      <c r="F115" s="390">
        <f>IF('Hypotheses expl'!$P$160="0j",'Hypotheses expl'!G160,IF('Hypotheses expl'!$P$160="30j",'Hypotheses expl'!F160,'Hypotheses expl'!E160))</f>
        <v>0</v>
      </c>
      <c r="G115" s="390">
        <f>IF('Hypotheses expl'!$P$160="0j",'Hypotheses expl'!H160,IF('Hypotheses expl'!$P$160="30j",'Hypotheses expl'!G160,'Hypotheses expl'!F160))</f>
        <v>0</v>
      </c>
      <c r="H115" s="390">
        <f>IF('Hypotheses expl'!$P$160="0j",'Hypotheses expl'!I160,IF('Hypotheses expl'!$P$160="30j",'Hypotheses expl'!H160,'Hypotheses expl'!G160))</f>
        <v>0</v>
      </c>
      <c r="I115" s="390">
        <f>IF('Hypotheses expl'!$P$160="0j",'Hypotheses expl'!J160,IF('Hypotheses expl'!$P$160="30j",'Hypotheses expl'!I160,'Hypotheses expl'!H160))</f>
        <v>0</v>
      </c>
      <c r="J115" s="390">
        <f>IF('Hypotheses expl'!$P$160="0j",'Hypotheses expl'!K160,IF('Hypotheses expl'!$P$160="30j",'Hypotheses expl'!J160,'Hypotheses expl'!I160))</f>
        <v>0</v>
      </c>
      <c r="K115" s="390">
        <f>IF('Hypotheses expl'!$P$160="0j",'Hypotheses expl'!L160,IF('Hypotheses expl'!$P$160="30j",'Hypotheses expl'!K160,'Hypotheses expl'!J160))</f>
        <v>0</v>
      </c>
      <c r="L115" s="390">
        <f>IF('Hypotheses expl'!$P$160="0j",'Hypotheses expl'!M160,IF('Hypotheses expl'!$P$160="30j",'Hypotheses expl'!L160,'Hypotheses expl'!K160))</f>
        <v>0</v>
      </c>
      <c r="M115" s="390">
        <f>IF('Hypotheses expl'!$P$160="0j",'Hypotheses expl'!N160,IF('Hypotheses expl'!$P$160="30j",'Hypotheses expl'!M160,'Hypotheses expl'!L160))</f>
        <v>0</v>
      </c>
    </row>
    <row r="116" s="36" customFormat="1" collapsed="1">
      <c r="B116" s="375"/>
      <c r="C116" s="375"/>
      <c r="D116" s="375"/>
      <c r="E116" s="375"/>
      <c r="F116" s="375"/>
      <c r="G116" s="375"/>
      <c r="H116" s="375"/>
      <c r="I116" s="381"/>
      <c r="J116" s="381"/>
      <c r="K116" s="381"/>
      <c r="L116" s="381"/>
      <c r="M116" s="381"/>
    </row>
    <row r="117" s="383" customFormat="1">
      <c r="A117" s="384" t="s">
        <v>367</v>
      </c>
      <c r="B117" s="385">
        <f>SUM(B118:B121)</f>
        <v>0</v>
      </c>
      <c r="C117" s="385">
        <f t="shared" ref="C117:H117" si="312">SUM(C118:C121)</f>
        <v>0</v>
      </c>
      <c r="D117" s="385">
        <f t="shared" si="312"/>
        <v>60000</v>
      </c>
      <c r="E117" s="385">
        <f t="shared" si="312"/>
        <v>0</v>
      </c>
      <c r="F117" s="385">
        <f t="shared" si="312"/>
        <v>0</v>
      </c>
      <c r="G117" s="385">
        <f t="shared" si="312"/>
        <v>0</v>
      </c>
      <c r="H117" s="385">
        <f t="shared" si="312"/>
        <v>0</v>
      </c>
      <c r="I117" s="385">
        <f>SUM(I118:I121)</f>
        <v>0</v>
      </c>
      <c r="J117" s="385">
        <f t="shared" ref="J117:M117" si="313">SUM(J118:J121)</f>
        <v>0</v>
      </c>
      <c r="K117" s="385">
        <f t="shared" si="313"/>
        <v>0</v>
      </c>
      <c r="L117" s="385">
        <f t="shared" si="313"/>
        <v>0</v>
      </c>
      <c r="M117" s="385">
        <f t="shared" si="313"/>
        <v>0</v>
      </c>
      <c r="N117" s="36"/>
      <c r="O117" s="36"/>
      <c r="P117" s="36"/>
      <c r="Q117" s="36"/>
      <c r="R117" s="36"/>
      <c r="S117" s="36"/>
      <c r="T117" s="36"/>
      <c r="U117" s="36"/>
      <c r="V117" s="36"/>
      <c r="W117" s="36"/>
      <c r="X117" s="36"/>
      <c r="Y117" s="36"/>
      <c r="Z117" s="36"/>
      <c r="AA117" s="36"/>
      <c r="AB117" s="36"/>
      <c r="AC117" s="36"/>
      <c r="AD117" s="36"/>
      <c r="AE117" s="36"/>
      <c r="AF117" s="36"/>
      <c r="AG117" s="36"/>
      <c r="AH117" s="36"/>
      <c r="AI117" s="36"/>
      <c r="AJ117" s="36"/>
      <c r="AK117" s="36"/>
      <c r="AL117" s="36"/>
      <c r="AM117" s="36"/>
      <c r="AN117" s="36"/>
    </row>
    <row r="118" s="397" customFormat="1">
      <c r="A118" s="398" t="s">
        <v>302</v>
      </c>
      <c r="B118" s="399">
        <f>'Hypotheses hors expl'!C10</f>
        <v>0</v>
      </c>
      <c r="C118" s="399">
        <f>'Hypotheses hors expl'!D10</f>
        <v>0</v>
      </c>
      <c r="D118" s="399">
        <f>'Hypotheses hors expl'!E10</f>
        <v>0</v>
      </c>
      <c r="E118" s="399">
        <f>'Hypotheses hors expl'!F10</f>
        <v>0</v>
      </c>
      <c r="F118" s="399">
        <f>'Hypotheses hors expl'!G10</f>
        <v>0</v>
      </c>
      <c r="G118" s="399">
        <f>'Hypotheses hors expl'!H10</f>
        <v>0</v>
      </c>
      <c r="H118" s="399">
        <f>'Hypotheses hors expl'!I10</f>
        <v>0</v>
      </c>
      <c r="I118" s="399">
        <f>'Hypotheses hors expl'!J10</f>
        <v>0</v>
      </c>
      <c r="J118" s="399">
        <f>'Hypotheses hors expl'!K10</f>
        <v>0</v>
      </c>
      <c r="K118" s="399">
        <f>'Hypotheses hors expl'!L10</f>
        <v>0</v>
      </c>
      <c r="L118" s="399">
        <f>'Hypotheses hors expl'!M10</f>
        <v>0</v>
      </c>
      <c r="M118" s="399">
        <f>'Hypotheses hors expl'!N10</f>
        <v>0</v>
      </c>
      <c r="N118" s="400"/>
      <c r="O118" s="400"/>
      <c r="P118" s="400"/>
      <c r="Q118" s="400"/>
      <c r="R118" s="400"/>
      <c r="S118" s="400"/>
      <c r="T118" s="400"/>
      <c r="U118" s="400"/>
      <c r="V118" s="400"/>
      <c r="W118" s="400"/>
      <c r="X118" s="400"/>
      <c r="Y118" s="400"/>
      <c r="Z118" s="400"/>
      <c r="AA118" s="400"/>
      <c r="AB118" s="400"/>
      <c r="AC118" s="400"/>
      <c r="AD118" s="400"/>
      <c r="AE118" s="400"/>
      <c r="AF118" s="400"/>
      <c r="AG118" s="400"/>
      <c r="AH118" s="400"/>
      <c r="AI118" s="400"/>
      <c r="AJ118" s="400"/>
      <c r="AK118" s="400"/>
      <c r="AL118" s="400"/>
      <c r="AM118" s="400"/>
      <c r="AN118" s="400"/>
    </row>
    <row r="119" s="397" customFormat="1">
      <c r="A119" s="398" t="s">
        <v>303</v>
      </c>
      <c r="B119" s="399">
        <f>'Hypotheses hors expl'!C11</f>
        <v>0</v>
      </c>
      <c r="C119" s="399">
        <f>'Hypotheses hors expl'!D11</f>
        <v>0</v>
      </c>
      <c r="D119" s="399">
        <f>'Hypotheses hors expl'!E11</f>
        <v>60000</v>
      </c>
      <c r="E119" s="399">
        <f>'Hypotheses hors expl'!F11</f>
        <v>0</v>
      </c>
      <c r="F119" s="399">
        <f>'Hypotheses hors expl'!G11</f>
        <v>0</v>
      </c>
      <c r="G119" s="399">
        <f>'Hypotheses hors expl'!H11</f>
        <v>0</v>
      </c>
      <c r="H119" s="399">
        <f>'Hypotheses hors expl'!I11</f>
        <v>0</v>
      </c>
      <c r="I119" s="399">
        <f>'Hypotheses hors expl'!J11</f>
        <v>0</v>
      </c>
      <c r="J119" s="399">
        <f>'Hypotheses hors expl'!K11</f>
        <v>0</v>
      </c>
      <c r="K119" s="399">
        <f>'Hypotheses hors expl'!L11</f>
        <v>0</v>
      </c>
      <c r="L119" s="399">
        <f>'Hypotheses hors expl'!M11</f>
        <v>0</v>
      </c>
      <c r="M119" s="399">
        <f>'Hypotheses hors expl'!N11</f>
        <v>0</v>
      </c>
      <c r="N119" s="400"/>
      <c r="O119" s="400"/>
      <c r="P119" s="400"/>
      <c r="Q119" s="400"/>
      <c r="R119" s="400"/>
      <c r="S119" s="400"/>
      <c r="T119" s="400"/>
      <c r="U119" s="400"/>
      <c r="V119" s="400"/>
      <c r="W119" s="400"/>
      <c r="X119" s="400"/>
      <c r="Y119" s="400"/>
      <c r="Z119" s="400"/>
      <c r="AA119" s="400"/>
      <c r="AB119" s="400"/>
      <c r="AC119" s="400"/>
      <c r="AD119" s="400"/>
      <c r="AE119" s="400"/>
      <c r="AF119" s="400"/>
      <c r="AG119" s="400"/>
      <c r="AH119" s="400"/>
      <c r="AI119" s="400"/>
      <c r="AJ119" s="400"/>
      <c r="AK119" s="400"/>
      <c r="AL119" s="400"/>
      <c r="AM119" s="400"/>
      <c r="AN119" s="400"/>
    </row>
    <row r="120" s="397" customFormat="1">
      <c r="A120" s="398" t="s">
        <v>304</v>
      </c>
      <c r="B120" s="399">
        <f>'Hypotheses hors expl'!C12</f>
        <v>0</v>
      </c>
      <c r="C120" s="399">
        <f>'Hypotheses hors expl'!D12</f>
        <v>0</v>
      </c>
      <c r="D120" s="399">
        <f>'Hypotheses hors expl'!E12</f>
        <v>0</v>
      </c>
      <c r="E120" s="399">
        <f>'Hypotheses hors expl'!F12</f>
        <v>0</v>
      </c>
      <c r="F120" s="399">
        <f>'Hypotheses hors expl'!G12</f>
        <v>0</v>
      </c>
      <c r="G120" s="399">
        <f>'Hypotheses hors expl'!H12</f>
        <v>0</v>
      </c>
      <c r="H120" s="399">
        <f>'Hypotheses hors expl'!I12</f>
        <v>0</v>
      </c>
      <c r="I120" s="399">
        <f>'Hypotheses hors expl'!J12</f>
        <v>0</v>
      </c>
      <c r="J120" s="399">
        <f>'Hypotheses hors expl'!K12</f>
        <v>0</v>
      </c>
      <c r="K120" s="399">
        <f>'Hypotheses hors expl'!L12</f>
        <v>0</v>
      </c>
      <c r="L120" s="399">
        <f>'Hypotheses hors expl'!M12</f>
        <v>0</v>
      </c>
      <c r="M120" s="399">
        <f>'Hypotheses hors expl'!N12</f>
        <v>0</v>
      </c>
      <c r="N120" s="400"/>
      <c r="O120" s="400"/>
      <c r="P120" s="400"/>
      <c r="Q120" s="400"/>
      <c r="R120" s="400"/>
      <c r="S120" s="400"/>
      <c r="T120" s="400"/>
      <c r="U120" s="400"/>
      <c r="V120" s="400"/>
      <c r="W120" s="400"/>
      <c r="X120" s="400"/>
      <c r="Y120" s="400"/>
      <c r="Z120" s="400"/>
      <c r="AA120" s="400"/>
      <c r="AB120" s="400"/>
      <c r="AC120" s="400"/>
      <c r="AD120" s="400"/>
      <c r="AE120" s="400"/>
      <c r="AF120" s="400"/>
      <c r="AG120" s="400"/>
      <c r="AH120" s="400"/>
      <c r="AI120" s="400"/>
      <c r="AJ120" s="400"/>
      <c r="AK120" s="400"/>
      <c r="AL120" s="400"/>
      <c r="AM120" s="400"/>
      <c r="AN120" s="400"/>
    </row>
    <row r="121" s="397" customFormat="1">
      <c r="A121" s="398" t="s">
        <v>300</v>
      </c>
      <c r="B121" s="399">
        <f>'Hypotheses hors expl'!C13</f>
        <v>0</v>
      </c>
      <c r="C121" s="399">
        <f>'Hypotheses hors expl'!D13</f>
        <v>0</v>
      </c>
      <c r="D121" s="399">
        <f>'Hypotheses hors expl'!E13</f>
        <v>0</v>
      </c>
      <c r="E121" s="399">
        <f>'Hypotheses hors expl'!F13</f>
        <v>0</v>
      </c>
      <c r="F121" s="399">
        <f>'Hypotheses hors expl'!G13</f>
        <v>0</v>
      </c>
      <c r="G121" s="399">
        <f>'Hypotheses hors expl'!H13</f>
        <v>0</v>
      </c>
      <c r="H121" s="399">
        <f>'Hypotheses hors expl'!I13</f>
        <v>0</v>
      </c>
      <c r="I121" s="399">
        <f>'Hypotheses hors expl'!J13</f>
        <v>0</v>
      </c>
      <c r="J121" s="399">
        <f>'Hypotheses hors expl'!K13</f>
        <v>0</v>
      </c>
      <c r="K121" s="399">
        <f>'Hypotheses hors expl'!L13</f>
        <v>0</v>
      </c>
      <c r="L121" s="399">
        <f>'Hypotheses hors expl'!M13</f>
        <v>0</v>
      </c>
      <c r="M121" s="399">
        <f>'Hypotheses hors expl'!N13</f>
        <v>0</v>
      </c>
      <c r="N121" s="400"/>
      <c r="O121" s="400"/>
      <c r="P121" s="400"/>
      <c r="Q121" s="400"/>
      <c r="R121" s="400"/>
      <c r="S121" s="400"/>
      <c r="T121" s="400"/>
      <c r="U121" s="400"/>
      <c r="V121" s="400"/>
      <c r="W121" s="400"/>
      <c r="X121" s="400"/>
      <c r="Y121" s="400"/>
      <c r="Z121" s="400"/>
      <c r="AA121" s="400"/>
      <c r="AB121" s="400"/>
      <c r="AC121" s="400"/>
      <c r="AD121" s="400"/>
      <c r="AE121" s="400"/>
      <c r="AF121" s="400"/>
      <c r="AG121" s="400"/>
      <c r="AH121" s="400"/>
      <c r="AI121" s="400"/>
      <c r="AJ121" s="400"/>
      <c r="AK121" s="400"/>
      <c r="AL121" s="400"/>
      <c r="AM121" s="400"/>
      <c r="AN121" s="400"/>
    </row>
    <row r="122" s="36" customFormat="1">
      <c r="B122" s="375"/>
      <c r="C122" s="375"/>
      <c r="D122" s="375"/>
      <c r="E122" s="375"/>
      <c r="F122" s="375"/>
      <c r="G122" s="375"/>
      <c r="H122" s="375"/>
      <c r="I122" s="381"/>
      <c r="J122" s="381"/>
      <c r="K122" s="381"/>
      <c r="L122" s="381"/>
      <c r="M122" s="381"/>
    </row>
    <row r="123" s="36" customFormat="1">
      <c r="B123" s="375"/>
      <c r="C123" s="375"/>
      <c r="D123" s="375"/>
      <c r="E123" s="375"/>
      <c r="F123" s="375"/>
      <c r="G123" s="375"/>
      <c r="H123" s="375"/>
      <c r="I123" s="381"/>
      <c r="J123" s="381"/>
      <c r="K123" s="381"/>
      <c r="L123" s="381"/>
      <c r="M123" s="381"/>
    </row>
    <row r="124" s="383" customFormat="1">
      <c r="A124" s="384" t="s">
        <v>368</v>
      </c>
      <c r="B124" s="364">
        <f t="shared" ref="B124:M124" si="314">SUM(B125:B131)</f>
        <v>86683.489999999991</v>
      </c>
      <c r="C124" s="364">
        <f t="shared" si="314"/>
        <v>11127.25</v>
      </c>
      <c r="D124" s="364">
        <f t="shared" si="314"/>
        <v>0</v>
      </c>
      <c r="E124" s="364">
        <f t="shared" si="314"/>
        <v>0</v>
      </c>
      <c r="F124" s="364">
        <f t="shared" si="314"/>
        <v>0</v>
      </c>
      <c r="G124" s="364">
        <f t="shared" si="314"/>
        <v>8300</v>
      </c>
      <c r="H124" s="364">
        <f t="shared" si="314"/>
        <v>0</v>
      </c>
      <c r="I124" s="364">
        <f t="shared" si="314"/>
        <v>0</v>
      </c>
      <c r="J124" s="364">
        <f t="shared" si="314"/>
        <v>0</v>
      </c>
      <c r="K124" s="364">
        <f t="shared" si="314"/>
        <v>11800</v>
      </c>
      <c r="L124" s="364">
        <f t="shared" si="314"/>
        <v>0</v>
      </c>
      <c r="M124" s="364">
        <f t="shared" si="314"/>
        <v>159701</v>
      </c>
      <c r="N124" s="36"/>
      <c r="O124" s="36"/>
      <c r="P124" s="36"/>
      <c r="Q124" s="36"/>
      <c r="R124" s="36"/>
      <c r="S124" s="36"/>
      <c r="T124" s="36"/>
      <c r="U124" s="36"/>
      <c r="V124" s="36"/>
      <c r="W124" s="36"/>
      <c r="X124" s="36"/>
      <c r="Y124" s="36"/>
      <c r="Z124" s="36"/>
      <c r="AA124" s="36"/>
      <c r="AB124" s="36"/>
      <c r="AC124" s="36"/>
      <c r="AD124" s="36"/>
      <c r="AE124" s="36"/>
      <c r="AF124" s="36"/>
      <c r="AG124" s="36"/>
      <c r="AH124" s="36"/>
      <c r="AI124" s="36"/>
      <c r="AJ124" s="36"/>
      <c r="AK124" s="36"/>
      <c r="AL124" s="36"/>
      <c r="AM124" s="36"/>
      <c r="AN124" s="36"/>
    </row>
    <row r="125" s="401" customFormat="1" ht="13.800000000000001" outlineLevel="1">
      <c r="A125" s="402" t="s">
        <v>374</v>
      </c>
      <c r="B125" s="403"/>
      <c r="C125" s="403"/>
      <c r="D125" s="403"/>
      <c r="E125" s="403"/>
      <c r="F125" s="403"/>
      <c r="G125" s="403"/>
      <c r="H125" s="403"/>
      <c r="I125" s="403"/>
      <c r="J125" s="403"/>
      <c r="K125" s="403">
        <v>0</v>
      </c>
      <c r="L125" s="403"/>
      <c r="M125" s="403">
        <v>71433</v>
      </c>
      <c r="N125" s="404"/>
      <c r="O125" s="404"/>
      <c r="P125" s="404"/>
      <c r="Q125" s="404"/>
      <c r="R125" s="404"/>
      <c r="S125" s="404"/>
      <c r="T125" s="404"/>
      <c r="U125" s="404"/>
      <c r="V125" s="404"/>
      <c r="W125" s="404"/>
      <c r="X125" s="404"/>
      <c r="Y125" s="404"/>
      <c r="Z125" s="404"/>
      <c r="AA125" s="404"/>
      <c r="AB125" s="404"/>
      <c r="AC125" s="404"/>
      <c r="AD125" s="404"/>
      <c r="AE125" s="404"/>
      <c r="AF125" s="404"/>
      <c r="AG125" s="404"/>
      <c r="AH125" s="404"/>
      <c r="AI125" s="404"/>
      <c r="AJ125" s="404"/>
      <c r="AK125" s="404"/>
      <c r="AL125" s="404"/>
      <c r="AM125" s="404"/>
      <c r="AN125" s="404"/>
    </row>
    <row r="126" s="401" customFormat="1" ht="13.800000000000001" outlineLevel="1">
      <c r="A126" s="402" t="s">
        <v>375</v>
      </c>
      <c r="B126" s="403"/>
      <c r="C126" s="403"/>
      <c r="D126" s="403"/>
      <c r="E126" s="403"/>
      <c r="F126" s="403"/>
      <c r="G126" s="403"/>
      <c r="H126" s="403"/>
      <c r="I126" s="403"/>
      <c r="J126" s="403"/>
      <c r="K126" s="403"/>
      <c r="L126" s="403"/>
      <c r="M126" s="403"/>
      <c r="N126" s="404"/>
      <c r="O126" s="404"/>
      <c r="P126" s="404"/>
      <c r="Q126" s="404"/>
      <c r="R126" s="404"/>
      <c r="S126" s="404"/>
      <c r="T126" s="404"/>
      <c r="U126" s="404"/>
      <c r="V126" s="404"/>
      <c r="W126" s="404"/>
      <c r="X126" s="404"/>
      <c r="Y126" s="404"/>
      <c r="Z126" s="404"/>
      <c r="AA126" s="404"/>
      <c r="AB126" s="404"/>
      <c r="AC126" s="404"/>
      <c r="AD126" s="404"/>
      <c r="AE126" s="404"/>
      <c r="AF126" s="404"/>
      <c r="AG126" s="404"/>
      <c r="AH126" s="404"/>
      <c r="AI126" s="404"/>
      <c r="AJ126" s="404"/>
      <c r="AK126" s="404"/>
      <c r="AL126" s="404"/>
      <c r="AM126" s="404"/>
      <c r="AN126" s="404"/>
    </row>
    <row r="127" s="401" customFormat="1" ht="13.800000000000001" outlineLevel="1">
      <c r="A127" s="402" t="s">
        <v>376</v>
      </c>
      <c r="B127" s="403">
        <v>58625</v>
      </c>
      <c r="C127" s="403"/>
      <c r="D127" s="403"/>
      <c r="E127" s="403"/>
      <c r="F127" s="403"/>
      <c r="G127" s="403"/>
      <c r="H127" s="403"/>
      <c r="I127" s="403"/>
      <c r="J127" s="403"/>
      <c r="K127" s="403"/>
      <c r="L127" s="403"/>
      <c r="M127" s="403"/>
      <c r="N127" s="404"/>
      <c r="O127" s="404"/>
      <c r="P127" s="404"/>
      <c r="Q127" s="404"/>
      <c r="R127" s="404"/>
      <c r="S127" s="404"/>
      <c r="T127" s="404"/>
      <c r="U127" s="404"/>
      <c r="V127" s="404"/>
      <c r="W127" s="404"/>
      <c r="X127" s="404"/>
      <c r="Y127" s="404"/>
      <c r="Z127" s="404"/>
      <c r="AA127" s="404"/>
      <c r="AB127" s="404"/>
      <c r="AC127" s="404"/>
      <c r="AD127" s="404"/>
      <c r="AE127" s="404"/>
      <c r="AF127" s="404"/>
      <c r="AG127" s="404"/>
      <c r="AH127" s="404"/>
      <c r="AI127" s="404"/>
      <c r="AJ127" s="404"/>
      <c r="AK127" s="404"/>
      <c r="AL127" s="404"/>
      <c r="AM127" s="404"/>
      <c r="AN127" s="404"/>
    </row>
    <row r="128" s="401" customFormat="1" ht="13.800000000000001" outlineLevel="1">
      <c r="A128" s="402" t="s">
        <v>185</v>
      </c>
      <c r="B128" s="403">
        <f>23429-5481.26</f>
        <v>17947.739999999998</v>
      </c>
      <c r="C128" s="403"/>
      <c r="D128" s="403"/>
      <c r="E128" s="403"/>
      <c r="F128" s="403"/>
      <c r="G128" s="403"/>
      <c r="H128" s="403"/>
      <c r="I128" s="403"/>
      <c r="J128" s="403"/>
      <c r="K128" s="403"/>
      <c r="L128" s="403"/>
      <c r="M128" s="403"/>
      <c r="N128" s="404"/>
      <c r="O128" s="404"/>
      <c r="P128" s="404"/>
      <c r="Q128" s="404"/>
      <c r="R128" s="404"/>
      <c r="S128" s="404"/>
      <c r="T128" s="404"/>
      <c r="U128" s="404"/>
      <c r="V128" s="404"/>
      <c r="W128" s="404"/>
      <c r="X128" s="404"/>
      <c r="Y128" s="404"/>
      <c r="Z128" s="404"/>
      <c r="AA128" s="404"/>
      <c r="AB128" s="404"/>
      <c r="AC128" s="404"/>
      <c r="AD128" s="404"/>
      <c r="AE128" s="404"/>
      <c r="AF128" s="404"/>
      <c r="AG128" s="404"/>
      <c r="AH128" s="404"/>
      <c r="AI128" s="404"/>
      <c r="AJ128" s="404"/>
      <c r="AK128" s="404"/>
      <c r="AL128" s="404"/>
      <c r="AM128" s="404"/>
      <c r="AN128" s="404"/>
    </row>
    <row r="129" s="401" customFormat="1" ht="13.800000000000001" outlineLevel="1">
      <c r="A129" s="402" t="s">
        <v>377</v>
      </c>
      <c r="B129" s="403"/>
      <c r="C129" s="403"/>
      <c r="D129" s="403"/>
      <c r="E129" s="403"/>
      <c r="F129" s="403"/>
      <c r="G129" s="403"/>
      <c r="H129" s="403"/>
      <c r="I129" s="403"/>
      <c r="J129" s="403"/>
      <c r="K129" s="403"/>
      <c r="L129" s="403"/>
      <c r="M129" s="403"/>
      <c r="N129" s="404"/>
      <c r="O129" s="404"/>
      <c r="P129" s="404"/>
      <c r="Q129" s="404"/>
      <c r="R129" s="404"/>
      <c r="S129" s="404"/>
      <c r="T129" s="404"/>
      <c r="U129" s="404"/>
      <c r="V129" s="404"/>
      <c r="W129" s="404"/>
      <c r="X129" s="404"/>
      <c r="Y129" s="404"/>
      <c r="Z129" s="404"/>
      <c r="AA129" s="404"/>
      <c r="AB129" s="404"/>
      <c r="AC129" s="404"/>
      <c r="AD129" s="404"/>
      <c r="AE129" s="404"/>
      <c r="AF129" s="404"/>
      <c r="AG129" s="404"/>
      <c r="AH129" s="404"/>
      <c r="AI129" s="404"/>
      <c r="AJ129" s="404"/>
      <c r="AK129" s="404"/>
      <c r="AL129" s="404"/>
      <c r="AM129" s="404"/>
      <c r="AN129" s="404"/>
    </row>
    <row r="130" s="401" customFormat="1" ht="13.800000000000001" outlineLevel="1">
      <c r="A130" s="402" t="s">
        <v>378</v>
      </c>
      <c r="B130" s="403"/>
      <c r="C130" s="403">
        <v>11127.25</v>
      </c>
      <c r="D130" s="403"/>
      <c r="E130" s="403"/>
      <c r="F130" s="403"/>
      <c r="G130" s="403">
        <v>0</v>
      </c>
      <c r="H130" s="403"/>
      <c r="I130" s="403"/>
      <c r="J130" s="403"/>
      <c r="K130" s="403"/>
      <c r="L130" s="403"/>
      <c r="M130" s="403">
        <v>11127</v>
      </c>
      <c r="N130" s="404"/>
      <c r="O130" s="404"/>
      <c r="P130" s="404"/>
      <c r="Q130" s="404"/>
      <c r="R130" s="404"/>
      <c r="S130" s="404"/>
      <c r="T130" s="404"/>
      <c r="U130" s="404"/>
      <c r="V130" s="404"/>
      <c r="W130" s="404"/>
      <c r="X130" s="404"/>
      <c r="Y130" s="404"/>
      <c r="Z130" s="404"/>
      <c r="AA130" s="404"/>
      <c r="AB130" s="404"/>
      <c r="AC130" s="404"/>
      <c r="AD130" s="404"/>
      <c r="AE130" s="404"/>
      <c r="AF130" s="404"/>
      <c r="AG130" s="404"/>
      <c r="AH130" s="404"/>
      <c r="AI130" s="404"/>
      <c r="AJ130" s="404"/>
      <c r="AK130" s="404"/>
      <c r="AL130" s="404"/>
      <c r="AM130" s="404"/>
      <c r="AN130" s="404"/>
    </row>
    <row r="131" s="401" customFormat="1" ht="13.800000000000001" outlineLevel="1">
      <c r="A131" s="402" t="s">
        <v>379</v>
      </c>
      <c r="B131" s="403">
        <f>31000-4800-4962-C130</f>
        <v>10110.75</v>
      </c>
      <c r="C131" s="403"/>
      <c r="D131" s="403"/>
      <c r="E131" s="403"/>
      <c r="F131" s="403"/>
      <c r="G131" s="403">
        <f>5800+2500</f>
        <v>8300</v>
      </c>
      <c r="H131" s="403"/>
      <c r="I131" s="403"/>
      <c r="J131" s="403"/>
      <c r="K131" s="403">
        <v>11800</v>
      </c>
      <c r="L131" s="403"/>
      <c r="M131" s="403">
        <v>77141</v>
      </c>
      <c r="N131" s="404"/>
      <c r="O131" s="404"/>
      <c r="P131" s="404"/>
      <c r="Q131" s="404"/>
      <c r="R131" s="404"/>
      <c r="S131" s="404"/>
      <c r="T131" s="404"/>
      <c r="U131" s="404"/>
      <c r="V131" s="404"/>
      <c r="W131" s="404"/>
      <c r="X131" s="404"/>
      <c r="Y131" s="404"/>
      <c r="Z131" s="404"/>
      <c r="AA131" s="404"/>
      <c r="AB131" s="404"/>
      <c r="AC131" s="404"/>
      <c r="AD131" s="404"/>
      <c r="AE131" s="404"/>
      <c r="AF131" s="404"/>
      <c r="AG131" s="404"/>
      <c r="AH131" s="404"/>
      <c r="AI131" s="404"/>
      <c r="AJ131" s="404"/>
      <c r="AK131" s="404"/>
      <c r="AL131" s="404"/>
      <c r="AM131" s="404"/>
      <c r="AN131" s="404"/>
    </row>
    <row r="132" s="383" customFormat="1">
      <c r="A132" s="384" t="s">
        <v>369</v>
      </c>
      <c r="B132" s="364">
        <f>SUM(B133:B138)</f>
        <v>52259.917999999998</v>
      </c>
      <c r="C132" s="364">
        <f>SUM(C133:C138)</f>
        <v>172822.82199999999</v>
      </c>
      <c r="D132" s="364">
        <f t="shared" ref="D132:M132" si="315">SUM(D133:D138)</f>
        <v>35000</v>
      </c>
      <c r="E132" s="364">
        <f t="shared" si="315"/>
        <v>35000</v>
      </c>
      <c r="F132" s="364">
        <f>SUM(F133:F138)</f>
        <v>35000</v>
      </c>
      <c r="G132" s="364">
        <f t="shared" si="315"/>
        <v>0</v>
      </c>
      <c r="H132" s="364">
        <f t="shared" si="315"/>
        <v>0</v>
      </c>
      <c r="I132" s="364">
        <f t="shared" si="315"/>
        <v>0</v>
      </c>
      <c r="J132" s="364">
        <f t="shared" si="315"/>
        <v>0</v>
      </c>
      <c r="K132" s="364">
        <f t="shared" si="315"/>
        <v>0</v>
      </c>
      <c r="L132" s="364">
        <f t="shared" si="315"/>
        <v>0</v>
      </c>
      <c r="M132" s="364">
        <f t="shared" si="315"/>
        <v>0</v>
      </c>
      <c r="N132" s="36"/>
      <c r="O132" s="36"/>
      <c r="P132" s="36"/>
      <c r="Q132" s="36"/>
      <c r="R132" s="36"/>
      <c r="S132" s="36"/>
      <c r="T132" s="36"/>
      <c r="U132" s="36"/>
      <c r="V132" s="36"/>
      <c r="W132" s="36"/>
      <c r="X132" s="36"/>
      <c r="Y132" s="36"/>
      <c r="Z132" s="36"/>
      <c r="AA132" s="36"/>
      <c r="AB132" s="36"/>
      <c r="AC132" s="36"/>
      <c r="AD132" s="36"/>
      <c r="AE132" s="36"/>
      <c r="AF132" s="36"/>
      <c r="AG132" s="36"/>
      <c r="AH132" s="36"/>
      <c r="AI132" s="36"/>
      <c r="AJ132" s="36"/>
      <c r="AK132" s="36"/>
      <c r="AL132" s="36"/>
      <c r="AM132" s="36"/>
      <c r="AN132" s="36"/>
    </row>
    <row r="133" s="401" customFormat="1" ht="13.800000000000001" outlineLevel="1">
      <c r="A133" s="402" t="s">
        <v>380</v>
      </c>
      <c r="B133" s="403"/>
      <c r="C133" s="403"/>
      <c r="D133" s="403">
        <f>105000/3</f>
        <v>35000</v>
      </c>
      <c r="E133" s="403">
        <f t="shared" ref="E133:F133" si="316">105000/3</f>
        <v>35000</v>
      </c>
      <c r="F133" s="403">
        <f t="shared" si="316"/>
        <v>35000</v>
      </c>
      <c r="G133" s="403"/>
      <c r="H133" s="403"/>
      <c r="I133" s="403"/>
      <c r="J133" s="403"/>
      <c r="K133" s="403"/>
      <c r="L133" s="403"/>
      <c r="M133" s="403"/>
      <c r="N133" s="404"/>
      <c r="O133" s="404"/>
      <c r="P133" s="404"/>
      <c r="Q133" s="404"/>
      <c r="R133" s="404"/>
      <c r="S133" s="404"/>
      <c r="T133" s="404"/>
      <c r="U133" s="404"/>
      <c r="V133" s="404"/>
      <c r="W133" s="404"/>
      <c r="X133" s="404"/>
      <c r="Y133" s="404"/>
      <c r="Z133" s="404"/>
      <c r="AA133" s="404"/>
      <c r="AB133" s="404"/>
      <c r="AC133" s="404"/>
      <c r="AD133" s="404"/>
      <c r="AE133" s="404"/>
      <c r="AF133" s="404"/>
      <c r="AG133" s="404"/>
      <c r="AH133" s="404"/>
      <c r="AI133" s="404"/>
      <c r="AJ133" s="404"/>
      <c r="AK133" s="404"/>
      <c r="AL133" s="404"/>
      <c r="AM133" s="404"/>
      <c r="AN133" s="404"/>
    </row>
    <row r="134" s="401" customFormat="1" ht="13.800000000000001" outlineLevel="1">
      <c r="A134" s="402" t="s">
        <v>381</v>
      </c>
      <c r="B134" s="403">
        <v>9000</v>
      </c>
      <c r="C134" s="403"/>
      <c r="D134" s="403"/>
      <c r="E134" s="403"/>
      <c r="F134" s="403"/>
      <c r="G134" s="403"/>
      <c r="H134" s="403"/>
      <c r="I134" s="403"/>
      <c r="J134" s="403"/>
      <c r="K134" s="403"/>
      <c r="L134" s="403"/>
      <c r="M134" s="403"/>
      <c r="N134" s="404"/>
      <c r="O134" s="404"/>
      <c r="P134" s="404"/>
      <c r="Q134" s="404"/>
      <c r="R134" s="404"/>
      <c r="S134" s="404"/>
      <c r="T134" s="404"/>
      <c r="U134" s="404"/>
      <c r="V134" s="404"/>
      <c r="W134" s="404"/>
      <c r="X134" s="404"/>
      <c r="Y134" s="404"/>
      <c r="Z134" s="404"/>
      <c r="AA134" s="404"/>
      <c r="AB134" s="404"/>
      <c r="AC134" s="404"/>
      <c r="AD134" s="404"/>
      <c r="AE134" s="404"/>
      <c r="AF134" s="404"/>
      <c r="AG134" s="404"/>
      <c r="AH134" s="404"/>
      <c r="AI134" s="404"/>
      <c r="AJ134" s="404"/>
      <c r="AK134" s="404"/>
      <c r="AL134" s="404"/>
      <c r="AM134" s="404"/>
      <c r="AN134" s="404"/>
    </row>
    <row r="135" s="401" customFormat="1" ht="13.800000000000001" outlineLevel="1">
      <c r="A135" s="402" t="s">
        <v>382</v>
      </c>
      <c r="B135" s="403">
        <f>(298+736.5+161+580+825+2261+2085+1193.24+449+482+870-312+960+473+285+192+595+416+2111+696+387+199+984+670+500+2834+1769+140+8863+2040+1732+251+310+1250+840+6438+1499)*0.7</f>
        <v>32243.917999999998</v>
      </c>
      <c r="C135" s="403">
        <f>78+268+1100+312+950+2767+(298+736.5+161+580+825+2261+2085+1193.24+449+482+870-312+960+473+285+192+595+416+2111+696+387+199+984+670+500+2834+1769+140+8863+2040+1732+251+310+1250+840+6438+1499)*0.3</f>
        <v>19293.822</v>
      </c>
      <c r="D135" s="403"/>
      <c r="E135" s="403"/>
      <c r="F135" s="403"/>
      <c r="G135" s="403"/>
      <c r="H135" s="403"/>
      <c r="I135" s="403"/>
      <c r="J135" s="403"/>
      <c r="K135" s="403"/>
      <c r="L135" s="403"/>
      <c r="M135" s="403"/>
      <c r="N135" s="404"/>
      <c r="O135" s="404"/>
      <c r="P135" s="404"/>
      <c r="Q135" s="404"/>
      <c r="R135" s="404"/>
      <c r="S135" s="404"/>
      <c r="T135" s="404"/>
      <c r="U135" s="404"/>
      <c r="V135" s="404"/>
      <c r="W135" s="404"/>
      <c r="X135" s="404"/>
      <c r="Y135" s="404"/>
      <c r="Z135" s="404"/>
      <c r="AA135" s="404"/>
      <c r="AB135" s="404"/>
      <c r="AC135" s="404"/>
      <c r="AD135" s="404"/>
      <c r="AE135" s="404"/>
      <c r="AF135" s="404"/>
      <c r="AG135" s="404"/>
      <c r="AH135" s="404"/>
      <c r="AI135" s="404"/>
      <c r="AJ135" s="404"/>
      <c r="AK135" s="404"/>
      <c r="AL135" s="404"/>
      <c r="AM135" s="404"/>
      <c r="AN135" s="404"/>
    </row>
    <row r="136" s="401" customFormat="1" ht="13.800000000000001" outlineLevel="1">
      <c r="A136" s="402" t="s">
        <v>383</v>
      </c>
      <c r="B136" s="403"/>
      <c r="C136" s="403">
        <f>55087+49221+49221</f>
        <v>153529</v>
      </c>
      <c r="D136" s="403"/>
      <c r="E136" s="403"/>
      <c r="F136" s="403"/>
      <c r="G136" s="403"/>
      <c r="H136" s="403"/>
      <c r="I136" s="403"/>
      <c r="J136" s="403"/>
      <c r="K136" s="403"/>
      <c r="L136" s="403"/>
      <c r="M136" s="403"/>
      <c r="N136" s="404"/>
      <c r="O136" s="404"/>
      <c r="P136" s="404"/>
      <c r="Q136" s="404"/>
      <c r="R136" s="404"/>
      <c r="S136" s="404"/>
      <c r="T136" s="404"/>
      <c r="U136" s="404"/>
      <c r="V136" s="404"/>
      <c r="W136" s="404"/>
      <c r="X136" s="404"/>
      <c r="Y136" s="404"/>
      <c r="Z136" s="404"/>
      <c r="AA136" s="404"/>
      <c r="AB136" s="404"/>
      <c r="AC136" s="404"/>
      <c r="AD136" s="404"/>
      <c r="AE136" s="404"/>
      <c r="AF136" s="404"/>
      <c r="AG136" s="404"/>
      <c r="AH136" s="404"/>
      <c r="AI136" s="404"/>
      <c r="AJ136" s="404"/>
      <c r="AK136" s="404"/>
      <c r="AL136" s="404"/>
      <c r="AM136" s="404"/>
      <c r="AN136" s="404"/>
    </row>
    <row r="137" s="401" customFormat="1" ht="13.800000000000001" outlineLevel="1">
      <c r="A137" s="402" t="s">
        <v>241</v>
      </c>
      <c r="B137" s="403">
        <v>9516</v>
      </c>
      <c r="C137" s="403"/>
      <c r="D137" s="403"/>
      <c r="E137" s="403"/>
      <c r="F137" s="403"/>
      <c r="G137" s="403"/>
      <c r="H137" s="403"/>
      <c r="I137" s="403"/>
      <c r="J137" s="403"/>
      <c r="K137" s="403"/>
      <c r="L137" s="403"/>
      <c r="M137" s="403"/>
      <c r="N137" s="404"/>
      <c r="O137" s="404"/>
      <c r="P137" s="404"/>
      <c r="Q137" s="404"/>
      <c r="R137" s="404"/>
      <c r="S137" s="404"/>
      <c r="T137" s="404"/>
      <c r="U137" s="404"/>
      <c r="V137" s="404"/>
      <c r="W137" s="404"/>
      <c r="X137" s="404"/>
      <c r="Y137" s="404"/>
      <c r="Z137" s="404"/>
      <c r="AA137" s="404"/>
      <c r="AB137" s="404"/>
      <c r="AC137" s="404"/>
      <c r="AD137" s="404"/>
      <c r="AE137" s="404"/>
      <c r="AF137" s="404"/>
      <c r="AG137" s="404"/>
      <c r="AH137" s="404"/>
      <c r="AI137" s="404"/>
      <c r="AJ137" s="404"/>
      <c r="AK137" s="404"/>
      <c r="AL137" s="404"/>
      <c r="AM137" s="404"/>
      <c r="AN137" s="404"/>
    </row>
    <row r="138" s="401" customFormat="1" ht="13.800000000000001" outlineLevel="1">
      <c r="A138" s="402" t="s">
        <v>384</v>
      </c>
      <c r="B138" s="403">
        <f>1500</f>
        <v>1500</v>
      </c>
      <c r="C138" s="403"/>
      <c r="D138" s="403"/>
      <c r="E138" s="403"/>
      <c r="F138" s="403"/>
      <c r="G138" s="403"/>
      <c r="H138" s="403"/>
      <c r="I138" s="403"/>
      <c r="J138" s="403"/>
      <c r="K138" s="403"/>
      <c r="L138" s="403"/>
      <c r="M138" s="403"/>
      <c r="N138" s="404"/>
      <c r="O138" s="404"/>
      <c r="P138" s="404"/>
      <c r="Q138" s="404"/>
      <c r="R138" s="404"/>
      <c r="S138" s="404"/>
      <c r="T138" s="404"/>
      <c r="U138" s="404"/>
      <c r="V138" s="404"/>
      <c r="W138" s="404"/>
      <c r="X138" s="404"/>
      <c r="Y138" s="404"/>
      <c r="Z138" s="404"/>
      <c r="AA138" s="404"/>
      <c r="AB138" s="404"/>
      <c r="AC138" s="404"/>
      <c r="AD138" s="404"/>
      <c r="AE138" s="404"/>
      <c r="AF138" s="404"/>
      <c r="AG138" s="404"/>
      <c r="AH138" s="404"/>
      <c r="AI138" s="404"/>
      <c r="AJ138" s="404"/>
      <c r="AK138" s="404"/>
      <c r="AL138" s="404"/>
      <c r="AM138" s="404"/>
      <c r="AN138" s="404"/>
    </row>
    <row r="139" s="36" customFormat="1" ht="15">
      <c r="B139" s="375"/>
      <c r="C139" s="375"/>
      <c r="D139" s="375"/>
      <c r="E139" s="375"/>
      <c r="F139" s="375"/>
      <c r="G139" s="375"/>
      <c r="H139" s="375"/>
      <c r="I139" s="381"/>
      <c r="J139" s="381"/>
      <c r="K139" s="381"/>
      <c r="L139" s="381"/>
      <c r="M139" s="381"/>
    </row>
    <row r="140" ht="15">
      <c r="A140" s="405" t="s">
        <v>370</v>
      </c>
      <c r="B140" s="406">
        <f t="shared" ref="B140:M140" si="317">+B6+B44-B49-B117+B124-B132</f>
        <v>-123992.40299999999</v>
      </c>
      <c r="C140" s="406">
        <f t="shared" si="317"/>
        <v>1104317.417089418</v>
      </c>
      <c r="D140" s="406">
        <f t="shared" si="317"/>
        <v>-235531.64866410298</v>
      </c>
      <c r="E140" s="406">
        <f t="shared" si="317"/>
        <v>-239026.90008543633</v>
      </c>
      <c r="F140" s="406">
        <f t="shared" si="317"/>
        <v>-233423.84251543632</v>
      </c>
      <c r="G140" s="406">
        <f t="shared" si="317"/>
        <v>-57362.990179436325</v>
      </c>
      <c r="H140" s="406">
        <f t="shared" si="317"/>
        <v>-118039.41400943632</v>
      </c>
      <c r="I140" s="406">
        <f t="shared" si="317"/>
        <v>-118084.27277253327</v>
      </c>
      <c r="J140" s="406">
        <f t="shared" si="317"/>
        <v>-109383.72615053327</v>
      </c>
      <c r="K140" s="406">
        <f t="shared" si="317"/>
        <v>-17152.226790533256</v>
      </c>
      <c r="L140" s="406">
        <f t="shared" si="317"/>
        <v>-97368.88692253326</v>
      </c>
      <c r="M140" s="406">
        <f t="shared" si="317"/>
        <v>-65990.109950533253</v>
      </c>
    </row>
    <row r="141" s="36" customFormat="1" ht="15">
      <c r="B141" s="375"/>
      <c r="C141" s="375"/>
      <c r="D141" s="375"/>
      <c r="E141" s="375"/>
      <c r="F141" s="375"/>
      <c r="G141" s="375"/>
      <c r="H141" s="375"/>
      <c r="I141" s="381"/>
      <c r="J141" s="381"/>
      <c r="K141" s="381"/>
      <c r="L141" s="381"/>
      <c r="M141" s="381"/>
    </row>
    <row r="142" ht="15">
      <c r="A142" s="405" t="s">
        <v>385</v>
      </c>
      <c r="B142" s="406">
        <v>200000</v>
      </c>
      <c r="C142" s="406">
        <f>-B142</f>
        <v>-200000</v>
      </c>
      <c r="D142" s="406"/>
      <c r="E142" s="406"/>
      <c r="F142" s="406"/>
      <c r="G142" s="406"/>
      <c r="H142" s="406">
        <v>0</v>
      </c>
      <c r="I142" s="406">
        <v>129000</v>
      </c>
      <c r="J142" s="406">
        <v>0</v>
      </c>
      <c r="K142" s="406">
        <v>0</v>
      </c>
      <c r="L142" s="406"/>
      <c r="M142" s="406"/>
    </row>
    <row r="143" s="36" customFormat="1" ht="15">
      <c r="B143" s="375"/>
      <c r="C143" s="375"/>
      <c r="D143" s="375"/>
      <c r="E143" s="375"/>
      <c r="F143" s="375"/>
      <c r="G143" s="375"/>
      <c r="H143" s="375"/>
      <c r="I143" s="381"/>
      <c r="J143" s="381"/>
      <c r="K143" s="381"/>
      <c r="L143" s="381"/>
      <c r="M143" s="381"/>
    </row>
    <row r="144" ht="15">
      <c r="A144" s="379" t="s">
        <v>371</v>
      </c>
      <c r="B144" s="407">
        <f>B4+B140+B142</f>
        <v>80949.517000000007</v>
      </c>
      <c r="C144" s="407">
        <f t="shared" ref="C144:M144" si="318">C4+C140+C142</f>
        <v>2358050.7270894181</v>
      </c>
      <c r="D144" s="407">
        <f t="shared" si="318"/>
        <v>692772.79133589694</v>
      </c>
      <c r="E144" s="407">
        <f t="shared" si="318"/>
        <v>671281.31991456368</v>
      </c>
      <c r="F144" s="407">
        <f t="shared" si="318"/>
        <v>191588.57748456366</v>
      </c>
      <c r="G144" s="407">
        <f t="shared" si="318"/>
        <v>266942.00982056366</v>
      </c>
      <c r="H144" s="407">
        <f t="shared" si="318"/>
        <v>48191.585990563675</v>
      </c>
      <c r="I144" s="407">
        <f t="shared" si="318"/>
        <v>65090.727227466734</v>
      </c>
      <c r="J144" s="407">
        <f t="shared" si="318"/>
        <v>-18583.326150533278</v>
      </c>
      <c r="K144" s="407">
        <f t="shared" si="318"/>
        <v>-35735.552941066533</v>
      </c>
      <c r="L144" s="407">
        <f t="shared" si="318"/>
        <v>-133104.43986359978</v>
      </c>
      <c r="M144" s="407">
        <f t="shared" si="318"/>
        <v>-199094.54981413303</v>
      </c>
    </row>
    <row r="145" s="36" customFormat="1">
      <c r="B145" s="375"/>
      <c r="C145" s="375"/>
      <c r="D145" s="375"/>
      <c r="E145" s="375"/>
      <c r="F145" s="375"/>
      <c r="G145" s="375"/>
      <c r="H145" s="375"/>
      <c r="I145" s="381"/>
      <c r="J145" s="381"/>
      <c r="K145" s="381"/>
      <c r="L145" s="381"/>
      <c r="M145" s="381"/>
    </row>
    <row r="146" s="36" customFormat="1">
      <c r="B146" s="375"/>
      <c r="C146" s="375"/>
      <c r="D146" s="375"/>
      <c r="E146" s="375"/>
      <c r="F146" s="375"/>
      <c r="G146" s="375"/>
      <c r="H146" s="375"/>
      <c r="I146" s="381"/>
      <c r="J146" s="381"/>
      <c r="K146" s="381"/>
      <c r="L146" s="381"/>
      <c r="M146" s="381"/>
    </row>
    <row r="147" s="36" customFormat="1">
      <c r="B147" s="375"/>
      <c r="C147" s="375"/>
      <c r="D147" s="375"/>
      <c r="E147" s="375"/>
      <c r="F147" s="375"/>
      <c r="G147" s="375"/>
      <c r="H147" s="375"/>
      <c r="I147" s="375"/>
      <c r="J147" s="375"/>
      <c r="K147" s="375"/>
      <c r="L147" s="375"/>
      <c r="M147" s="375"/>
    </row>
    <row r="148" s="36" customFormat="1">
      <c r="B148" s="375"/>
      <c r="C148" s="375"/>
      <c r="D148" s="375"/>
      <c r="E148" s="375"/>
      <c r="F148" s="375"/>
      <c r="G148" s="375"/>
      <c r="H148" s="375"/>
      <c r="I148" s="375"/>
      <c r="J148" s="375"/>
      <c r="K148" s="375"/>
      <c r="L148" s="375"/>
      <c r="M148" s="375"/>
    </row>
    <row r="149" s="36" customFormat="1">
      <c r="B149" s="375"/>
      <c r="C149" s="375"/>
      <c r="D149" s="375"/>
      <c r="E149" s="375"/>
      <c r="F149" s="375"/>
      <c r="G149" s="375"/>
      <c r="H149" s="375"/>
      <c r="I149" s="375"/>
      <c r="J149" s="375"/>
      <c r="K149" s="375"/>
      <c r="L149" s="375"/>
      <c r="M149" s="375"/>
    </row>
    <row r="150" s="36" customFormat="1">
      <c r="B150" s="375"/>
      <c r="C150" s="375"/>
      <c r="D150" s="375"/>
      <c r="E150" s="375"/>
      <c r="F150" s="375"/>
      <c r="G150" s="375"/>
      <c r="H150" s="375"/>
      <c r="I150" s="375"/>
      <c r="J150" s="375"/>
      <c r="K150" s="375"/>
      <c r="L150" s="375"/>
      <c r="M150" s="375"/>
    </row>
    <row r="151" s="36" customFormat="1">
      <c r="B151" s="375"/>
      <c r="C151" s="375"/>
      <c r="D151" s="375"/>
      <c r="E151" s="375"/>
      <c r="F151" s="375"/>
      <c r="G151" s="375"/>
      <c r="H151" s="375"/>
      <c r="I151" s="375"/>
      <c r="J151" s="375"/>
      <c r="K151" s="375"/>
      <c r="L151" s="375"/>
      <c r="M151" s="375"/>
    </row>
    <row r="152" s="36" customFormat="1">
      <c r="B152" s="375"/>
      <c r="C152" s="375"/>
      <c r="D152" s="375"/>
      <c r="E152" s="375"/>
      <c r="F152" s="375"/>
      <c r="G152" s="375"/>
      <c r="H152" s="375"/>
      <c r="I152" s="375"/>
      <c r="J152" s="375"/>
      <c r="K152" s="375"/>
      <c r="L152" s="375"/>
      <c r="M152" s="375"/>
    </row>
    <row r="153" s="36" customFormat="1">
      <c r="B153" s="375"/>
      <c r="C153" s="375"/>
      <c r="D153" s="375"/>
      <c r="E153" s="375"/>
      <c r="F153" s="375"/>
      <c r="G153" s="375"/>
      <c r="H153" s="375"/>
      <c r="I153" s="375"/>
      <c r="J153" s="375"/>
      <c r="K153" s="375"/>
      <c r="L153" s="375"/>
      <c r="M153" s="375"/>
    </row>
    <row r="154" s="36" customFormat="1">
      <c r="B154" s="375"/>
      <c r="C154" s="375"/>
      <c r="D154" s="375"/>
      <c r="E154" s="375"/>
      <c r="F154" s="375"/>
      <c r="G154" s="375"/>
      <c r="H154" s="375"/>
      <c r="I154" s="375"/>
      <c r="J154" s="375"/>
      <c r="K154" s="375"/>
      <c r="L154" s="375"/>
      <c r="M154" s="375"/>
    </row>
    <row r="155" s="36" customFormat="1">
      <c r="B155" s="375"/>
      <c r="C155" s="375"/>
      <c r="D155" s="375"/>
      <c r="E155" s="375"/>
      <c r="F155" s="375"/>
      <c r="G155" s="375"/>
      <c r="H155" s="375"/>
      <c r="I155" s="375"/>
      <c r="J155" s="375"/>
      <c r="K155" s="375"/>
      <c r="L155" s="375"/>
      <c r="M155" s="375"/>
    </row>
    <row r="156" s="36" customFormat="1">
      <c r="B156" s="375"/>
      <c r="C156" s="375"/>
      <c r="D156" s="375"/>
      <c r="E156" s="375"/>
      <c r="F156" s="375"/>
      <c r="G156" s="375"/>
      <c r="H156" s="375"/>
      <c r="I156" s="375"/>
      <c r="J156" s="375"/>
      <c r="K156" s="375"/>
      <c r="L156" s="375"/>
      <c r="M156" s="375"/>
    </row>
    <row r="157" s="36" customFormat="1">
      <c r="B157" s="375"/>
      <c r="C157" s="375"/>
      <c r="D157" s="375"/>
      <c r="E157" s="375"/>
      <c r="F157" s="375"/>
      <c r="G157" s="375"/>
      <c r="H157" s="375"/>
      <c r="I157" s="375"/>
      <c r="J157" s="375"/>
      <c r="K157" s="375"/>
      <c r="L157" s="375"/>
      <c r="M157" s="375"/>
    </row>
    <row r="158" s="36" customFormat="1">
      <c r="B158" s="375"/>
      <c r="C158" s="375"/>
      <c r="D158" s="375"/>
      <c r="E158" s="375"/>
      <c r="F158" s="375"/>
      <c r="G158" s="375"/>
      <c r="H158" s="375"/>
      <c r="I158" s="375"/>
      <c r="J158" s="375"/>
      <c r="K158" s="375"/>
      <c r="L158" s="375"/>
      <c r="M158" s="375"/>
    </row>
    <row r="159" s="36" customFormat="1">
      <c r="B159" s="375"/>
      <c r="C159" s="375"/>
      <c r="D159" s="375"/>
      <c r="E159" s="375"/>
      <c r="F159" s="375"/>
      <c r="G159" s="375"/>
      <c r="H159" s="375"/>
      <c r="I159" s="375"/>
      <c r="J159" s="375"/>
      <c r="K159" s="375"/>
      <c r="L159" s="375"/>
      <c r="M159" s="375"/>
    </row>
    <row r="160" s="36" customFormat="1">
      <c r="B160" s="375"/>
      <c r="C160" s="375"/>
      <c r="D160" s="375"/>
      <c r="E160" s="375"/>
      <c r="F160" s="375"/>
      <c r="G160" s="375"/>
      <c r="H160" s="375"/>
      <c r="I160" s="375"/>
      <c r="J160" s="375"/>
      <c r="K160" s="375"/>
      <c r="L160" s="375"/>
      <c r="M160" s="375"/>
    </row>
    <row r="161" s="36" customFormat="1">
      <c r="B161" s="375"/>
      <c r="C161" s="375"/>
      <c r="D161" s="375"/>
      <c r="E161" s="375"/>
      <c r="F161" s="375"/>
      <c r="G161" s="375"/>
      <c r="H161" s="375"/>
      <c r="I161" s="375"/>
      <c r="J161" s="375"/>
      <c r="K161" s="375"/>
      <c r="L161" s="375"/>
      <c r="M161" s="375"/>
    </row>
    <row r="162" s="36" customFormat="1">
      <c r="B162" s="375"/>
      <c r="C162" s="375"/>
      <c r="D162" s="375"/>
      <c r="E162" s="375"/>
      <c r="F162" s="375"/>
      <c r="G162" s="375"/>
      <c r="H162" s="375"/>
      <c r="I162" s="375"/>
      <c r="J162" s="375"/>
      <c r="K162" s="375"/>
      <c r="L162" s="375"/>
      <c r="M162" s="375"/>
    </row>
    <row r="163" s="36" customFormat="1">
      <c r="B163" s="375"/>
      <c r="C163" s="375"/>
      <c r="D163" s="375"/>
      <c r="E163" s="375"/>
      <c r="F163" s="375"/>
      <c r="G163" s="375"/>
      <c r="H163" s="375"/>
      <c r="I163" s="375"/>
      <c r="J163" s="375"/>
      <c r="K163" s="375"/>
      <c r="L163" s="375"/>
      <c r="M163" s="375"/>
    </row>
    <row r="164" s="36" customFormat="1">
      <c r="B164" s="375"/>
      <c r="C164" s="375"/>
      <c r="D164" s="375"/>
      <c r="E164" s="375"/>
      <c r="F164" s="375"/>
      <c r="G164" s="375"/>
      <c r="H164" s="375"/>
      <c r="I164" s="375"/>
      <c r="J164" s="375"/>
      <c r="K164" s="375"/>
      <c r="L164" s="375"/>
      <c r="M164" s="375"/>
    </row>
    <row r="165" s="36" customFormat="1">
      <c r="B165" s="375"/>
      <c r="C165" s="375"/>
      <c r="D165" s="375"/>
      <c r="E165" s="375"/>
      <c r="F165" s="375"/>
      <c r="G165" s="375"/>
      <c r="H165" s="375"/>
      <c r="I165" s="375"/>
      <c r="J165" s="375"/>
      <c r="K165" s="375"/>
      <c r="L165" s="375"/>
      <c r="M165" s="375"/>
    </row>
    <row r="166" s="36" customFormat="1">
      <c r="B166" s="375"/>
      <c r="C166" s="375"/>
      <c r="D166" s="375"/>
      <c r="E166" s="375"/>
      <c r="F166" s="375"/>
      <c r="G166" s="375"/>
      <c r="H166" s="375"/>
      <c r="I166" s="375"/>
      <c r="J166" s="375"/>
      <c r="K166" s="375"/>
      <c r="L166" s="375"/>
      <c r="M166" s="375"/>
    </row>
    <row r="167" s="36" customFormat="1">
      <c r="B167" s="375"/>
      <c r="C167" s="375"/>
      <c r="D167" s="375"/>
      <c r="E167" s="375"/>
      <c r="F167" s="375"/>
      <c r="G167" s="375"/>
      <c r="H167" s="375"/>
      <c r="I167" s="375"/>
      <c r="J167" s="375"/>
      <c r="K167" s="375"/>
      <c r="L167" s="375"/>
      <c r="M167" s="375"/>
    </row>
    <row r="168" s="36" customFormat="1">
      <c r="B168" s="375"/>
      <c r="C168" s="375"/>
      <c r="D168" s="375"/>
      <c r="E168" s="375"/>
      <c r="F168" s="375"/>
      <c r="G168" s="375"/>
      <c r="H168" s="375"/>
      <c r="I168" s="375"/>
      <c r="J168" s="375"/>
      <c r="K168" s="375"/>
      <c r="L168" s="375"/>
      <c r="M168" s="375"/>
    </row>
    <row r="169" s="36" customFormat="1">
      <c r="B169" s="375"/>
      <c r="C169" s="375"/>
      <c r="D169" s="375"/>
      <c r="E169" s="375"/>
      <c r="F169" s="375"/>
      <c r="G169" s="375"/>
      <c r="H169" s="375"/>
      <c r="I169" s="375"/>
      <c r="J169" s="375"/>
      <c r="K169" s="375"/>
      <c r="L169" s="375"/>
      <c r="M169" s="375"/>
    </row>
    <row r="170" s="36" customFormat="1">
      <c r="B170" s="375"/>
      <c r="C170" s="375"/>
      <c r="D170" s="375"/>
      <c r="E170" s="375"/>
      <c r="F170" s="375"/>
      <c r="G170" s="375"/>
      <c r="H170" s="375"/>
      <c r="I170" s="375"/>
      <c r="J170" s="375"/>
      <c r="K170" s="375"/>
      <c r="L170" s="375"/>
      <c r="M170" s="375"/>
    </row>
    <row r="171" s="36" customFormat="1">
      <c r="B171" s="375"/>
      <c r="C171" s="375"/>
      <c r="D171" s="375"/>
      <c r="E171" s="375"/>
      <c r="F171" s="375"/>
      <c r="G171" s="375"/>
      <c r="H171" s="375"/>
      <c r="I171" s="375"/>
      <c r="J171" s="375"/>
      <c r="K171" s="375"/>
      <c r="L171" s="375"/>
      <c r="M171" s="375"/>
    </row>
    <row r="172" s="36" customFormat="1">
      <c r="B172" s="375"/>
      <c r="C172" s="375"/>
      <c r="D172" s="375"/>
      <c r="E172" s="375"/>
      <c r="F172" s="375"/>
      <c r="G172" s="375"/>
      <c r="H172" s="375"/>
      <c r="I172" s="375"/>
      <c r="J172" s="375"/>
      <c r="K172" s="375"/>
      <c r="L172" s="375"/>
      <c r="M172" s="375"/>
    </row>
    <row r="173" s="36" customFormat="1">
      <c r="B173" s="375"/>
      <c r="C173" s="375"/>
      <c r="D173" s="375"/>
      <c r="E173" s="375"/>
      <c r="F173" s="375"/>
      <c r="G173" s="375"/>
      <c r="H173" s="375"/>
      <c r="I173" s="375"/>
      <c r="J173" s="375"/>
      <c r="K173" s="375"/>
      <c r="L173" s="375"/>
      <c r="M173" s="375"/>
    </row>
    <row r="174" s="36" customFormat="1">
      <c r="B174" s="375"/>
      <c r="C174" s="375"/>
      <c r="D174" s="375"/>
      <c r="E174" s="375"/>
      <c r="F174" s="375"/>
      <c r="G174" s="375"/>
      <c r="H174" s="375"/>
      <c r="I174" s="375"/>
      <c r="J174" s="375"/>
      <c r="K174" s="375"/>
      <c r="L174" s="375"/>
      <c r="M174" s="375"/>
    </row>
    <row r="175" s="36" customFormat="1">
      <c r="B175" s="375"/>
      <c r="C175" s="375"/>
      <c r="D175" s="375"/>
      <c r="E175" s="375"/>
      <c r="F175" s="375"/>
      <c r="G175" s="375"/>
      <c r="H175" s="375"/>
      <c r="I175" s="375"/>
      <c r="J175" s="375"/>
      <c r="K175" s="375"/>
      <c r="L175" s="375"/>
      <c r="M175" s="375"/>
    </row>
    <row r="176" s="36" customFormat="1">
      <c r="B176" s="375"/>
      <c r="C176" s="375"/>
      <c r="D176" s="375"/>
      <c r="E176" s="375"/>
      <c r="F176" s="375"/>
      <c r="G176" s="375"/>
      <c r="H176" s="375"/>
      <c r="I176" s="375"/>
      <c r="J176" s="375"/>
      <c r="K176" s="375"/>
      <c r="L176" s="375"/>
      <c r="M176" s="375"/>
    </row>
    <row r="177" s="36" customFormat="1">
      <c r="B177" s="375"/>
      <c r="C177" s="375"/>
      <c r="D177" s="375"/>
      <c r="E177" s="375"/>
      <c r="F177" s="375"/>
      <c r="G177" s="375"/>
      <c r="H177" s="375"/>
      <c r="I177" s="375"/>
      <c r="J177" s="375"/>
      <c r="K177" s="375"/>
      <c r="L177" s="375"/>
      <c r="M177" s="375"/>
    </row>
    <row r="178" s="36" customFormat="1">
      <c r="B178" s="375"/>
      <c r="C178" s="375"/>
      <c r="D178" s="375"/>
      <c r="E178" s="375"/>
      <c r="F178" s="375"/>
      <c r="G178" s="375"/>
      <c r="H178" s="375"/>
      <c r="I178" s="375"/>
      <c r="J178" s="375"/>
      <c r="K178" s="375"/>
      <c r="L178" s="375"/>
      <c r="M178" s="375"/>
    </row>
    <row r="179" s="36" customFormat="1">
      <c r="B179" s="375"/>
      <c r="C179" s="375"/>
      <c r="D179" s="375"/>
      <c r="E179" s="375"/>
      <c r="F179" s="375"/>
      <c r="G179" s="375"/>
      <c r="H179" s="375"/>
      <c r="I179" s="375"/>
      <c r="J179" s="375"/>
      <c r="K179" s="375"/>
      <c r="L179" s="375"/>
      <c r="M179" s="375"/>
    </row>
    <row r="180" s="36" customFormat="1">
      <c r="B180" s="375"/>
      <c r="C180" s="375"/>
      <c r="D180" s="375"/>
      <c r="E180" s="375"/>
      <c r="F180" s="375"/>
      <c r="G180" s="375"/>
      <c r="H180" s="375"/>
      <c r="I180" s="375"/>
      <c r="J180" s="375"/>
      <c r="K180" s="375"/>
      <c r="L180" s="375"/>
      <c r="M180" s="375"/>
    </row>
    <row r="181" s="36" customFormat="1">
      <c r="B181" s="375"/>
      <c r="C181" s="375"/>
      <c r="D181" s="375"/>
      <c r="E181" s="375"/>
      <c r="F181" s="375"/>
      <c r="G181" s="375"/>
      <c r="H181" s="375"/>
      <c r="I181" s="375"/>
      <c r="J181" s="375"/>
      <c r="K181" s="375"/>
      <c r="L181" s="375"/>
      <c r="M181" s="375"/>
    </row>
    <row r="182" s="36" customFormat="1">
      <c r="B182" s="375"/>
      <c r="C182" s="375"/>
      <c r="D182" s="375"/>
      <c r="E182" s="375"/>
      <c r="F182" s="375"/>
      <c r="G182" s="375"/>
      <c r="H182" s="375"/>
      <c r="I182" s="375"/>
      <c r="J182" s="375"/>
      <c r="K182" s="375"/>
      <c r="L182" s="375"/>
      <c r="M182" s="375"/>
    </row>
    <row r="183" s="36" customFormat="1">
      <c r="B183" s="375"/>
      <c r="C183" s="375"/>
      <c r="D183" s="375"/>
      <c r="E183" s="375"/>
      <c r="F183" s="375"/>
      <c r="G183" s="375"/>
      <c r="H183" s="375"/>
      <c r="I183" s="375"/>
      <c r="J183" s="375"/>
      <c r="K183" s="375"/>
      <c r="L183" s="375"/>
      <c r="M183" s="375"/>
    </row>
    <row r="184" s="36" customFormat="1">
      <c r="B184" s="375"/>
      <c r="C184" s="375"/>
      <c r="D184" s="375"/>
      <c r="E184" s="375"/>
      <c r="F184" s="375"/>
      <c r="G184" s="375"/>
      <c r="H184" s="375"/>
      <c r="I184" s="375"/>
      <c r="J184" s="375"/>
      <c r="K184" s="375"/>
      <c r="L184" s="375"/>
      <c r="M184" s="375"/>
    </row>
    <row r="185" s="36" customFormat="1">
      <c r="B185" s="375"/>
      <c r="C185" s="375"/>
      <c r="D185" s="375"/>
      <c r="E185" s="375"/>
      <c r="F185" s="375"/>
      <c r="G185" s="375"/>
      <c r="H185" s="375"/>
      <c r="I185" s="375"/>
      <c r="J185" s="375"/>
      <c r="K185" s="375"/>
      <c r="L185" s="375"/>
      <c r="M185" s="375"/>
    </row>
    <row r="186" s="36" customFormat="1">
      <c r="B186" s="375"/>
      <c r="C186" s="375"/>
      <c r="D186" s="375"/>
      <c r="E186" s="375"/>
      <c r="F186" s="375"/>
      <c r="G186" s="375"/>
      <c r="H186" s="375"/>
      <c r="I186" s="375"/>
      <c r="J186" s="375"/>
      <c r="K186" s="375"/>
      <c r="L186" s="375"/>
      <c r="M186" s="375"/>
    </row>
    <row r="187" s="36" customFormat="1">
      <c r="B187" s="375"/>
      <c r="C187" s="375"/>
      <c r="D187" s="375"/>
      <c r="E187" s="375"/>
      <c r="F187" s="375"/>
      <c r="G187" s="375"/>
      <c r="H187" s="375"/>
      <c r="I187" s="375"/>
      <c r="J187" s="375"/>
      <c r="K187" s="375"/>
      <c r="L187" s="375"/>
      <c r="M187" s="375"/>
    </row>
    <row r="188" s="36" customFormat="1">
      <c r="B188" s="375"/>
      <c r="C188" s="375"/>
      <c r="D188" s="375"/>
      <c r="E188" s="375"/>
      <c r="F188" s="375"/>
      <c r="G188" s="375"/>
      <c r="H188" s="375"/>
      <c r="I188" s="375"/>
      <c r="J188" s="375"/>
      <c r="K188" s="375"/>
      <c r="L188" s="375"/>
      <c r="M188" s="375"/>
    </row>
    <row r="189" s="36" customFormat="1">
      <c r="B189" s="375"/>
      <c r="C189" s="375"/>
      <c r="D189" s="375"/>
      <c r="E189" s="375"/>
      <c r="F189" s="375"/>
      <c r="G189" s="375"/>
      <c r="H189" s="375"/>
      <c r="I189" s="375"/>
      <c r="J189" s="375"/>
      <c r="K189" s="375"/>
      <c r="L189" s="375"/>
      <c r="M189" s="375"/>
    </row>
    <row r="190" s="36" customFormat="1">
      <c r="B190" s="375"/>
      <c r="C190" s="375"/>
      <c r="D190" s="375"/>
      <c r="E190" s="375"/>
      <c r="F190" s="375"/>
      <c r="G190" s="375"/>
      <c r="H190" s="375"/>
      <c r="I190" s="375"/>
      <c r="J190" s="375"/>
      <c r="K190" s="375"/>
      <c r="L190" s="375"/>
      <c r="M190" s="375"/>
    </row>
    <row r="191" s="36" customFormat="1">
      <c r="B191" s="375"/>
      <c r="C191" s="375"/>
      <c r="D191" s="375"/>
      <c r="E191" s="375"/>
      <c r="F191" s="375"/>
      <c r="G191" s="375"/>
      <c r="H191" s="375"/>
      <c r="I191" s="375"/>
      <c r="J191" s="375"/>
      <c r="K191" s="375"/>
      <c r="L191" s="375"/>
      <c r="M191" s="375"/>
    </row>
    <row r="192" s="36" customFormat="1">
      <c r="B192" s="375"/>
      <c r="C192" s="375"/>
      <c r="D192" s="375"/>
      <c r="E192" s="375"/>
      <c r="F192" s="375"/>
      <c r="G192" s="375"/>
      <c r="H192" s="375"/>
      <c r="I192" s="375"/>
      <c r="J192" s="375"/>
      <c r="K192" s="375"/>
      <c r="L192" s="375"/>
      <c r="M192" s="375"/>
    </row>
    <row r="193" s="36" customFormat="1">
      <c r="B193" s="375"/>
      <c r="C193" s="375"/>
      <c r="D193" s="375"/>
      <c r="E193" s="375"/>
      <c r="F193" s="375"/>
      <c r="G193" s="375"/>
      <c r="H193" s="375"/>
      <c r="I193" s="375"/>
      <c r="J193" s="375"/>
      <c r="K193" s="375"/>
      <c r="L193" s="375"/>
      <c r="M193" s="375"/>
    </row>
    <row r="194" s="36" customFormat="1">
      <c r="B194" s="375"/>
      <c r="C194" s="375"/>
      <c r="D194" s="375"/>
      <c r="E194" s="375"/>
      <c r="F194" s="375"/>
      <c r="G194" s="375"/>
      <c r="H194" s="375"/>
      <c r="I194" s="375"/>
      <c r="J194" s="375"/>
      <c r="K194" s="375"/>
      <c r="L194" s="375"/>
      <c r="M194" s="375"/>
    </row>
  </sheetData>
  <printOptions headings="0" gridLines="0"/>
  <pageMargins left="0.25" right="0.25" top="0.75" bottom="0.75" header="0.29999999999999999" footer="0.29999999999999999"/>
  <pageSetup paperSize="9" scale="55" fitToWidth="1" fitToHeight="2" pageOrder="downThenOver" orientation="landscape" usePrinterDefaults="1" blackAndWhite="0" draft="0" cellComments="none" useFirstPageNumber="0" errors="displayed" horizontalDpi="300" verticalDpi="300" copies="1"/>
  <headerFooter/>
  <drawing r:id="rId3"/>
  <legacyDrawing r:id="rId4"/>
</worksheet>
</file>

<file path=xl/worksheets/sheet1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sheetPr>
    <outlinePr applyStyles="0" summaryBelow="1" summaryRight="1" showOutlineSymbols="1"/>
    <pageSetUpPr autoPageBreaks="1" fitToPage="1"/>
  </sheetPr>
  <sheetViews>
    <sheetView topLeftCell="A108" zoomScale="100" workbookViewId="0">
      <selection activeCell="L101" activeCellId="0" sqref="L101"/>
    </sheetView>
  </sheetViews>
  <sheetFormatPr baseColWidth="10" defaultColWidth="10.6640625" defaultRowHeight="14.4" outlineLevelRow="1"/>
  <cols>
    <col customWidth="1" min="1" max="1" width="68"/>
    <col customWidth="1" min="2" max="2" style="374" width="21"/>
    <col customWidth="1" min="3" max="9" style="374" width="12.44140625"/>
    <col bestFit="1" customWidth="1" min="10" max="10" style="374" width="13.44140625"/>
    <col customWidth="1" min="11" max="11" style="374" width="12.44140625"/>
    <col bestFit="1" customWidth="1" min="12" max="12" style="374" width="12.88671875"/>
    <col customWidth="1" min="13" max="13" style="374" width="12.44140625"/>
    <col min="14" max="40" style="36" width="10.6640625"/>
  </cols>
  <sheetData>
    <row r="1" s="36" customFormat="1" ht="21">
      <c r="A1" s="171" t="s">
        <v>372</v>
      </c>
      <c r="B1" s="375"/>
      <c r="C1" s="375"/>
      <c r="D1" s="375"/>
      <c r="E1" s="375"/>
      <c r="F1" s="375"/>
      <c r="G1" s="375"/>
      <c r="H1" s="375"/>
      <c r="I1" s="375"/>
      <c r="J1" s="375"/>
      <c r="K1" s="375"/>
      <c r="L1" s="375"/>
      <c r="M1" s="375"/>
    </row>
    <row r="2" s="36" customFormat="1" ht="15">
      <c r="B2" s="375"/>
      <c r="C2" s="375"/>
      <c r="D2" s="375"/>
      <c r="E2" s="375"/>
      <c r="F2" s="375"/>
      <c r="G2" s="375"/>
      <c r="H2" s="375"/>
      <c r="I2" s="375"/>
      <c r="J2" s="375"/>
      <c r="K2" s="375"/>
      <c r="L2" s="375"/>
      <c r="M2" s="375"/>
    </row>
    <row r="3" ht="15">
      <c r="A3" s="377"/>
      <c r="B3" s="378" t="e">
        <f>'[1]Hypotheses expl (2)'!C3</f>
        <v>#REF!</v>
      </c>
      <c r="C3" s="378" t="e">
        <f>'[1]Hypotheses expl (2)'!D3</f>
        <v>#REF!</v>
      </c>
      <c r="D3" s="378" t="e">
        <f>'[1]Hypotheses expl (2)'!E3</f>
        <v>#REF!</v>
      </c>
      <c r="E3" s="378" t="e">
        <f>'[1]Hypotheses expl (2)'!F3</f>
        <v>#REF!</v>
      </c>
      <c r="F3" s="378" t="e">
        <f>'[1]Hypotheses expl (2)'!G3</f>
        <v>#REF!</v>
      </c>
      <c r="G3" s="378" t="e">
        <f>'[1]Hypotheses expl (2)'!H3</f>
        <v>#REF!</v>
      </c>
      <c r="H3" s="378" t="e">
        <f>'[1]Hypotheses expl (2)'!I3</f>
        <v>#REF!</v>
      </c>
      <c r="I3" s="378" t="e">
        <f>'[1]Hypotheses expl (2)'!J3</f>
        <v>#REF!</v>
      </c>
      <c r="J3" s="378" t="e">
        <f>'[1]Hypotheses expl (2)'!K3</f>
        <v>#REF!</v>
      </c>
      <c r="K3" s="378" t="e">
        <f>'[1]Hypotheses expl (2)'!L3</f>
        <v>#REF!</v>
      </c>
      <c r="L3" s="378" t="e">
        <f>'[1]Hypotheses expl (2)'!M3</f>
        <v>#REF!</v>
      </c>
      <c r="M3" s="378" t="e">
        <f>'[1]Hypotheses expl (2)'!N3</f>
        <v>#REF!</v>
      </c>
    </row>
    <row r="4" ht="15">
      <c r="A4" s="379" t="s">
        <v>362</v>
      </c>
      <c r="B4" s="380">
        <f>3290.3</f>
        <v>3290.3000000000002</v>
      </c>
      <c r="C4" s="380" t="e">
        <f t="shared" ref="C4:M4" si="319">+B125</f>
        <v>#REF!</v>
      </c>
      <c r="D4" s="380" t="e">
        <f t="shared" si="319"/>
        <v>#REF!</v>
      </c>
      <c r="E4" s="380" t="e">
        <f t="shared" si="319"/>
        <v>#REF!</v>
      </c>
      <c r="F4" s="380" t="e">
        <f t="shared" si="319"/>
        <v>#REF!</v>
      </c>
      <c r="G4" s="380" t="e">
        <f t="shared" si="319"/>
        <v>#REF!</v>
      </c>
      <c r="H4" s="380" t="e">
        <f t="shared" si="319"/>
        <v>#REF!</v>
      </c>
      <c r="I4" s="380" t="e">
        <f t="shared" si="319"/>
        <v>#REF!</v>
      </c>
      <c r="J4" s="380">
        <f>198637+33000</f>
        <v>231637</v>
      </c>
      <c r="K4" s="380" t="e">
        <f t="shared" si="319"/>
        <v>#REF!</v>
      </c>
      <c r="L4" s="380" t="e">
        <f t="shared" si="319"/>
        <v>#REF!</v>
      </c>
      <c r="M4" s="380" t="e">
        <f t="shared" si="319"/>
        <v>#REF!</v>
      </c>
    </row>
    <row r="5" s="36" customFormat="1">
      <c r="B5" s="375"/>
      <c r="C5" s="375"/>
      <c r="D5" s="375"/>
      <c r="E5" s="375"/>
      <c r="F5" s="375"/>
      <c r="G5" s="375"/>
      <c r="H5" s="375"/>
      <c r="I5" s="381"/>
      <c r="J5" s="381"/>
      <c r="K5" s="382">
        <v>138000</v>
      </c>
      <c r="L5" s="381"/>
      <c r="M5" s="381"/>
    </row>
    <row r="6" s="383" customFormat="1">
      <c r="A6" s="384" t="s">
        <v>363</v>
      </c>
      <c r="B6" s="385" t="e">
        <f>B7+B21+B37+B38+B39+B40</f>
        <v>#REF!</v>
      </c>
      <c r="C6" s="385" t="e">
        <f>C7+C21+C37+C38+C39+C40</f>
        <v>#REF!</v>
      </c>
      <c r="D6" s="385" t="e">
        <f>D7+D21+D37+D38+D39+D40</f>
        <v>#REF!</v>
      </c>
      <c r="E6" s="385" t="e">
        <f>E7+E21+E37+E38+E39+E40+E19</f>
        <v>#REF!</v>
      </c>
      <c r="F6" s="385" t="e">
        <f t="shared" ref="F6:M6" si="320">F7+F21+F37+F38+F39+F40</f>
        <v>#REF!</v>
      </c>
      <c r="G6" s="385" t="e">
        <f t="shared" si="320"/>
        <v>#REF!</v>
      </c>
      <c r="H6" s="385" t="e">
        <f t="shared" si="320"/>
        <v>#REF!</v>
      </c>
      <c r="I6" s="385" t="e">
        <f t="shared" si="320"/>
        <v>#REF!</v>
      </c>
      <c r="J6" s="385" t="e">
        <f t="shared" si="320"/>
        <v>#REF!</v>
      </c>
      <c r="K6" s="385" t="e">
        <f t="shared" si="320"/>
        <v>#REF!</v>
      </c>
      <c r="L6" s="385" t="e">
        <f t="shared" si="320"/>
        <v>#REF!</v>
      </c>
      <c r="M6" s="385" t="e">
        <f t="shared" si="320"/>
        <v>#REF!</v>
      </c>
      <c r="N6" s="36"/>
      <c r="O6" s="36"/>
      <c r="P6" s="36"/>
      <c r="Q6" s="36"/>
      <c r="R6" s="36"/>
      <c r="S6" s="36"/>
      <c r="T6" s="36"/>
      <c r="U6" s="36"/>
      <c r="V6" s="36"/>
      <c r="W6" s="36"/>
      <c r="X6" s="36"/>
      <c r="Y6" s="36"/>
      <c r="Z6" s="36"/>
      <c r="AA6" s="36"/>
      <c r="AB6" s="36"/>
      <c r="AC6" s="36"/>
      <c r="AD6" s="36"/>
      <c r="AE6" s="36"/>
      <c r="AF6" s="36"/>
      <c r="AG6" s="36"/>
      <c r="AH6" s="36"/>
      <c r="AI6" s="36"/>
      <c r="AJ6" s="36"/>
      <c r="AK6" s="36"/>
      <c r="AL6" s="36"/>
      <c r="AM6" s="36"/>
      <c r="AN6" s="36"/>
    </row>
    <row r="7" s="386" customFormat="1">
      <c r="A7" s="387" t="s">
        <v>364</v>
      </c>
      <c r="B7" s="388" t="e">
        <f t="shared" ref="B7:M7" si="321">SUM(B8:B18)</f>
        <v>#REF!</v>
      </c>
      <c r="C7" s="388" t="e">
        <f t="shared" si="321"/>
        <v>#REF!</v>
      </c>
      <c r="D7" s="388" t="e">
        <f t="shared" si="321"/>
        <v>#REF!</v>
      </c>
      <c r="E7" s="388" t="e">
        <f t="shared" si="321"/>
        <v>#REF!</v>
      </c>
      <c r="F7" s="388" t="e">
        <f>SUM(F8:F18)</f>
        <v>#REF!</v>
      </c>
      <c r="G7" s="388" t="e">
        <f t="shared" si="321"/>
        <v>#REF!</v>
      </c>
      <c r="H7" s="388" t="e">
        <f t="shared" si="321"/>
        <v>#REF!</v>
      </c>
      <c r="I7" s="388" t="e">
        <f t="shared" si="321"/>
        <v>#REF!</v>
      </c>
      <c r="J7" s="388" t="e">
        <f t="shared" si="321"/>
        <v>#REF!</v>
      </c>
      <c r="K7" s="388" t="e">
        <f t="shared" si="321"/>
        <v>#REF!</v>
      </c>
      <c r="L7" s="388" t="e">
        <f t="shared" si="321"/>
        <v>#REF!</v>
      </c>
      <c r="M7" s="388" t="e">
        <f t="shared" si="321"/>
        <v>#REF!</v>
      </c>
      <c r="N7" s="274"/>
      <c r="O7" s="63"/>
      <c r="P7" s="63"/>
      <c r="Q7" s="63"/>
      <c r="R7" s="63"/>
      <c r="S7" s="63"/>
      <c r="T7" s="63"/>
      <c r="U7" s="63"/>
      <c r="V7" s="63"/>
      <c r="W7" s="63"/>
      <c r="X7" s="63"/>
      <c r="Y7" s="63"/>
      <c r="Z7" s="63"/>
      <c r="AA7" s="63"/>
      <c r="AB7" s="63"/>
      <c r="AC7" s="63"/>
      <c r="AD7" s="63"/>
      <c r="AE7" s="63"/>
      <c r="AF7" s="63"/>
      <c r="AG7" s="63"/>
      <c r="AH7" s="63"/>
      <c r="AI7" s="63"/>
      <c r="AJ7" s="63"/>
      <c r="AK7" s="63"/>
      <c r="AL7" s="63"/>
      <c r="AM7" s="63"/>
      <c r="AN7" s="63"/>
    </row>
    <row r="8" outlineLevel="1">
      <c r="A8" s="389" t="e">
        <f>'[1]Compte résultat prévi'!A7</f>
        <v>#REF!</v>
      </c>
      <c r="B8" s="390" t="e">
        <f>IF('[1]Hypotheses expl (2)'!$P$10="0j",'[1]Hypotheses expl (2)'!C10,IF('[1]Hypotheses expl (2)'!$P$10="30j",'[1]Hypotheses expl (2)'!B10,'[1]Hypotheses expl (2)'!A10))</f>
        <v>#REF!</v>
      </c>
      <c r="C8" s="390" t="e">
        <f>IF('[1]Hypotheses expl (2)'!$P$10="0j",'[1]Hypotheses expl (2)'!D10,IF('[1]Hypotheses expl (2)'!$P$10="30j",'[1]Hypotheses expl (2)'!C10,'[1]Hypotheses expl (2)'!B10))</f>
        <v>#REF!</v>
      </c>
      <c r="D8" s="390" t="e">
        <f>IF('[1]Hypotheses expl (2)'!$P$10="0j",'[1]Hypotheses expl (2)'!E10,IF('[1]Hypotheses expl (2)'!$P$10="30j",'[1]Hypotheses expl (2)'!D10,'[1]Hypotheses expl (2)'!C10))</f>
        <v>#REF!</v>
      </c>
      <c r="E8" s="390" t="e">
        <f>IF('[1]Hypotheses expl (2)'!$P$10="0j",'[1]Hypotheses expl (2)'!F10,IF('[1]Hypotheses expl (2)'!$P$10="30j",'[1]Hypotheses expl (2)'!E10,'[1]Hypotheses expl (2)'!D10))</f>
        <v>#REF!</v>
      </c>
      <c r="F8" s="390" t="e">
        <f>IF('[1]Hypotheses expl (2)'!$P$10="0j",'[1]Hypotheses expl (2)'!G10,IF('[1]Hypotheses expl (2)'!$P$10="30j",'[1]Hypotheses expl (2)'!F10,'[1]Hypotheses expl (2)'!E10))</f>
        <v>#REF!</v>
      </c>
      <c r="G8" s="390" t="e">
        <f>IF('[1]Hypotheses expl (2)'!$P$10="0j",'[1]Hypotheses expl (2)'!H10,IF('[1]Hypotheses expl (2)'!$P$10="30j",'[1]Hypotheses expl (2)'!G10,'[1]Hypotheses expl (2)'!F10))</f>
        <v>#REF!</v>
      </c>
      <c r="H8" s="390" t="e">
        <f>IF('[1]Hypotheses expl (2)'!$P$10="0j",'[1]Hypotheses expl (2)'!I10,IF('[1]Hypotheses expl (2)'!$P$10="30j",'[1]Hypotheses expl (2)'!H10,'[1]Hypotheses expl (2)'!G10))</f>
        <v>#REF!</v>
      </c>
      <c r="I8" s="390">
        <v>15000</v>
      </c>
      <c r="J8" s="390">
        <v>30000</v>
      </c>
      <c r="K8" s="390">
        <v>25000</v>
      </c>
      <c r="L8" s="390">
        <v>0</v>
      </c>
      <c r="M8" s="390" t="e">
        <f>IF('[1]Hypotheses expl (2)'!$P$10="0j",'[1]Hypotheses expl (2)'!N10,IF('[1]Hypotheses expl (2)'!$P$10="30j",'[1]Hypotheses expl (2)'!M10,'[1]Hypotheses expl (2)'!L10))</f>
        <v>#REF!</v>
      </c>
      <c r="N8" s="274"/>
    </row>
    <row r="9" outlineLevel="1">
      <c r="A9" s="389" t="e">
        <f>'[1]Compte résultat prévi'!A8</f>
        <v>#REF!</v>
      </c>
      <c r="B9" s="390" t="e">
        <f>IF('[1]Hypotheses expl (2)'!$P$14="0j",'[1]Hypotheses expl (2)'!C14,IF('[1]Hypotheses expl (2)'!$P$14="30j",'[1]Hypotheses expl (2)'!B14,'[1]Hypotheses expl (2)'!A14))</f>
        <v>#REF!</v>
      </c>
      <c r="C9" s="390" t="e">
        <f>IF('[1]Hypotheses expl (2)'!$P$14="0j",'[1]Hypotheses expl (2)'!D14,IF('[1]Hypotheses expl (2)'!$P$14="30j",'[1]Hypotheses expl (2)'!C14,'[1]Hypotheses expl (2)'!B14))</f>
        <v>#REF!</v>
      </c>
      <c r="D9" s="390" t="e">
        <f>IF('[1]Hypotheses expl (2)'!$P$14="0j",'[1]Hypotheses expl (2)'!E14,IF('[1]Hypotheses expl (2)'!$P$14="30j",'[1]Hypotheses expl (2)'!D14,'[1]Hypotheses expl (2)'!C14))</f>
        <v>#REF!</v>
      </c>
      <c r="E9" s="390" t="e">
        <f>IF('[1]Hypotheses expl (2)'!$P$14="0j",'[1]Hypotheses expl (2)'!F14,IF('[1]Hypotheses expl (2)'!$P$14="30j",'[1]Hypotheses expl (2)'!E14,'[1]Hypotheses expl (2)'!D14))</f>
        <v>#REF!</v>
      </c>
      <c r="F9" s="390" t="e">
        <f>IF('[1]Hypotheses expl (2)'!$P$14="0j",'[1]Hypotheses expl (2)'!G14,IF('[1]Hypotheses expl (2)'!$P$14="30j",'[1]Hypotheses expl (2)'!F14,'[1]Hypotheses expl (2)'!E14))</f>
        <v>#REF!</v>
      </c>
      <c r="G9" s="390" t="e">
        <f>IF('[1]Hypotheses expl (2)'!$P$14="0j",'[1]Hypotheses expl (2)'!H14,IF('[1]Hypotheses expl (2)'!$P$14="30j",'[1]Hypotheses expl (2)'!G14,'[1]Hypotheses expl (2)'!F14))</f>
        <v>#REF!</v>
      </c>
      <c r="H9" s="390" t="e">
        <f>IF('[1]Hypotheses expl (2)'!$P$14="0j",'[1]Hypotheses expl (2)'!I14,IF('[1]Hypotheses expl (2)'!$P$14="30j",'[1]Hypotheses expl (2)'!H14,'[1]Hypotheses expl (2)'!G14))</f>
        <v>#REF!</v>
      </c>
      <c r="I9" s="390" t="e">
        <f>IF('[1]Hypotheses expl (2)'!$P$14="0j",'[1]Hypotheses expl (2)'!J14,IF('[1]Hypotheses expl (2)'!$P$14="30j",'[1]Hypotheses expl (2)'!I14,'[1]Hypotheses expl (2)'!H14))</f>
        <v>#REF!</v>
      </c>
      <c r="J9" s="390" t="e">
        <f>IF('[1]Hypotheses expl (2)'!$P$14="0j",'[1]Hypotheses expl (2)'!K14,IF('[1]Hypotheses expl (2)'!$P$14="30j",'[1]Hypotheses expl (2)'!J14,'[1]Hypotheses expl (2)'!I14))</f>
        <v>#REF!</v>
      </c>
      <c r="K9" s="390" t="e">
        <f>IF('[1]Hypotheses expl (2)'!$P$14="0j",'[1]Hypotheses expl (2)'!L14,IF('[1]Hypotheses expl (2)'!$P$14="30j",'[1]Hypotheses expl (2)'!K14,'[1]Hypotheses expl (2)'!J14))</f>
        <v>#REF!</v>
      </c>
      <c r="L9" s="390" t="e">
        <f>IF('[1]Hypotheses expl (2)'!$P$14="0j",'[1]Hypotheses expl (2)'!M14,IF('[1]Hypotheses expl (2)'!$P$14="30j",'[1]Hypotheses expl (2)'!L14,'[1]Hypotheses expl (2)'!K14))</f>
        <v>#REF!</v>
      </c>
      <c r="M9" s="390" t="e">
        <f>IF('[1]Hypotheses expl (2)'!$P$14="0j",'[1]Hypotheses expl (2)'!N14,IF('[1]Hypotheses expl (2)'!$P$14="30j",'[1]Hypotheses expl (2)'!M14,'[1]Hypotheses expl (2)'!L14))</f>
        <v>#REF!</v>
      </c>
      <c r="N9" s="274"/>
    </row>
    <row r="10" outlineLevel="1">
      <c r="A10" s="389" t="e">
        <f>'[1]Compte résultat prévi'!A9</f>
        <v>#REF!</v>
      </c>
      <c r="B10" s="390">
        <f>29948+5280</f>
        <v>35228</v>
      </c>
      <c r="C10" s="390" t="e">
        <f>IF('[1]Hypotheses expl (2)'!$P$18="0j",'[1]Hypotheses expl (2)'!D18,IF('[1]Hypotheses expl (2)'!$P$18="30j",'[1]Hypotheses expl (2)'!C18,'[1]Hypotheses expl (2)'!B18))</f>
        <v>#REF!</v>
      </c>
      <c r="D10" s="390" t="e">
        <f>IF('[1]Hypotheses expl (2)'!$P$18="0j",'[1]Hypotheses expl (2)'!E18,IF('[1]Hypotheses expl (2)'!$P$18="30j",'[1]Hypotheses expl (2)'!D18,'[1]Hypotheses expl (2)'!C18))</f>
        <v>#REF!</v>
      </c>
      <c r="E10" s="390" t="e">
        <f>IF('[1]Hypotheses expl (2)'!$P$18="0j",'[1]Hypotheses expl (2)'!F18,IF('[1]Hypotheses expl (2)'!$P$18="30j",'[1]Hypotheses expl (2)'!E18,'[1]Hypotheses expl (2)'!D18))</f>
        <v>#REF!</v>
      </c>
      <c r="F10" s="390" t="e">
        <f>IF('[1]Hypotheses expl (2)'!$P$18="0j",'[1]Hypotheses expl (2)'!G18,IF('[1]Hypotheses expl (2)'!$P$18="30j",'[1]Hypotheses expl (2)'!F18,'[1]Hypotheses expl (2)'!E18))</f>
        <v>#REF!</v>
      </c>
      <c r="G10" s="390" t="e">
        <f>IF('[1]Hypotheses expl (2)'!$P$18="0j",'[1]Hypotheses expl (2)'!H18,IF('[1]Hypotheses expl (2)'!$P$18="30j",'[1]Hypotheses expl (2)'!G18,'[1]Hypotheses expl (2)'!F18))</f>
        <v>#REF!</v>
      </c>
      <c r="H10" s="390" t="e">
        <f>IF('[1]Hypotheses expl (2)'!$P$18="0j",'[1]Hypotheses expl (2)'!I18,IF('[1]Hypotheses expl (2)'!$P$18="30j",'[1]Hypotheses expl (2)'!H18,'[1]Hypotheses expl (2)'!G18))</f>
        <v>#REF!</v>
      </c>
      <c r="I10" s="390" t="e">
        <f>IF('[1]Hypotheses expl (2)'!$P$18="0j",'[1]Hypotheses expl (2)'!J18,IF('[1]Hypotheses expl (2)'!$P$18="30j",'[1]Hypotheses expl (2)'!I18,'[1]Hypotheses expl (2)'!H18))</f>
        <v>#REF!</v>
      </c>
      <c r="J10" s="390" t="e">
        <f>IF('[1]Hypotheses expl (2)'!$P$18="0j",'[1]Hypotheses expl (2)'!K18,IF('[1]Hypotheses expl (2)'!$P$18="30j",'[1]Hypotheses expl (2)'!J18,'[1]Hypotheses expl (2)'!I18))</f>
        <v>#REF!</v>
      </c>
      <c r="K10" s="390">
        <v>10000</v>
      </c>
      <c r="L10" s="390" t="e">
        <f>IF('[1]Hypotheses expl (2)'!$P$18="0j",'[1]Hypotheses expl (2)'!M18,IF('[1]Hypotheses expl (2)'!$P$18="30j",'[1]Hypotheses expl (2)'!L18,'[1]Hypotheses expl (2)'!K18))</f>
        <v>#REF!</v>
      </c>
      <c r="M10" s="390">
        <v>50000</v>
      </c>
      <c r="N10" s="274"/>
    </row>
    <row r="11" outlineLevel="1">
      <c r="A11" s="389" t="e">
        <f>'[1]Compte résultat prévi'!A10</f>
        <v>#REF!</v>
      </c>
      <c r="B11" s="390" t="e">
        <f>IF('[1]Hypotheses expl (2)'!$P$22="0j",'[1]Hypotheses expl (2)'!C22,IF('[1]Hypotheses expl (2)'!$P$22="30j",'[1]Hypotheses expl (2)'!B22,'[1]Hypotheses expl (2)'!A22))</f>
        <v>#REF!</v>
      </c>
      <c r="C11" s="390" t="e">
        <f>IF('[1]Hypotheses expl (2)'!$P$22="0j",'[1]Hypotheses expl (2)'!D22,IF('[1]Hypotheses expl (2)'!$P$22="30j",'[1]Hypotheses expl (2)'!C22,'[1]Hypotheses expl (2)'!B22))</f>
        <v>#REF!</v>
      </c>
      <c r="D11" s="390" t="e">
        <f>IF('[1]Hypotheses expl (2)'!$P$22="0j",'[1]Hypotheses expl (2)'!E22,IF('[1]Hypotheses expl (2)'!$P$22="30j",'[1]Hypotheses expl (2)'!D22,'[1]Hypotheses expl (2)'!C22))</f>
        <v>#REF!</v>
      </c>
      <c r="E11" s="390" t="e">
        <f>IF('[1]Hypotheses expl (2)'!$P$22="0j",'[1]Hypotheses expl (2)'!F22,IF('[1]Hypotheses expl (2)'!$P$22="30j",'[1]Hypotheses expl (2)'!E22,'[1]Hypotheses expl (2)'!D22))</f>
        <v>#REF!</v>
      </c>
      <c r="F11" s="390" t="e">
        <f>IF('[1]Hypotheses expl (2)'!$P$22="0j",'[1]Hypotheses expl (2)'!G22,IF('[1]Hypotheses expl (2)'!$P$22="30j",'[1]Hypotheses expl (2)'!F22,'[1]Hypotheses expl (2)'!E22))</f>
        <v>#REF!</v>
      </c>
      <c r="G11" s="390" t="e">
        <f>IF('[1]Hypotheses expl (2)'!$P$22="0j",'[1]Hypotheses expl (2)'!H22,IF('[1]Hypotheses expl (2)'!$P$22="30j",'[1]Hypotheses expl (2)'!G22,'[1]Hypotheses expl (2)'!F22))</f>
        <v>#REF!</v>
      </c>
      <c r="H11" s="390" t="e">
        <f>IF('[1]Hypotheses expl (2)'!$P$22="0j",'[1]Hypotheses expl (2)'!I22,IF('[1]Hypotheses expl (2)'!$P$22="30j",'[1]Hypotheses expl (2)'!H22,'[1]Hypotheses expl (2)'!G22))</f>
        <v>#REF!</v>
      </c>
      <c r="I11" s="390" t="e">
        <f>IF('[1]Hypotheses expl (2)'!$P$22="0j",'[1]Hypotheses expl (2)'!J22,IF('[1]Hypotheses expl (2)'!$P$22="30j",'[1]Hypotheses expl (2)'!I22,'[1]Hypotheses expl (2)'!H22))</f>
        <v>#REF!</v>
      </c>
      <c r="J11" s="390" t="e">
        <f>IF('[1]Hypotheses expl (2)'!$P$22="0j",'[1]Hypotheses expl (2)'!K22,IF('[1]Hypotheses expl (2)'!$P$22="30j",'[1]Hypotheses expl (2)'!J22,'[1]Hypotheses expl (2)'!I22))</f>
        <v>#REF!</v>
      </c>
      <c r="K11" s="390" t="e">
        <f>IF('[1]Hypotheses expl (2)'!$P$22="0j",'[1]Hypotheses expl (2)'!L22,IF('[1]Hypotheses expl (2)'!$P$22="30j",'[1]Hypotheses expl (2)'!K22,'[1]Hypotheses expl (2)'!J22))</f>
        <v>#REF!</v>
      </c>
      <c r="L11" s="390" t="e">
        <f>IF('[1]Hypotheses expl (2)'!$P$22="0j",'[1]Hypotheses expl (2)'!M22,IF('[1]Hypotheses expl (2)'!$P$22="30j",'[1]Hypotheses expl (2)'!L22,'[1]Hypotheses expl (2)'!K22))</f>
        <v>#REF!</v>
      </c>
      <c r="M11" s="390" t="e">
        <f>IF('[1]Hypotheses expl (2)'!$P$22="0j",'[1]Hypotheses expl (2)'!N22,IF('[1]Hypotheses expl (2)'!$P$22="30j",'[1]Hypotheses expl (2)'!M22,'[1]Hypotheses expl (2)'!L22))</f>
        <v>#REF!</v>
      </c>
      <c r="N11" s="274"/>
    </row>
    <row r="12" outlineLevel="1">
      <c r="A12" s="389" t="e">
        <f>'[1]Compte résultat prévi'!A11</f>
        <v>#REF!</v>
      </c>
      <c r="B12" s="390" t="e">
        <f>IF('[1]Hypotheses expl (2)'!$P$26="0j",'[1]Hypotheses expl (2)'!C26,IF('[1]Hypotheses expl (2)'!$P$26="30j",'[1]Hypotheses expl (2)'!B26,'[1]Hypotheses expl (2)'!A26))</f>
        <v>#REF!</v>
      </c>
      <c r="C12" s="390"/>
      <c r="D12" s="390">
        <v>18191</v>
      </c>
      <c r="E12" s="390" t="e">
        <f>IF('[1]Hypotheses expl (2)'!$P$26="0j",'[1]Hypotheses expl (2)'!F26,IF('[1]Hypotheses expl (2)'!$P$26="30j",'[1]Hypotheses expl (2)'!E26,'[1]Hypotheses expl (2)'!D26))</f>
        <v>#REF!</v>
      </c>
      <c r="F12" s="390" t="e">
        <f>IF('[1]Hypotheses expl (2)'!$P$26="0j",'[1]Hypotheses expl (2)'!G26,IF('[1]Hypotheses expl (2)'!$P$26="30j",'[1]Hypotheses expl (2)'!F26,'[1]Hypotheses expl (2)'!E26))</f>
        <v>#REF!</v>
      </c>
      <c r="G12" s="390" t="e">
        <f>IF('[1]Hypotheses expl (2)'!$P$26="0j",'[1]Hypotheses expl (2)'!H26,IF('[1]Hypotheses expl (2)'!$P$26="30j",'[1]Hypotheses expl (2)'!G26,'[1]Hypotheses expl (2)'!F26))</f>
        <v>#REF!</v>
      </c>
      <c r="H12" s="390" t="e">
        <f>IF('[1]Hypotheses expl (2)'!$P$26="0j",'[1]Hypotheses expl (2)'!I26,IF('[1]Hypotheses expl (2)'!$P$26="30j",'[1]Hypotheses expl (2)'!H26,'[1]Hypotheses expl (2)'!G26))</f>
        <v>#REF!</v>
      </c>
      <c r="I12" s="390" t="e">
        <f>IF('[1]Hypotheses expl (2)'!$P$26="0j",'[1]Hypotheses expl (2)'!J26,IF('[1]Hypotheses expl (2)'!$P$26="30j",'[1]Hypotheses expl (2)'!I26,'[1]Hypotheses expl (2)'!H26))</f>
        <v>#REF!</v>
      </c>
      <c r="J12" s="390" t="e">
        <f>IF('[1]Hypotheses expl (2)'!$P$26="0j",'[1]Hypotheses expl (2)'!K26,IF('[1]Hypotheses expl (2)'!$P$26="30j",'[1]Hypotheses expl (2)'!J26,'[1]Hypotheses expl (2)'!I26))</f>
        <v>#REF!</v>
      </c>
      <c r="K12" s="390">
        <v>88000</v>
      </c>
      <c r="L12" s="390" t="e">
        <f>IF('[1]Hypotheses expl (2)'!$P$26="0j",'[1]Hypotheses expl (2)'!M26,IF('[1]Hypotheses expl (2)'!$P$26="30j",'[1]Hypotheses expl (2)'!L26,'[1]Hypotheses expl (2)'!K26))</f>
        <v>#REF!</v>
      </c>
      <c r="M12" s="390">
        <v>40000</v>
      </c>
      <c r="N12" s="274"/>
    </row>
    <row r="13" outlineLevel="1">
      <c r="A13" s="389" t="e">
        <f>'[1]Compte résultat prévi'!A12</f>
        <v>#REF!</v>
      </c>
      <c r="B13" s="390" t="e">
        <f>IF('[1]Hypotheses expl (2)'!$P$30="0j",'[1]Hypotheses expl (2)'!C30,IF('[1]Hypotheses expl (2)'!$P$30="30j",'[1]Hypotheses expl (2)'!B30,'[1]Hypotheses expl (2)'!A30))</f>
        <v>#REF!</v>
      </c>
      <c r="C13" s="390" t="e">
        <f>IF('[1]Hypotheses expl (2)'!$P$30="0j",'[1]Hypotheses expl (2)'!D30,IF('[1]Hypotheses expl (2)'!$P$30="30j",'[1]Hypotheses expl (2)'!C30,'[1]Hypotheses expl (2)'!B30))</f>
        <v>#REF!</v>
      </c>
      <c r="D13" s="390" t="e">
        <f>IF('[1]Hypotheses expl (2)'!$P$30="0j",'[1]Hypotheses expl (2)'!E30,IF('[1]Hypotheses expl (2)'!$P$30="30j",'[1]Hypotheses expl (2)'!D30,'[1]Hypotheses expl (2)'!C30))</f>
        <v>#REF!</v>
      </c>
      <c r="E13" s="390" t="e">
        <f>IF('[1]Hypotheses expl (2)'!$P$30="0j",'[1]Hypotheses expl (2)'!F30,IF('[1]Hypotheses expl (2)'!$P$30="30j",'[1]Hypotheses expl (2)'!E30,'[1]Hypotheses expl (2)'!D30))</f>
        <v>#REF!</v>
      </c>
      <c r="F13" s="390" t="e">
        <f>IF('[1]Hypotheses expl (2)'!$P$30="0j",'[1]Hypotheses expl (2)'!G30,IF('[1]Hypotheses expl (2)'!$P$30="30j",'[1]Hypotheses expl (2)'!F30,'[1]Hypotheses expl (2)'!E30))</f>
        <v>#REF!</v>
      </c>
      <c r="G13" s="390" t="e">
        <f>IF('[1]Hypotheses expl (2)'!$P$30="0j",'[1]Hypotheses expl (2)'!H30,IF('[1]Hypotheses expl (2)'!$P$30="30j",'[1]Hypotheses expl (2)'!G30,'[1]Hypotheses expl (2)'!F30))</f>
        <v>#REF!</v>
      </c>
      <c r="H13" s="390" t="e">
        <f>IF('[1]Hypotheses expl (2)'!$P$30="0j",'[1]Hypotheses expl (2)'!I30,IF('[1]Hypotheses expl (2)'!$P$30="30j",'[1]Hypotheses expl (2)'!H30,'[1]Hypotheses expl (2)'!G30))</f>
        <v>#REF!</v>
      </c>
      <c r="I13" s="390" t="e">
        <f>IF('[1]Hypotheses expl (2)'!$P$30="0j",'[1]Hypotheses expl (2)'!J30,IF('[1]Hypotheses expl (2)'!$P$30="30j",'[1]Hypotheses expl (2)'!I30,'[1]Hypotheses expl (2)'!H30))</f>
        <v>#REF!</v>
      </c>
      <c r="J13" s="390" t="e">
        <f>IF('[1]Hypotheses expl (2)'!$P$30="0j",'[1]Hypotheses expl (2)'!K30,IF('[1]Hypotheses expl (2)'!$P$30="30j",'[1]Hypotheses expl (2)'!J30,'[1]Hypotheses expl (2)'!I30))</f>
        <v>#REF!</v>
      </c>
      <c r="K13" s="390" t="e">
        <f>IF('[1]Hypotheses expl (2)'!$P$30="0j",'[1]Hypotheses expl (2)'!L30,IF('[1]Hypotheses expl (2)'!$P$30="30j",'[1]Hypotheses expl (2)'!K30,'[1]Hypotheses expl (2)'!J30))</f>
        <v>#REF!</v>
      </c>
      <c r="L13" s="390">
        <v>32187</v>
      </c>
      <c r="M13" s="390"/>
      <c r="N13" s="274"/>
    </row>
    <row r="14" outlineLevel="1">
      <c r="A14" s="389" t="e">
        <f>'[1]Compte résultat prévi'!A13</f>
        <v>#REF!</v>
      </c>
      <c r="B14" s="390" t="e">
        <f>IF('[1]Hypotheses expl (2)'!$P$34="0j",'[1]Hypotheses expl (2)'!C34,IF('[1]Hypotheses expl (2)'!$P$34="30j",'[1]Hypotheses expl (2)'!B34,'[1]Hypotheses expl (2)'!A34))</f>
        <v>#REF!</v>
      </c>
      <c r="C14" s="390" t="e">
        <f>IF('[1]Hypotheses expl (2)'!$P$34="0j",'[1]Hypotheses expl (2)'!D34,IF('[1]Hypotheses expl (2)'!$P$34="30j",'[1]Hypotheses expl (2)'!C34,'[1]Hypotheses expl (2)'!B34))</f>
        <v>#REF!</v>
      </c>
      <c r="D14" s="390" t="e">
        <f>IF('[1]Hypotheses expl (2)'!$P$34="0j",'[1]Hypotheses expl (2)'!E34,IF('[1]Hypotheses expl (2)'!$P$34="30j",'[1]Hypotheses expl (2)'!D34,'[1]Hypotheses expl (2)'!C34))</f>
        <v>#REF!</v>
      </c>
      <c r="E14" s="390" t="e">
        <f>IF('[1]Hypotheses expl (2)'!$P$34="0j",'[1]Hypotheses expl (2)'!F34,IF('[1]Hypotheses expl (2)'!$P$34="30j",'[1]Hypotheses expl (2)'!E34,'[1]Hypotheses expl (2)'!D34))</f>
        <v>#REF!</v>
      </c>
      <c r="F14" s="390">
        <v>30000</v>
      </c>
      <c r="G14" s="390" t="e">
        <f>IF('[1]Hypotheses expl (2)'!$P$34="0j",'[1]Hypotheses expl (2)'!H34,IF('[1]Hypotheses expl (2)'!$P$34="30j",'[1]Hypotheses expl (2)'!G34,'[1]Hypotheses expl (2)'!F34))</f>
        <v>#REF!</v>
      </c>
      <c r="H14" s="390" t="e">
        <f>IF('[1]Hypotheses expl (2)'!$P$34="0j",'[1]Hypotheses expl (2)'!I34,IF('[1]Hypotheses expl (2)'!$P$34="30j",'[1]Hypotheses expl (2)'!H34,'[1]Hypotheses expl (2)'!G34))</f>
        <v>#REF!</v>
      </c>
      <c r="I14" s="390">
        <v>30000</v>
      </c>
      <c r="J14" s="390" t="e">
        <f>IF('[1]Hypotheses expl (2)'!$P$34="0j",'[1]Hypotheses expl (2)'!K34,IF('[1]Hypotheses expl (2)'!$P$34="30j",'[1]Hypotheses expl (2)'!J34,'[1]Hypotheses expl (2)'!I34))</f>
        <v>#REF!</v>
      </c>
      <c r="K14" s="390">
        <v>7200</v>
      </c>
      <c r="L14" s="390">
        <v>6300</v>
      </c>
      <c r="M14" s="390">
        <v>10000</v>
      </c>
      <c r="N14" s="274"/>
      <c r="O14" s="274"/>
    </row>
    <row r="15" outlineLevel="1">
      <c r="A15" s="389" t="e">
        <f>'[1]Compte résultat prévi'!A14</f>
        <v>#REF!</v>
      </c>
      <c r="B15" s="390" t="e">
        <f>IF('[1]Hypotheses expl (2)'!$P$38="0j",'[1]Hypotheses expl (2)'!C38,IF('[1]Hypotheses expl (2)'!$P$38="30j",'[1]Hypotheses expl (2)'!B38,'[1]Hypotheses expl (2)'!A38))</f>
        <v>#REF!</v>
      </c>
      <c r="C15" s="390" t="e">
        <f>IF('[1]Hypotheses expl (2)'!$P$38="0j",'[1]Hypotheses expl (2)'!D38,IF('[1]Hypotheses expl (2)'!$P$38="30j",'[1]Hypotheses expl (2)'!C38,'[1]Hypotheses expl (2)'!B38))</f>
        <v>#REF!</v>
      </c>
      <c r="D15" s="390" t="e">
        <f>IF('[1]Hypotheses expl (2)'!$P$38="0j",'[1]Hypotheses expl (2)'!E38,IF('[1]Hypotheses expl (2)'!$P$38="30j",'[1]Hypotheses expl (2)'!D38,'[1]Hypotheses expl (2)'!C38))</f>
        <v>#REF!</v>
      </c>
      <c r="E15" s="390" t="e">
        <f>IF('[1]Hypotheses expl (2)'!$P$38="0j",'[1]Hypotheses expl (2)'!F38,IF('[1]Hypotheses expl (2)'!$P$38="30j",'[1]Hypotheses expl (2)'!E38,'[1]Hypotheses expl (2)'!D38))</f>
        <v>#REF!</v>
      </c>
      <c r="F15" s="390" t="e">
        <f>IF('[1]Hypotheses expl (2)'!$P$38="0j",'[1]Hypotheses expl (2)'!G38,IF('[1]Hypotheses expl (2)'!$P$38="30j",'[1]Hypotheses expl (2)'!F38,'[1]Hypotheses expl (2)'!E38))</f>
        <v>#REF!</v>
      </c>
      <c r="G15" s="390" t="e">
        <f>IF('[1]Hypotheses expl (2)'!$P$38="0j",'[1]Hypotheses expl (2)'!H38,IF('[1]Hypotheses expl (2)'!$P$38="30j",'[1]Hypotheses expl (2)'!G38,'[1]Hypotheses expl (2)'!F38))</f>
        <v>#REF!</v>
      </c>
      <c r="H15" s="390" t="e">
        <f>IF('[1]Hypotheses expl (2)'!$P$38="0j",'[1]Hypotheses expl (2)'!I38,IF('[1]Hypotheses expl (2)'!$P$38="30j",'[1]Hypotheses expl (2)'!H38,'[1]Hypotheses expl (2)'!G38))</f>
        <v>#REF!</v>
      </c>
      <c r="I15" s="390" t="e">
        <f>IF('[1]Hypotheses expl (2)'!$P$38="0j",'[1]Hypotheses expl (2)'!J38,IF('[1]Hypotheses expl (2)'!$P$38="30j",'[1]Hypotheses expl (2)'!I38,'[1]Hypotheses expl (2)'!H38))</f>
        <v>#REF!</v>
      </c>
      <c r="J15" s="390" t="e">
        <f>IF('[1]Hypotheses expl (2)'!$P$38="0j",'[1]Hypotheses expl (2)'!K38,IF('[1]Hypotheses expl (2)'!$P$38="30j",'[1]Hypotheses expl (2)'!J38,'[1]Hypotheses expl (2)'!I38))</f>
        <v>#REF!</v>
      </c>
      <c r="K15" s="390" t="e">
        <f>IF('[1]Hypotheses expl (2)'!$P$38="0j",'[1]Hypotheses expl (2)'!L38,IF('[1]Hypotheses expl (2)'!$P$38="30j",'[1]Hypotheses expl (2)'!K38,'[1]Hypotheses expl (2)'!J38))</f>
        <v>#REF!</v>
      </c>
      <c r="L15" s="390" t="e">
        <f>IF('[1]Hypotheses expl (2)'!$P$38="0j",'[1]Hypotheses expl (2)'!M38,IF('[1]Hypotheses expl (2)'!$P$38="30j",'[1]Hypotheses expl (2)'!L38,'[1]Hypotheses expl (2)'!K38))</f>
        <v>#REF!</v>
      </c>
      <c r="M15" s="390">
        <v>5000</v>
      </c>
      <c r="N15" s="274"/>
    </row>
    <row r="16" outlineLevel="1">
      <c r="A16" s="389" t="e">
        <f>'[1]Compte résultat prévi'!A15</f>
        <v>#REF!</v>
      </c>
      <c r="B16" s="390" t="e">
        <f>IF('[1]Hypotheses expl (2)'!$P$42="0j",'[1]Hypotheses expl (2)'!C42,IF('[1]Hypotheses expl (2)'!$P$42="30j",'[1]Hypotheses expl (2)'!B42,'[1]Hypotheses expl (2)'!A42))</f>
        <v>#REF!</v>
      </c>
      <c r="C16" s="390" t="e">
        <f>IF('[1]Hypotheses expl (2)'!$P$42="0j",'[1]Hypotheses expl (2)'!D42,IF('[1]Hypotheses expl (2)'!$P$42="30j",'[1]Hypotheses expl (2)'!C42,'[1]Hypotheses expl (2)'!B42))</f>
        <v>#REF!</v>
      </c>
      <c r="D16" s="390" t="e">
        <f>IF('[1]Hypotheses expl (2)'!$P$42="0j",'[1]Hypotheses expl (2)'!E42,IF('[1]Hypotheses expl (2)'!$P$42="30j",'[1]Hypotheses expl (2)'!D42,'[1]Hypotheses expl (2)'!C42))</f>
        <v>#REF!</v>
      </c>
      <c r="E16" s="390" t="e">
        <f>IF('[1]Hypotheses expl (2)'!$P$42="0j",'[1]Hypotheses expl (2)'!F42,IF('[1]Hypotheses expl (2)'!$P$42="30j",'[1]Hypotheses expl (2)'!E42,'[1]Hypotheses expl (2)'!D42))</f>
        <v>#REF!</v>
      </c>
      <c r="F16" s="390" t="e">
        <f>IF('[1]Hypotheses expl (2)'!$P$42="0j",'[1]Hypotheses expl (2)'!G42,IF('[1]Hypotheses expl (2)'!$P$42="30j",'[1]Hypotheses expl (2)'!F42,'[1]Hypotheses expl (2)'!E42))</f>
        <v>#REF!</v>
      </c>
      <c r="G16" s="390" t="e">
        <f>IF('[1]Hypotheses expl (2)'!$P$42="0j",'[1]Hypotheses expl (2)'!H42,IF('[1]Hypotheses expl (2)'!$P$42="30j",'[1]Hypotheses expl (2)'!G42,'[1]Hypotheses expl (2)'!F42))</f>
        <v>#REF!</v>
      </c>
      <c r="H16" s="390" t="e">
        <f>IF('[1]Hypotheses expl (2)'!$P$42="0j",'[1]Hypotheses expl (2)'!I42,IF('[1]Hypotheses expl (2)'!$P$42="30j",'[1]Hypotheses expl (2)'!H42,'[1]Hypotheses expl (2)'!G42))</f>
        <v>#REF!</v>
      </c>
      <c r="I16" s="390" t="e">
        <f>IF('[1]Hypotheses expl (2)'!$P$42="0j",'[1]Hypotheses expl (2)'!J42,IF('[1]Hypotheses expl (2)'!$P$42="30j",'[1]Hypotheses expl (2)'!I42,'[1]Hypotheses expl (2)'!H42))</f>
        <v>#REF!</v>
      </c>
      <c r="J16" s="390" t="e">
        <f>IF('[1]Hypotheses expl (2)'!$P$42="0j",'[1]Hypotheses expl (2)'!K42,IF('[1]Hypotheses expl (2)'!$P$42="30j",'[1]Hypotheses expl (2)'!J42,'[1]Hypotheses expl (2)'!I42))</f>
        <v>#REF!</v>
      </c>
      <c r="K16" s="390" t="e">
        <f>IF('[1]Hypotheses expl (2)'!$P$42="0j",'[1]Hypotheses expl (2)'!L42,IF('[1]Hypotheses expl (2)'!$P$42="30j",'[1]Hypotheses expl (2)'!K42,'[1]Hypotheses expl (2)'!J42))</f>
        <v>#REF!</v>
      </c>
      <c r="L16" s="390" t="e">
        <f>IF('[1]Hypotheses expl (2)'!$P$42="0j",'[1]Hypotheses expl (2)'!M42,IF('[1]Hypotheses expl (2)'!$P$42="30j",'[1]Hypotheses expl (2)'!L42,'[1]Hypotheses expl (2)'!K42))</f>
        <v>#REF!</v>
      </c>
      <c r="M16" s="390" t="e">
        <f>IF('[1]Hypotheses expl (2)'!$P$42="0j",'[1]Hypotheses expl (2)'!N42,IF('[1]Hypotheses expl (2)'!$P$42="30j",'[1]Hypotheses expl (2)'!M42,'[1]Hypotheses expl (2)'!L42))</f>
        <v>#REF!</v>
      </c>
      <c r="N16" s="274"/>
    </row>
    <row r="17" outlineLevel="1">
      <c r="A17" s="389" t="e">
        <f>'[1]Compte résultat prévi'!A16</f>
        <v>#REF!</v>
      </c>
      <c r="B17" s="390" t="e">
        <f>IF('[1]Hypotheses expl (2)'!$P$46="0j",'[1]Hypotheses expl (2)'!C46,IF('[1]Hypotheses expl (2)'!$P$46="30j",'[1]Hypotheses expl (2)'!B46,'[1]Hypotheses expl (2)'!A46))</f>
        <v>#REF!</v>
      </c>
      <c r="C17" s="390" t="e">
        <f>IF('[1]Hypotheses expl (2)'!$P$46="0j",'[1]Hypotheses expl (2)'!D46,IF('[1]Hypotheses expl (2)'!$P$46="30j",'[1]Hypotheses expl (2)'!C46,'[1]Hypotheses expl (2)'!B46))</f>
        <v>#REF!</v>
      </c>
      <c r="D17" s="390" t="e">
        <f>IF('[1]Hypotheses expl (2)'!$P$46="0j",'[1]Hypotheses expl (2)'!E46,IF('[1]Hypotheses expl (2)'!$P$46="30j",'[1]Hypotheses expl (2)'!D46,'[1]Hypotheses expl (2)'!C46))</f>
        <v>#REF!</v>
      </c>
      <c r="E17" s="390" t="e">
        <f>IF('[1]Hypotheses expl (2)'!$P$46="0j",'[1]Hypotheses expl (2)'!F46,IF('[1]Hypotheses expl (2)'!$P$46="30j",'[1]Hypotheses expl (2)'!E46,'[1]Hypotheses expl (2)'!D46))</f>
        <v>#REF!</v>
      </c>
      <c r="F17" s="390" t="e">
        <f>IF('[1]Hypotheses expl (2)'!$P$46="0j",'[1]Hypotheses expl (2)'!G46,IF('[1]Hypotheses expl (2)'!$P$46="30j",'[1]Hypotheses expl (2)'!F46,'[1]Hypotheses expl (2)'!E46))</f>
        <v>#REF!</v>
      </c>
      <c r="G17" s="390" t="e">
        <f>IF('[1]Hypotheses expl (2)'!$P$46="0j",'[1]Hypotheses expl (2)'!H46,IF('[1]Hypotheses expl (2)'!$P$46="30j",'[1]Hypotheses expl (2)'!G46,'[1]Hypotheses expl (2)'!F46))</f>
        <v>#REF!</v>
      </c>
      <c r="H17" s="390" t="e">
        <f>IF('[1]Hypotheses expl (2)'!$P$46="0j",'[1]Hypotheses expl (2)'!I46,IF('[1]Hypotheses expl (2)'!$P$46="30j",'[1]Hypotheses expl (2)'!H46,'[1]Hypotheses expl (2)'!G46))</f>
        <v>#REF!</v>
      </c>
      <c r="I17" s="390" t="e">
        <f>IF('[1]Hypotheses expl (2)'!$P$46="0j",'[1]Hypotheses expl (2)'!J46,IF('[1]Hypotheses expl (2)'!$P$46="30j",'[1]Hypotheses expl (2)'!I46,'[1]Hypotheses expl (2)'!H46))</f>
        <v>#REF!</v>
      </c>
      <c r="J17" s="390" t="e">
        <f>IF('[1]Hypotheses expl (2)'!$P$46="0j",'[1]Hypotheses expl (2)'!K46,IF('[1]Hypotheses expl (2)'!$P$46="30j",'[1]Hypotheses expl (2)'!J46,'[1]Hypotheses expl (2)'!I46))</f>
        <v>#REF!</v>
      </c>
      <c r="K17" s="390" t="e">
        <f>IF('[1]Hypotheses expl (2)'!$P$46="0j",'[1]Hypotheses expl (2)'!L46,IF('[1]Hypotheses expl (2)'!$P$46="30j",'[1]Hypotheses expl (2)'!K46,'[1]Hypotheses expl (2)'!J46))</f>
        <v>#REF!</v>
      </c>
      <c r="L17" s="390" t="e">
        <f>IF('[1]Hypotheses expl (2)'!$P$46="0j",'[1]Hypotheses expl (2)'!M46,IF('[1]Hypotheses expl (2)'!$P$46="30j",'[1]Hypotheses expl (2)'!L46,'[1]Hypotheses expl (2)'!K46))</f>
        <v>#REF!</v>
      </c>
      <c r="M17" s="390" t="e">
        <f>IF('[1]Hypotheses expl (2)'!$P$46="0j",'[1]Hypotheses expl (2)'!N46,IF('[1]Hypotheses expl (2)'!$P$46="30j",'[1]Hypotheses expl (2)'!M46,'[1]Hypotheses expl (2)'!L46))</f>
        <v>#REF!</v>
      </c>
      <c r="N17" s="274"/>
    </row>
    <row r="18" outlineLevel="1">
      <c r="A18" s="389" t="e">
        <f>'[1]Compte résultat prévi'!A17</f>
        <v>#REF!</v>
      </c>
      <c r="B18" s="390" t="e">
        <f>IF('[1]Hypotheses expl (2)'!$P$50="0j",'[1]Hypotheses expl (2)'!C50,IF('[1]Hypotheses expl (2)'!$P$50="30j",'[1]Hypotheses expl (2)'!B50,'[1]Hypotheses expl (2)'!A50))</f>
        <v>#REF!</v>
      </c>
      <c r="C18" s="390" t="e">
        <f>IF('[1]Hypotheses expl (2)'!$P$50="0j",'[1]Hypotheses expl (2)'!D50,IF('[1]Hypotheses expl (2)'!$P$50="30j",'[1]Hypotheses expl (2)'!C50,'[1]Hypotheses expl (2)'!B50))</f>
        <v>#REF!</v>
      </c>
      <c r="D18" s="390" t="e">
        <f>IF('[1]Hypotheses expl (2)'!$P$50="0j",'[1]Hypotheses expl (2)'!E50,IF('[1]Hypotheses expl (2)'!$P$50="30j",'[1]Hypotheses expl (2)'!D50,'[1]Hypotheses expl (2)'!C50))</f>
        <v>#REF!</v>
      </c>
      <c r="E18" s="390" t="e">
        <f>IF('[1]Hypotheses expl (2)'!$P$50="0j",'[1]Hypotheses expl (2)'!F50,IF('[1]Hypotheses expl (2)'!$P$50="30j",'[1]Hypotheses expl (2)'!E50,'[1]Hypotheses expl (2)'!D50))</f>
        <v>#REF!</v>
      </c>
      <c r="F18" s="390" t="e">
        <f>IF('[1]Hypotheses expl (2)'!$P$50="0j",'[1]Hypotheses expl (2)'!G50,IF('[1]Hypotheses expl (2)'!$P$50="30j",'[1]Hypotheses expl (2)'!F50,'[1]Hypotheses expl (2)'!E50))</f>
        <v>#REF!</v>
      </c>
      <c r="G18" s="390" t="e">
        <f>IF('[1]Hypotheses expl (2)'!$P$50="0j",'[1]Hypotheses expl (2)'!H50,IF('[1]Hypotheses expl (2)'!$P$50="30j",'[1]Hypotheses expl (2)'!G50,'[1]Hypotheses expl (2)'!F50))</f>
        <v>#REF!</v>
      </c>
      <c r="H18" s="390" t="e">
        <f>IF('[1]Hypotheses expl (2)'!$P$50="0j",'[1]Hypotheses expl (2)'!I50,IF('[1]Hypotheses expl (2)'!$P$50="30j",'[1]Hypotheses expl (2)'!H50,'[1]Hypotheses expl (2)'!G50))</f>
        <v>#REF!</v>
      </c>
      <c r="I18" s="390" t="e">
        <f>IF('[1]Hypotheses expl (2)'!$P$50="0j",'[1]Hypotheses expl (2)'!J50,IF('[1]Hypotheses expl (2)'!$P$50="30j",'[1]Hypotheses expl (2)'!I50,'[1]Hypotheses expl (2)'!H50))</f>
        <v>#REF!</v>
      </c>
      <c r="J18" s="390"/>
      <c r="K18" s="390">
        <v>0</v>
      </c>
      <c r="L18" s="390">
        <v>11832</v>
      </c>
      <c r="M18" s="390" t="e">
        <f>IF('[1]Hypotheses expl (2)'!$P$50="0j",'[1]Hypotheses expl (2)'!N50,IF('[1]Hypotheses expl (2)'!$P$50="30j",'[1]Hypotheses expl (2)'!M50,'[1]Hypotheses expl (2)'!L50))</f>
        <v>#REF!</v>
      </c>
      <c r="N18" s="274"/>
    </row>
    <row r="19" outlineLevel="1">
      <c r="A19" s="389" t="s">
        <v>386</v>
      </c>
      <c r="B19" s="390"/>
      <c r="C19" s="390"/>
      <c r="D19" s="390"/>
      <c r="E19" s="390">
        <v>2400</v>
      </c>
      <c r="F19" s="390">
        <v>1800</v>
      </c>
      <c r="G19" s="390"/>
      <c r="H19" s="390"/>
      <c r="I19" s="390">
        <v>1800</v>
      </c>
      <c r="J19" s="390"/>
      <c r="K19" s="390"/>
      <c r="L19" s="390"/>
      <c r="M19" s="390">
        <v>1800</v>
      </c>
      <c r="N19" s="274"/>
    </row>
    <row r="20" outlineLevel="1">
      <c r="A20" s="389" t="s">
        <v>387</v>
      </c>
      <c r="B20" s="390"/>
      <c r="C20" s="390"/>
      <c r="D20" s="390"/>
      <c r="E20" s="390"/>
      <c r="F20" s="390"/>
      <c r="G20" s="390">
        <v>1500</v>
      </c>
      <c r="H20" s="390"/>
      <c r="I20" s="390"/>
      <c r="J20" s="390"/>
      <c r="K20" s="390"/>
      <c r="L20" s="390"/>
      <c r="M20" s="390"/>
      <c r="N20" s="274"/>
    </row>
    <row r="21" s="386" customFormat="1">
      <c r="A21" s="387" t="e">
        <f>'[1]Compte résultat prévi'!A18</f>
        <v>#REF!</v>
      </c>
      <c r="B21" s="388" t="e">
        <f>SUM(B22:B36)</f>
        <v>#REF!</v>
      </c>
      <c r="C21" s="388" t="e">
        <f t="shared" ref="C21:G21" si="322">SUM(C22:C36)</f>
        <v>#REF!</v>
      </c>
      <c r="D21" s="388" t="e">
        <f t="shared" si="322"/>
        <v>#REF!</v>
      </c>
      <c r="E21" s="388" t="e">
        <f t="shared" si="322"/>
        <v>#REF!</v>
      </c>
      <c r="F21" s="388" t="e">
        <f t="shared" si="322"/>
        <v>#REF!</v>
      </c>
      <c r="G21" s="388" t="e">
        <f t="shared" si="322"/>
        <v>#REF!</v>
      </c>
      <c r="H21" s="388" t="e">
        <f>SUM(H22:H36)</f>
        <v>#REF!</v>
      </c>
      <c r="I21" s="388" t="e">
        <f>SUM(I22:I36)</f>
        <v>#REF!</v>
      </c>
      <c r="J21" s="388" t="e">
        <f t="shared" ref="J21:M21" si="323">SUM(J22:J36)</f>
        <v>#REF!</v>
      </c>
      <c r="K21" s="388">
        <v>500</v>
      </c>
      <c r="L21" s="388" t="e">
        <f>SUM(L22:L36)</f>
        <v>#REF!</v>
      </c>
      <c r="M21" s="388" t="e">
        <f t="shared" si="323"/>
        <v>#REF!</v>
      </c>
      <c r="N21" s="274"/>
      <c r="O21" s="63"/>
      <c r="P21" s="63"/>
      <c r="Q21" s="63"/>
      <c r="R21" s="63"/>
      <c r="S21" s="63"/>
      <c r="T21" s="63"/>
      <c r="U21" s="63"/>
      <c r="V21" s="63"/>
      <c r="W21" s="63"/>
      <c r="X21" s="63"/>
      <c r="Y21" s="63"/>
      <c r="Z21" s="63"/>
      <c r="AA21" s="63"/>
      <c r="AB21" s="63"/>
      <c r="AC21" s="63"/>
      <c r="AD21" s="63"/>
      <c r="AE21" s="63"/>
      <c r="AF21" s="63"/>
      <c r="AG21" s="63"/>
      <c r="AH21" s="63"/>
      <c r="AI21" s="63"/>
      <c r="AJ21" s="63"/>
      <c r="AK21" s="63"/>
      <c r="AL21" s="63"/>
      <c r="AM21" s="63"/>
      <c r="AN21" s="63"/>
    </row>
    <row r="22" outlineLevel="1">
      <c r="A22" s="389" t="e">
        <f>'[1]Compte résultat prévi'!A19</f>
        <v>#REF!</v>
      </c>
      <c r="B22" s="390">
        <v>1215000</v>
      </c>
      <c r="C22" s="390">
        <v>0</v>
      </c>
      <c r="D22" s="390">
        <v>162000</v>
      </c>
      <c r="E22" s="390" t="e">
        <f>'[1]Hypotheses expl (2)'!F70</f>
        <v>#REF!</v>
      </c>
      <c r="F22" s="390" t="e">
        <f>'[1]Hypotheses expl (2)'!G70</f>
        <v>#REF!</v>
      </c>
      <c r="G22" s="390" t="e">
        <f>'[1]Hypotheses expl (2)'!H70</f>
        <v>#REF!</v>
      </c>
      <c r="H22" s="390"/>
      <c r="I22" s="390">
        <v>243000</v>
      </c>
      <c r="J22" s="390">
        <v>0</v>
      </c>
      <c r="K22" s="390">
        <v>0</v>
      </c>
      <c r="L22" s="390">
        <v>162000</v>
      </c>
      <c r="M22" s="390"/>
      <c r="N22" s="274"/>
    </row>
    <row r="23" outlineLevel="1">
      <c r="A23" s="389" t="e">
        <f>'[1]Compte résultat prévi'!A20</f>
        <v>#REF!</v>
      </c>
      <c r="B23" s="390" t="e">
        <f>'[1]Hypotheses expl (2)'!C71</f>
        <v>#REF!</v>
      </c>
      <c r="C23" s="390" t="e">
        <f>'[1]Hypotheses expl (2)'!D71</f>
        <v>#REF!</v>
      </c>
      <c r="D23" s="390" t="e">
        <f>'[1]Hypotheses expl (2)'!E71</f>
        <v>#REF!</v>
      </c>
      <c r="E23" s="390" t="e">
        <f>'[1]Hypotheses expl (2)'!F71</f>
        <v>#REF!</v>
      </c>
      <c r="F23" s="390" t="e">
        <f>'[1]Hypotheses expl (2)'!G71</f>
        <v>#REF!</v>
      </c>
      <c r="G23" s="390" t="e">
        <f>'[1]Hypotheses expl (2)'!H71</f>
        <v>#REF!</v>
      </c>
      <c r="H23" s="390" t="e">
        <f>'[1]Hypotheses expl (2)'!I71</f>
        <v>#REF!</v>
      </c>
      <c r="I23" s="390" t="e">
        <f>'[1]Hypotheses expl (2)'!J71</f>
        <v>#REF!</v>
      </c>
      <c r="J23" s="390" t="e">
        <f>'[1]Hypotheses expl (2)'!K71</f>
        <v>#REF!</v>
      </c>
      <c r="K23" s="390" t="e">
        <f>'[1]Hypotheses expl (2)'!L71</f>
        <v>#REF!</v>
      </c>
      <c r="L23" s="390" t="e">
        <f>'[1]Hypotheses expl (2)'!M71</f>
        <v>#REF!</v>
      </c>
      <c r="M23" s="390" t="e">
        <f>'[1]Hypotheses expl (2)'!N71</f>
        <v>#REF!</v>
      </c>
      <c r="N23" s="274"/>
    </row>
    <row r="24" outlineLevel="1">
      <c r="A24" s="389" t="e">
        <f>'[1]Compte résultat prévi'!A21</f>
        <v>#REF!</v>
      </c>
      <c r="B24" s="390" t="e">
        <f>'[1]Hypotheses expl (2)'!C72</f>
        <v>#REF!</v>
      </c>
      <c r="C24" s="390" t="e">
        <f>'[1]Hypotheses expl (2)'!D72</f>
        <v>#REF!</v>
      </c>
      <c r="D24" s="390" t="e">
        <f>'[1]Hypotheses expl (2)'!E72</f>
        <v>#REF!</v>
      </c>
      <c r="E24" s="390" t="e">
        <f>'[1]Hypotheses expl (2)'!F72</f>
        <v>#REF!</v>
      </c>
      <c r="F24" s="390" t="e">
        <f>'[1]Hypotheses expl (2)'!G72</f>
        <v>#REF!</v>
      </c>
      <c r="G24" s="390" t="e">
        <f>'[1]Hypotheses expl (2)'!H72</f>
        <v>#REF!</v>
      </c>
      <c r="H24" s="390" t="e">
        <f>'[1]Hypotheses expl (2)'!I72</f>
        <v>#REF!</v>
      </c>
      <c r="I24" s="390" t="e">
        <f>'[1]Hypotheses expl (2)'!J72</f>
        <v>#REF!</v>
      </c>
      <c r="J24" s="390" t="e">
        <f>'[1]Hypotheses expl (2)'!K72</f>
        <v>#REF!</v>
      </c>
      <c r="K24" s="390" t="e">
        <f>'[1]Hypotheses expl (2)'!L72</f>
        <v>#REF!</v>
      </c>
      <c r="L24" s="390" t="e">
        <f>'[1]Hypotheses expl (2)'!M72</f>
        <v>#REF!</v>
      </c>
      <c r="M24" s="390" t="e">
        <f>'[1]Hypotheses expl (2)'!N72</f>
        <v>#REF!</v>
      </c>
      <c r="N24" s="274"/>
    </row>
    <row r="25" outlineLevel="1">
      <c r="A25" s="389" t="e">
        <f>'[1]Compte résultat prévi'!A22</f>
        <v>#REF!</v>
      </c>
      <c r="B25" s="390" t="e">
        <f>'[1]Hypotheses expl (2)'!C73</f>
        <v>#REF!</v>
      </c>
      <c r="C25" s="390" t="e">
        <f>'[1]Hypotheses expl (2)'!D73</f>
        <v>#REF!</v>
      </c>
      <c r="D25" s="390" t="e">
        <f>'[1]Hypotheses expl (2)'!E73</f>
        <v>#REF!</v>
      </c>
      <c r="E25" s="390" t="e">
        <f>'[1]Hypotheses expl (2)'!F73</f>
        <v>#REF!</v>
      </c>
      <c r="F25" s="390" t="e">
        <f>'[1]Hypotheses expl (2)'!G73</f>
        <v>#REF!</v>
      </c>
      <c r="G25" s="390" t="e">
        <f>'[1]Hypotheses expl (2)'!H73</f>
        <v>#REF!</v>
      </c>
      <c r="H25" s="390" t="e">
        <f>'[1]Hypotheses expl (2)'!I73</f>
        <v>#REF!</v>
      </c>
      <c r="I25" s="390" t="e">
        <f>'[1]Hypotheses expl (2)'!J73</f>
        <v>#REF!</v>
      </c>
      <c r="J25" s="390" t="e">
        <f>'[1]Hypotheses expl (2)'!K73</f>
        <v>#REF!</v>
      </c>
      <c r="K25" s="390" t="e">
        <f>'[1]Hypotheses expl (2)'!L73</f>
        <v>#REF!</v>
      </c>
      <c r="L25" s="390" t="e">
        <f>'[1]Hypotheses expl (2)'!M73</f>
        <v>#REF!</v>
      </c>
      <c r="M25" s="390" t="e">
        <f>'[1]Hypotheses expl (2)'!N73</f>
        <v>#REF!</v>
      </c>
      <c r="N25" s="274"/>
    </row>
    <row r="26" outlineLevel="1">
      <c r="A26" s="389" t="e">
        <f>'[1]Compte résultat prévi'!A23</f>
        <v>#REF!</v>
      </c>
      <c r="B26" s="390" t="e">
        <f>'[1]Hypotheses expl (2)'!C74</f>
        <v>#REF!</v>
      </c>
      <c r="C26" s="390" t="e">
        <f>'[1]Hypotheses expl (2)'!D74</f>
        <v>#REF!</v>
      </c>
      <c r="D26" s="390" t="e">
        <f>'[1]Hypotheses expl (2)'!E74</f>
        <v>#REF!</v>
      </c>
      <c r="E26" s="390" t="e">
        <f>'[1]Hypotheses expl (2)'!F74</f>
        <v>#REF!</v>
      </c>
      <c r="F26" s="390" t="e">
        <f>'[1]Hypotheses expl (2)'!G74</f>
        <v>#REF!</v>
      </c>
      <c r="G26" s="390" t="e">
        <f>'[1]Hypotheses expl (2)'!H74</f>
        <v>#REF!</v>
      </c>
      <c r="H26" s="390" t="e">
        <f>'[1]Hypotheses expl (2)'!I74</f>
        <v>#REF!</v>
      </c>
      <c r="I26" s="390" t="e">
        <f>'[1]Hypotheses expl (2)'!J74</f>
        <v>#REF!</v>
      </c>
      <c r="J26" s="390" t="e">
        <f>'[1]Hypotheses expl (2)'!K74</f>
        <v>#REF!</v>
      </c>
      <c r="K26" s="390" t="e">
        <f>'[1]Hypotheses expl (2)'!L74</f>
        <v>#REF!</v>
      </c>
      <c r="L26" s="390" t="e">
        <f>'[1]Hypotheses expl (2)'!M74</f>
        <v>#REF!</v>
      </c>
      <c r="M26" s="390" t="e">
        <f>'[1]Hypotheses expl (2)'!N74</f>
        <v>#REF!</v>
      </c>
      <c r="N26" s="274"/>
    </row>
    <row r="27" outlineLevel="1">
      <c r="A27" s="389" t="e">
        <f>'[1]Compte résultat prévi'!A24</f>
        <v>#REF!</v>
      </c>
      <c r="B27" s="390" t="e">
        <f>'[1]Hypotheses expl (2)'!C75</f>
        <v>#REF!</v>
      </c>
      <c r="C27" s="390" t="e">
        <f>'[1]Hypotheses expl (2)'!D75</f>
        <v>#REF!</v>
      </c>
      <c r="D27" s="390" t="e">
        <f>'[1]Hypotheses expl (2)'!E75</f>
        <v>#REF!</v>
      </c>
      <c r="E27" s="390" t="e">
        <f>'[1]Hypotheses expl (2)'!F75</f>
        <v>#REF!</v>
      </c>
      <c r="F27" s="390" t="e">
        <f>'[1]Hypotheses expl (2)'!G75</f>
        <v>#REF!</v>
      </c>
      <c r="G27" s="390" t="e">
        <f>'[1]Hypotheses expl (2)'!H75</f>
        <v>#REF!</v>
      </c>
      <c r="H27" s="390" t="e">
        <f>'[1]Hypotheses expl (2)'!I75</f>
        <v>#REF!</v>
      </c>
      <c r="I27" s="390" t="e">
        <f>'[1]Hypotheses expl (2)'!J75</f>
        <v>#REF!</v>
      </c>
      <c r="J27" s="390" t="e">
        <f>'[1]Hypotheses expl (2)'!K75</f>
        <v>#REF!</v>
      </c>
      <c r="K27" s="390" t="e">
        <f>'[1]Hypotheses expl (2)'!L75</f>
        <v>#REF!</v>
      </c>
      <c r="L27" s="390" t="e">
        <f>'[1]Hypotheses expl (2)'!M75</f>
        <v>#REF!</v>
      </c>
      <c r="M27" s="390" t="e">
        <f>'[1]Hypotheses expl (2)'!N75</f>
        <v>#REF!</v>
      </c>
      <c r="N27" s="274"/>
    </row>
    <row r="28" outlineLevel="1">
      <c r="A28" s="389" t="s">
        <v>388</v>
      </c>
      <c r="B28" s="390" t="e">
        <f>'[1]Hypotheses expl (2)'!C76</f>
        <v>#REF!</v>
      </c>
      <c r="C28" s="390" t="e">
        <f>'[1]Hypotheses expl (2)'!D76</f>
        <v>#REF!</v>
      </c>
      <c r="D28" s="390" t="e">
        <f>'[1]Hypotheses expl (2)'!E76</f>
        <v>#REF!</v>
      </c>
      <c r="E28" s="390" t="e">
        <f>'[1]Hypotheses expl (2)'!F76</f>
        <v>#REF!</v>
      </c>
      <c r="F28" s="390" t="e">
        <f>'[1]Hypotheses expl (2)'!G76</f>
        <v>#REF!</v>
      </c>
      <c r="G28" s="390" t="e">
        <f>'[1]Hypotheses expl (2)'!H76</f>
        <v>#REF!</v>
      </c>
      <c r="H28" s="390" t="e">
        <f>'[1]Hypotheses expl (2)'!I76</f>
        <v>#REF!</v>
      </c>
      <c r="I28" s="390" t="e">
        <f>'[1]Hypotheses expl (2)'!J76</f>
        <v>#REF!</v>
      </c>
      <c r="J28" s="390">
        <v>5682</v>
      </c>
      <c r="K28" s="390" t="e">
        <f>'[1]Hypotheses expl (2)'!L76</f>
        <v>#REF!</v>
      </c>
      <c r="L28" s="390" t="e">
        <f>'[1]Hypotheses expl (2)'!M76</f>
        <v>#REF!</v>
      </c>
      <c r="M28" s="390" t="e">
        <f>'[1]Hypotheses expl (2)'!N76</f>
        <v>#REF!</v>
      </c>
    </row>
    <row r="29" outlineLevel="1">
      <c r="A29" s="389" t="s">
        <v>206</v>
      </c>
      <c r="B29" s="390" t="e">
        <f>'[1]Hypotheses expl (2)'!C77</f>
        <v>#REF!</v>
      </c>
      <c r="C29" s="390" t="e">
        <f>'[1]Hypotheses expl (2)'!D77</f>
        <v>#REF!</v>
      </c>
      <c r="D29" s="390" t="e">
        <f>'[1]Hypotheses expl (2)'!E77</f>
        <v>#REF!</v>
      </c>
      <c r="E29" s="390" t="e">
        <f>'[1]Hypotheses expl (2)'!F77</f>
        <v>#REF!</v>
      </c>
      <c r="F29" s="390" t="e">
        <f>'[1]Hypotheses expl (2)'!G77</f>
        <v>#REF!</v>
      </c>
      <c r="G29" s="390" t="e">
        <f>'[1]Hypotheses expl (2)'!H77</f>
        <v>#REF!</v>
      </c>
      <c r="H29" s="390" t="e">
        <f>'[1]Hypotheses expl (2)'!I77</f>
        <v>#REF!</v>
      </c>
      <c r="I29" s="390" t="e">
        <f>'[1]Hypotheses expl (2)'!J77</f>
        <v>#REF!</v>
      </c>
      <c r="J29" s="390" t="e">
        <f>'[1]Hypotheses expl (2)'!K77</f>
        <v>#REF!</v>
      </c>
      <c r="K29" s="390" t="e">
        <f>'[1]Hypotheses expl (2)'!L77</f>
        <v>#REF!</v>
      </c>
      <c r="L29" s="390" t="e">
        <f>'[1]Hypotheses expl (2)'!M77</f>
        <v>#REF!</v>
      </c>
      <c r="M29" s="390" t="e">
        <f>'[1]Hypotheses expl (2)'!N77</f>
        <v>#REF!</v>
      </c>
    </row>
    <row r="30" outlineLevel="1">
      <c r="A30" s="389" t="e">
        <f>'[1]Compte résultat prévi'!A27</f>
        <v>#REF!</v>
      </c>
      <c r="B30" s="390" t="e">
        <f>'[1]Hypotheses expl (2)'!C78</f>
        <v>#REF!</v>
      </c>
      <c r="C30" s="390" t="e">
        <f>'[1]Hypotheses expl (2)'!D78</f>
        <v>#REF!</v>
      </c>
      <c r="D30" s="390" t="e">
        <f>'[1]Hypotheses expl (2)'!E78</f>
        <v>#REF!</v>
      </c>
      <c r="E30" s="390" t="e">
        <f>'[1]Hypotheses expl (2)'!F78</f>
        <v>#REF!</v>
      </c>
      <c r="F30" s="390" t="e">
        <f>'[1]Hypotheses expl (2)'!G78</f>
        <v>#REF!</v>
      </c>
      <c r="G30" s="390" t="e">
        <f>'[1]Hypotheses expl (2)'!H78</f>
        <v>#REF!</v>
      </c>
      <c r="H30" s="390" t="e">
        <f>'[1]Hypotheses expl (2)'!I78</f>
        <v>#REF!</v>
      </c>
      <c r="I30" s="390" t="e">
        <f>'[1]Hypotheses expl (2)'!J78</f>
        <v>#REF!</v>
      </c>
      <c r="J30" s="390" t="e">
        <f>'[1]Hypotheses expl (2)'!K78</f>
        <v>#REF!</v>
      </c>
      <c r="K30" s="390" t="e">
        <f>'[1]Hypotheses expl (2)'!L78</f>
        <v>#REF!</v>
      </c>
      <c r="L30" s="390" t="e">
        <f>'[1]Hypotheses expl (2)'!M78</f>
        <v>#REF!</v>
      </c>
      <c r="M30" s="390" t="e">
        <f>'[1]Hypotheses expl (2)'!N78</f>
        <v>#REF!</v>
      </c>
    </row>
    <row r="31" outlineLevel="1">
      <c r="A31" s="389" t="e">
        <f>'[1]Compte résultat prévi'!A28</f>
        <v>#REF!</v>
      </c>
      <c r="B31" s="390" t="e">
        <f>'[1]Hypotheses expl (2)'!C79</f>
        <v>#REF!</v>
      </c>
      <c r="C31" s="390" t="e">
        <f>'[1]Hypotheses expl (2)'!D79</f>
        <v>#REF!</v>
      </c>
      <c r="D31" s="390" t="e">
        <f>'[1]Hypotheses expl (2)'!E79</f>
        <v>#REF!</v>
      </c>
      <c r="E31" s="390" t="e">
        <f>'[1]Hypotheses expl (2)'!F79</f>
        <v>#REF!</v>
      </c>
      <c r="F31" s="390" t="e">
        <f>'[1]Hypotheses expl (2)'!G79</f>
        <v>#REF!</v>
      </c>
      <c r="G31" s="390" t="e">
        <f>'[1]Hypotheses expl (2)'!H79</f>
        <v>#REF!</v>
      </c>
      <c r="H31" s="390" t="e">
        <f>'[1]Hypotheses expl (2)'!I79</f>
        <v>#REF!</v>
      </c>
      <c r="I31" s="390" t="e">
        <f>'[1]Hypotheses expl (2)'!J79</f>
        <v>#REF!</v>
      </c>
      <c r="J31" s="390" t="e">
        <f>'[1]Hypotheses expl (2)'!K79</f>
        <v>#REF!</v>
      </c>
      <c r="K31" s="390" t="e">
        <f>'[1]Hypotheses expl (2)'!L79</f>
        <v>#REF!</v>
      </c>
      <c r="L31" s="390" t="e">
        <f>'[1]Hypotheses expl (2)'!M79</f>
        <v>#REF!</v>
      </c>
      <c r="M31" s="390" t="e">
        <f>'[1]Hypotheses expl (2)'!N79</f>
        <v>#REF!</v>
      </c>
    </row>
    <row r="32" outlineLevel="1">
      <c r="A32" s="389" t="e">
        <f>'[1]Compte résultat prévi'!A29</f>
        <v>#REF!</v>
      </c>
      <c r="B32" s="390" t="e">
        <f>'[1]Hypotheses expl (2)'!C80</f>
        <v>#REF!</v>
      </c>
      <c r="C32" s="390" t="e">
        <f>'[1]Hypotheses expl (2)'!D80</f>
        <v>#REF!</v>
      </c>
      <c r="D32" s="390" t="e">
        <f>'[1]Hypotheses expl (2)'!E80</f>
        <v>#REF!</v>
      </c>
      <c r="E32" s="390" t="e">
        <f>'[1]Hypotheses expl (2)'!F80</f>
        <v>#REF!</v>
      </c>
      <c r="F32" s="390" t="e">
        <f>'[1]Hypotheses expl (2)'!G80</f>
        <v>#REF!</v>
      </c>
      <c r="G32" s="390" t="e">
        <f>'[1]Hypotheses expl (2)'!H80</f>
        <v>#REF!</v>
      </c>
      <c r="H32" s="390" t="e">
        <f>'[1]Hypotheses expl (2)'!I80</f>
        <v>#REF!</v>
      </c>
      <c r="I32" s="390" t="e">
        <f>'[1]Hypotheses expl (2)'!J80</f>
        <v>#REF!</v>
      </c>
      <c r="J32" s="390" t="e">
        <f>'[1]Hypotheses expl (2)'!K80</f>
        <v>#REF!</v>
      </c>
      <c r="K32" s="390" t="e">
        <f>'[1]Hypotheses expl (2)'!L80</f>
        <v>#REF!</v>
      </c>
      <c r="L32" s="390" t="e">
        <f>'[1]Hypotheses expl (2)'!M80</f>
        <v>#REF!</v>
      </c>
      <c r="M32" s="390" t="e">
        <f>'[1]Hypotheses expl (2)'!N80</f>
        <v>#REF!</v>
      </c>
    </row>
    <row r="33" outlineLevel="1">
      <c r="A33" s="389" t="e">
        <f>'[1]Compte résultat prévi'!A30</f>
        <v>#REF!</v>
      </c>
      <c r="B33" s="390" t="e">
        <f>'[1]Hypotheses expl (2)'!C81</f>
        <v>#REF!</v>
      </c>
      <c r="C33" s="390" t="e">
        <f>'[1]Hypotheses expl (2)'!D81</f>
        <v>#REF!</v>
      </c>
      <c r="D33" s="390" t="e">
        <f>'[1]Hypotheses expl (2)'!E81</f>
        <v>#REF!</v>
      </c>
      <c r="E33" s="390" t="e">
        <f>'[1]Hypotheses expl (2)'!F81</f>
        <v>#REF!</v>
      </c>
      <c r="F33" s="390" t="e">
        <f>'[1]Hypotheses expl (2)'!G81</f>
        <v>#REF!</v>
      </c>
      <c r="G33" s="390" t="e">
        <f>'[1]Hypotheses expl (2)'!H81</f>
        <v>#REF!</v>
      </c>
      <c r="H33" s="390" t="e">
        <f>'[1]Hypotheses expl (2)'!I81</f>
        <v>#REF!</v>
      </c>
      <c r="I33" s="390" t="e">
        <f>'[1]Hypotheses expl (2)'!J81</f>
        <v>#REF!</v>
      </c>
      <c r="J33" s="390" t="e">
        <f>'[1]Hypotheses expl (2)'!K81</f>
        <v>#REF!</v>
      </c>
      <c r="K33" s="390" t="e">
        <f>'[1]Hypotheses expl (2)'!L81</f>
        <v>#REF!</v>
      </c>
      <c r="L33" s="390" t="e">
        <f>'[1]Hypotheses expl (2)'!M81</f>
        <v>#REF!</v>
      </c>
      <c r="M33" s="390" t="e">
        <f>'[1]Hypotheses expl (2)'!N81</f>
        <v>#REF!</v>
      </c>
    </row>
    <row r="34" outlineLevel="1">
      <c r="A34" s="389" t="e">
        <f>'[1]Compte résultat prévi'!A31</f>
        <v>#REF!</v>
      </c>
      <c r="B34" s="390" t="e">
        <f>'[1]Hypotheses expl (2)'!C82</f>
        <v>#REF!</v>
      </c>
      <c r="C34" s="390" t="e">
        <f>'[1]Hypotheses expl (2)'!D82</f>
        <v>#REF!</v>
      </c>
      <c r="D34" s="390" t="e">
        <f>'[1]Hypotheses expl (2)'!E82</f>
        <v>#REF!</v>
      </c>
      <c r="E34" s="390" t="e">
        <f>'[1]Hypotheses expl (2)'!F82</f>
        <v>#REF!</v>
      </c>
      <c r="F34" s="390" t="e">
        <f>'[1]Hypotheses expl (2)'!G82</f>
        <v>#REF!</v>
      </c>
      <c r="G34" s="390" t="e">
        <f>'[1]Hypotheses expl (2)'!H82</f>
        <v>#REF!</v>
      </c>
      <c r="H34" s="390" t="e">
        <f>'[1]Hypotheses expl (2)'!I82</f>
        <v>#REF!</v>
      </c>
      <c r="I34" s="390" t="e">
        <f>'[1]Hypotheses expl (2)'!J82</f>
        <v>#REF!</v>
      </c>
      <c r="J34" s="390" t="e">
        <f>'[1]Hypotheses expl (2)'!K82</f>
        <v>#REF!</v>
      </c>
      <c r="K34" s="390" t="e">
        <f>'[1]Hypotheses expl (2)'!L82</f>
        <v>#REF!</v>
      </c>
      <c r="L34" s="390" t="e">
        <f>'[1]Hypotheses expl (2)'!M82</f>
        <v>#REF!</v>
      </c>
      <c r="M34" s="390" t="e">
        <f>'[1]Hypotheses expl (2)'!N82</f>
        <v>#REF!</v>
      </c>
    </row>
    <row r="35" outlineLevel="1">
      <c r="A35" s="389" t="e">
        <f>'[1]Compte résultat prévi'!A32</f>
        <v>#REF!</v>
      </c>
      <c r="B35" s="390" t="e">
        <f>'[1]Hypotheses expl (2)'!C83</f>
        <v>#REF!</v>
      </c>
      <c r="C35" s="390" t="e">
        <f>'[1]Hypotheses expl (2)'!D83</f>
        <v>#REF!</v>
      </c>
      <c r="D35" s="390" t="e">
        <f>'[1]Hypotheses expl (2)'!E83</f>
        <v>#REF!</v>
      </c>
      <c r="E35" s="390" t="e">
        <f>'[1]Hypotheses expl (2)'!F83</f>
        <v>#REF!</v>
      </c>
      <c r="F35" s="390" t="e">
        <f>'[1]Hypotheses expl (2)'!G83</f>
        <v>#REF!</v>
      </c>
      <c r="G35" s="390" t="e">
        <f>'[1]Hypotheses expl (2)'!H83</f>
        <v>#REF!</v>
      </c>
      <c r="H35" s="390" t="e">
        <f>'[1]Hypotheses expl (2)'!I83</f>
        <v>#REF!</v>
      </c>
      <c r="I35" s="390" t="e">
        <f>'[1]Hypotheses expl (2)'!J83</f>
        <v>#REF!</v>
      </c>
      <c r="J35" s="390" t="e">
        <f>'[1]Hypotheses expl (2)'!K83</f>
        <v>#REF!</v>
      </c>
      <c r="K35" s="390" t="e">
        <f>'[1]Hypotheses expl (2)'!L83</f>
        <v>#REF!</v>
      </c>
      <c r="L35" s="390" t="e">
        <f>'[1]Hypotheses expl (2)'!M83</f>
        <v>#REF!</v>
      </c>
      <c r="M35" s="390" t="e">
        <f>'[1]Hypotheses expl (2)'!N83</f>
        <v>#REF!</v>
      </c>
    </row>
    <row r="36" outlineLevel="1">
      <c r="A36" s="389" t="e">
        <f>'[1]Compte résultat prévi'!A33</f>
        <v>#REF!</v>
      </c>
      <c r="B36" s="390" t="e">
        <f>'[1]Hypotheses expl (2)'!C84</f>
        <v>#REF!</v>
      </c>
      <c r="C36" s="390" t="e">
        <f>'[1]Hypotheses expl (2)'!D84</f>
        <v>#REF!</v>
      </c>
      <c r="D36" s="390" t="e">
        <f>'[1]Hypotheses expl (2)'!E84</f>
        <v>#REF!</v>
      </c>
      <c r="E36" s="390" t="e">
        <f>'[1]Hypotheses expl (2)'!F84</f>
        <v>#REF!</v>
      </c>
      <c r="F36" s="390" t="e">
        <f>'[1]Hypotheses expl (2)'!G84</f>
        <v>#REF!</v>
      </c>
      <c r="G36" s="390" t="e">
        <f>'[1]Hypotheses expl (2)'!H84</f>
        <v>#REF!</v>
      </c>
      <c r="H36" s="390" t="e">
        <f>'[1]Hypotheses expl (2)'!I84</f>
        <v>#REF!</v>
      </c>
      <c r="I36" s="390" t="e">
        <f>'[1]Hypotheses expl (2)'!J84</f>
        <v>#REF!</v>
      </c>
      <c r="J36" s="390" t="e">
        <f>'[1]Hypotheses expl (2)'!K84</f>
        <v>#REF!</v>
      </c>
      <c r="K36" s="390" t="e">
        <f>'[1]Hypotheses expl (2)'!L84</f>
        <v>#REF!</v>
      </c>
      <c r="L36" s="390" t="e">
        <f>'[1]Hypotheses expl (2)'!M84</f>
        <v>#REF!</v>
      </c>
      <c r="M36" s="390" t="e">
        <f>'[1]Hypotheses expl (2)'!N84</f>
        <v>#REF!</v>
      </c>
    </row>
    <row r="37">
      <c r="A37" s="391" t="s">
        <v>219</v>
      </c>
      <c r="B37" s="388" t="e">
        <f>IF('[1]Hypotheses expl (2)'!$P$93="0j",'[1]Hypotheses expl (2)'!C93,IF('[1]Hypotheses expl (2)'!$P$93="30j",'[1]Hypotheses expl (2)'!B93,'[1]Hypotheses expl (2)'!A93))</f>
        <v>#REF!</v>
      </c>
      <c r="C37" s="388" t="e">
        <f>IF('[1]Hypotheses expl (2)'!$P$93="0j",'[1]Hypotheses expl (2)'!D93,IF('[1]Hypotheses expl (2)'!$P$93="30j",'[1]Hypotheses expl (2)'!C93,'[1]Hypotheses expl (2)'!B93))</f>
        <v>#REF!</v>
      </c>
      <c r="D37" s="388" t="e">
        <f>IF('[1]Hypotheses expl (2)'!$P$93="0j",'[1]Hypotheses expl (2)'!E93,IF('[1]Hypotheses expl (2)'!$P$93="30j",'[1]Hypotheses expl (2)'!D93,'[1]Hypotheses expl (2)'!C93))</f>
        <v>#REF!</v>
      </c>
      <c r="E37" s="388" t="e">
        <f>IF('[1]Hypotheses expl (2)'!$P$93="0j",'[1]Hypotheses expl (2)'!F93,IF('[1]Hypotheses expl (2)'!$P$93="30j",'[1]Hypotheses expl (2)'!E93,'[1]Hypotheses expl (2)'!D93))</f>
        <v>#REF!</v>
      </c>
      <c r="F37" s="388" t="e">
        <f>IF('[1]Hypotheses expl (2)'!$P$93="0j",'[1]Hypotheses expl (2)'!G93,IF('[1]Hypotheses expl (2)'!$P$93="30j",'[1]Hypotheses expl (2)'!F93,'[1]Hypotheses expl (2)'!E93))</f>
        <v>#REF!</v>
      </c>
      <c r="G37" s="388" t="e">
        <f>IF('[1]Hypotheses expl (2)'!$P$93="0j",'[1]Hypotheses expl (2)'!H93,IF('[1]Hypotheses expl (2)'!$P$93="30j",'[1]Hypotheses expl (2)'!G93,'[1]Hypotheses expl (2)'!F93))</f>
        <v>#REF!</v>
      </c>
      <c r="H37" s="388" t="e">
        <f>IF('[1]Hypotheses expl (2)'!$P$93="0j",'[1]Hypotheses expl (2)'!I93,IF('[1]Hypotheses expl (2)'!$P$93="30j",'[1]Hypotheses expl (2)'!H93,'[1]Hypotheses expl (2)'!G93))</f>
        <v>#REF!</v>
      </c>
      <c r="I37" s="388" t="e">
        <f>IF('[1]Hypotheses expl (2)'!$P$93="0j",'[1]Hypotheses expl (2)'!J93,IF('[1]Hypotheses expl (2)'!$P$93="30j",'[1]Hypotheses expl (2)'!I93,'[1]Hypotheses expl (2)'!H93))</f>
        <v>#REF!</v>
      </c>
      <c r="J37" s="388" t="e">
        <f>IF('[1]Hypotheses expl (2)'!$P$93="0j",'[1]Hypotheses expl (2)'!K93,IF('[1]Hypotheses expl (2)'!$P$93="30j",'[1]Hypotheses expl (2)'!J93,'[1]Hypotheses expl (2)'!I93))</f>
        <v>#REF!</v>
      </c>
      <c r="K37" s="388" t="e">
        <f>IF('[1]Hypotheses expl (2)'!$P$93="0j",'[1]Hypotheses expl (2)'!L93,IF('[1]Hypotheses expl (2)'!$P$93="30j",'[1]Hypotheses expl (2)'!K93,'[1]Hypotheses expl (2)'!J93))</f>
        <v>#REF!</v>
      </c>
      <c r="L37" s="388" t="e">
        <f>IF('[1]Hypotheses expl (2)'!$P$93="0j",'[1]Hypotheses expl (2)'!M93,IF('[1]Hypotheses expl (2)'!$P$93="30j",'[1]Hypotheses expl (2)'!L93,'[1]Hypotheses expl (2)'!K93))</f>
        <v>#REF!</v>
      </c>
      <c r="M37" s="388" t="e">
        <f>IF('[1]Hypotheses expl (2)'!$P$93="0j",'[1]Hypotheses expl (2)'!N93,IF('[1]Hypotheses expl (2)'!$P$93="30j",'[1]Hypotheses expl (2)'!M93,'[1]Hypotheses expl (2)'!L93))</f>
        <v>#REF!</v>
      </c>
    </row>
    <row r="38">
      <c r="A38" s="391" t="s">
        <v>221</v>
      </c>
      <c r="B38" s="388" t="e">
        <f>IF('[1]Hypotheses expl (2)'!$P$93="0j",'[1]Hypotheses expl (2)'!C95,IF('[1]Hypotheses expl (2)'!$P$93="30j",'[1]Hypotheses expl (2)'!B95,'[1]Hypotheses expl (2)'!A95))</f>
        <v>#REF!</v>
      </c>
      <c r="C38" s="388" t="e">
        <f>IF('[1]Hypotheses expl (2)'!$P$93="0j",'[1]Hypotheses expl (2)'!D95,IF('[1]Hypotheses expl (2)'!$P$93="30j",'[1]Hypotheses expl (2)'!C95,'[1]Hypotheses expl (2)'!B95))</f>
        <v>#REF!</v>
      </c>
      <c r="D38" s="388" t="e">
        <f>IF('[1]Hypotheses expl (2)'!$P$93="0j",'[1]Hypotheses expl (2)'!E95,IF('[1]Hypotheses expl (2)'!$P$93="30j",'[1]Hypotheses expl (2)'!D95,'[1]Hypotheses expl (2)'!C95))</f>
        <v>#REF!</v>
      </c>
      <c r="E38" s="388" t="e">
        <f>IF('[1]Hypotheses expl (2)'!$P$93="0j",'[1]Hypotheses expl (2)'!F95,IF('[1]Hypotheses expl (2)'!$P$93="30j",'[1]Hypotheses expl (2)'!E95,'[1]Hypotheses expl (2)'!D95))</f>
        <v>#REF!</v>
      </c>
      <c r="F38" s="388" t="e">
        <f>IF('[1]Hypotheses expl (2)'!$P$93="0j",'[1]Hypotheses expl (2)'!G95,IF('[1]Hypotheses expl (2)'!$P$93="30j",'[1]Hypotheses expl (2)'!F95,'[1]Hypotheses expl (2)'!E95))</f>
        <v>#REF!</v>
      </c>
      <c r="G38" s="388" t="e">
        <f>IF('[1]Hypotheses expl (2)'!$P$93="0j",'[1]Hypotheses expl (2)'!H95,IF('[1]Hypotheses expl (2)'!$P$93="30j",'[1]Hypotheses expl (2)'!G95,'[1]Hypotheses expl (2)'!F95))</f>
        <v>#REF!</v>
      </c>
      <c r="H38" s="388" t="e">
        <f>IF('[1]Hypotheses expl (2)'!$P$93="0j",'[1]Hypotheses expl (2)'!I95,IF('[1]Hypotheses expl (2)'!$P$93="30j",'[1]Hypotheses expl (2)'!H95,'[1]Hypotheses expl (2)'!G95))</f>
        <v>#REF!</v>
      </c>
      <c r="I38" s="388" t="e">
        <f>IF('[1]Hypotheses expl (2)'!$P$93="0j",'[1]Hypotheses expl (2)'!J95,IF('[1]Hypotheses expl (2)'!$P$93="30j",'[1]Hypotheses expl (2)'!I95,'[1]Hypotheses expl (2)'!H95))</f>
        <v>#REF!</v>
      </c>
      <c r="J38" s="388" t="e">
        <f>IF('[1]Hypotheses expl (2)'!$P$93="0j",'[1]Hypotheses expl (2)'!K95,IF('[1]Hypotheses expl (2)'!$P$93="30j",'[1]Hypotheses expl (2)'!J95,'[1]Hypotheses expl (2)'!I95))</f>
        <v>#REF!</v>
      </c>
      <c r="K38" s="388" t="e">
        <f>IF('[1]Hypotheses expl (2)'!$P$93="0j",'[1]Hypotheses expl (2)'!L95,IF('[1]Hypotheses expl (2)'!$P$93="30j",'[1]Hypotheses expl (2)'!K95,'[1]Hypotheses expl (2)'!J95))</f>
        <v>#REF!</v>
      </c>
      <c r="L38" s="388" t="e">
        <f>IF('[1]Hypotheses expl (2)'!$P$93="0j",'[1]Hypotheses expl (2)'!M95,IF('[1]Hypotheses expl (2)'!$P$93="30j",'[1]Hypotheses expl (2)'!L95,'[1]Hypotheses expl (2)'!K95))</f>
        <v>#REF!</v>
      </c>
      <c r="M38" s="388" t="e">
        <f>IF('[1]Hypotheses expl (2)'!$P$93="0j",'[1]Hypotheses expl (2)'!N95,IF('[1]Hypotheses expl (2)'!$P$93="30j",'[1]Hypotheses expl (2)'!M95,'[1]Hypotheses expl (2)'!L95))</f>
        <v>#REF!</v>
      </c>
    </row>
    <row r="39">
      <c r="A39" s="391" t="s">
        <v>222</v>
      </c>
      <c r="B39" s="388" t="e">
        <f>IF('[1]Hypotheses expl (2)'!$P$96="0j",'[1]Hypotheses expl (2)'!C96,IF('[1]Hypotheses expl (2)'!$P$96="30j",'[1]Hypotheses expl (2)'!B96,'[1]Hypotheses expl (2)'!A96))</f>
        <v>#REF!</v>
      </c>
      <c r="C39" s="388" t="e">
        <f>IF('[1]Hypotheses expl (2)'!$P$96="0j",'[1]Hypotheses expl (2)'!D96,IF('[1]Hypotheses expl (2)'!$P$96="30j",'[1]Hypotheses expl (2)'!C96,'[1]Hypotheses expl (2)'!B96))</f>
        <v>#REF!</v>
      </c>
      <c r="D39" s="388" t="e">
        <f>IF('[1]Hypotheses expl (2)'!$P$96="0j",'[1]Hypotheses expl (2)'!E96,IF('[1]Hypotheses expl (2)'!$P$96="30j",'[1]Hypotheses expl (2)'!D96,'[1]Hypotheses expl (2)'!C96))</f>
        <v>#REF!</v>
      </c>
      <c r="E39" s="388" t="e">
        <f>IF('[1]Hypotheses expl (2)'!$P$96="0j",'[1]Hypotheses expl (2)'!F96,IF('[1]Hypotheses expl (2)'!$P$96="30j",'[1]Hypotheses expl (2)'!E96,'[1]Hypotheses expl (2)'!D96))</f>
        <v>#REF!</v>
      </c>
      <c r="F39" s="388" t="e">
        <f>IF('[1]Hypotheses expl (2)'!$P$96="0j",'[1]Hypotheses expl (2)'!G96,IF('[1]Hypotheses expl (2)'!$P$96="30j",'[1]Hypotheses expl (2)'!F96,'[1]Hypotheses expl (2)'!E96))</f>
        <v>#REF!</v>
      </c>
      <c r="G39" s="388" t="e">
        <f>IF('[1]Hypotheses expl (2)'!$P$96="0j",'[1]Hypotheses expl (2)'!H96,IF('[1]Hypotheses expl (2)'!$P$96="30j",'[1]Hypotheses expl (2)'!G96,'[1]Hypotheses expl (2)'!F96))</f>
        <v>#REF!</v>
      </c>
      <c r="H39" s="388" t="e">
        <f>IF('[1]Hypotheses expl (2)'!$P$96="0j",'[1]Hypotheses expl (2)'!I96,IF('[1]Hypotheses expl (2)'!$P$96="30j",'[1]Hypotheses expl (2)'!H96,'[1]Hypotheses expl (2)'!G96))</f>
        <v>#REF!</v>
      </c>
      <c r="I39" s="388" t="e">
        <f>IF('[1]Hypotheses expl (2)'!$P$96="0j",'[1]Hypotheses expl (2)'!J96,IF('[1]Hypotheses expl (2)'!$P$96="30j",'[1]Hypotheses expl (2)'!I96,'[1]Hypotheses expl (2)'!H96))</f>
        <v>#REF!</v>
      </c>
      <c r="J39" s="388" t="e">
        <f>IF('[1]Hypotheses expl (2)'!$P$96="0j",'[1]Hypotheses expl (2)'!K96,IF('[1]Hypotheses expl (2)'!$P$96="30j",'[1]Hypotheses expl (2)'!J96,'[1]Hypotheses expl (2)'!I96))</f>
        <v>#REF!</v>
      </c>
      <c r="K39" s="388" t="e">
        <f>IF('[1]Hypotheses expl (2)'!$P$96="0j",'[1]Hypotheses expl (2)'!L96,IF('[1]Hypotheses expl (2)'!$P$96="30j",'[1]Hypotheses expl (2)'!K96,'[1]Hypotheses expl (2)'!J96))</f>
        <v>#REF!</v>
      </c>
      <c r="L39" s="388" t="e">
        <f>IF('[1]Hypotheses expl (2)'!$P$96="0j",'[1]Hypotheses expl (2)'!M96,IF('[1]Hypotheses expl (2)'!$P$96="30j",'[1]Hypotheses expl (2)'!L96,'[1]Hypotheses expl (2)'!K96))</f>
        <v>#REF!</v>
      </c>
      <c r="M39" s="388" t="e">
        <f>IF('[1]Hypotheses expl (2)'!$P$96="0j",'[1]Hypotheses expl (2)'!N96,IF('[1]Hypotheses expl (2)'!$P$96="30j",'[1]Hypotheses expl (2)'!M96,'[1]Hypotheses expl (2)'!L96))</f>
        <v>#REF!</v>
      </c>
    </row>
    <row r="40">
      <c r="A40" s="391" t="s">
        <v>223</v>
      </c>
      <c r="B40" s="388">
        <v>3148.6500000000001</v>
      </c>
      <c r="C40" s="388" t="e">
        <f>IF('[1]Hypotheses expl (2)'!$P$97="0j",'[1]Hypotheses expl (2)'!D97,IF('[1]Hypotheses expl (2)'!$P$97="30j",'[1]Hypotheses expl (2)'!C97,'[1]Hypotheses expl (2)'!B97))</f>
        <v>#REF!</v>
      </c>
      <c r="D40" s="388" t="e">
        <f>IF('[1]Hypotheses expl (2)'!$P$97="0j",'[1]Hypotheses expl (2)'!E97,IF('[1]Hypotheses expl (2)'!$P$97="30j",'[1]Hypotheses expl (2)'!D97,'[1]Hypotheses expl (2)'!C97))</f>
        <v>#REF!</v>
      </c>
      <c r="E40" s="388" t="e">
        <f>IF('[1]Hypotheses expl (2)'!$P$97="0j",'[1]Hypotheses expl (2)'!F97,IF('[1]Hypotheses expl (2)'!$P$97="30j",'[1]Hypotheses expl (2)'!E97,'[1]Hypotheses expl (2)'!D97))</f>
        <v>#REF!</v>
      </c>
      <c r="F40" s="388" t="e">
        <f>IF('[1]Hypotheses expl (2)'!$P$97="0j",'[1]Hypotheses expl (2)'!G97,IF('[1]Hypotheses expl (2)'!$P$97="30j",'[1]Hypotheses expl (2)'!F97,'[1]Hypotheses expl (2)'!E97))</f>
        <v>#REF!</v>
      </c>
      <c r="G40" s="388" t="e">
        <f>IF('[1]Hypotheses expl (2)'!$P$97="0j",'[1]Hypotheses expl (2)'!H97,IF('[1]Hypotheses expl (2)'!$P$97="30j",'[1]Hypotheses expl (2)'!G97,'[1]Hypotheses expl (2)'!F97))</f>
        <v>#REF!</v>
      </c>
      <c r="H40" s="388" t="e">
        <f>IF('[1]Hypotheses expl (2)'!$P$97="0j",'[1]Hypotheses expl (2)'!I97,IF('[1]Hypotheses expl (2)'!$P$97="30j",'[1]Hypotheses expl (2)'!H97,'[1]Hypotheses expl (2)'!G97))</f>
        <v>#REF!</v>
      </c>
      <c r="I40" s="388" t="e">
        <f>IF('[1]Hypotheses expl (2)'!$P$97="0j",'[1]Hypotheses expl (2)'!J97,IF('[1]Hypotheses expl (2)'!$P$97="30j",'[1]Hypotheses expl (2)'!I97,'[1]Hypotheses expl (2)'!H97))</f>
        <v>#REF!</v>
      </c>
      <c r="J40" s="388" t="e">
        <f>IF('[1]Hypotheses expl (2)'!$P$97="0j",'[1]Hypotheses expl (2)'!K97,IF('[1]Hypotheses expl (2)'!$P$97="30j",'[1]Hypotheses expl (2)'!J97,'[1]Hypotheses expl (2)'!I97))</f>
        <v>#REF!</v>
      </c>
      <c r="K40" s="388" t="e">
        <f>IF('[1]Hypotheses expl (2)'!$P$97="0j",'[1]Hypotheses expl (2)'!L97,IF('[1]Hypotheses expl (2)'!$P$97="30j",'[1]Hypotheses expl (2)'!K97,'[1]Hypotheses expl (2)'!J97))</f>
        <v>#REF!</v>
      </c>
      <c r="L40" s="388" t="e">
        <f>IF('[1]Hypotheses expl (2)'!$P$97="0j",'[1]Hypotheses expl (2)'!M97,IF('[1]Hypotheses expl (2)'!$P$97="30j",'[1]Hypotheses expl (2)'!L97,'[1]Hypotheses expl (2)'!K97))</f>
        <v>#REF!</v>
      </c>
      <c r="M40" s="388" t="e">
        <f>IF('[1]Hypotheses expl (2)'!$P$97="0j",'[1]Hypotheses expl (2)'!N97,IF('[1]Hypotheses expl (2)'!$P$97="30j",'[1]Hypotheses expl (2)'!M97,'[1]Hypotheses expl (2)'!L97))</f>
        <v>#REF!</v>
      </c>
    </row>
    <row r="41" s="36" customFormat="1">
      <c r="B41" s="375"/>
      <c r="C41" s="375"/>
      <c r="D41" s="375"/>
      <c r="E41" s="375"/>
      <c r="F41" s="375"/>
      <c r="G41" s="375"/>
      <c r="H41" s="375"/>
      <c r="I41" s="381"/>
      <c r="J41" s="381"/>
      <c r="K41" s="381"/>
      <c r="L41" s="381"/>
      <c r="M41" s="381"/>
    </row>
    <row r="42" s="383" customFormat="1">
      <c r="A42" s="384" t="s">
        <v>365</v>
      </c>
      <c r="B42" s="392" t="e">
        <f>SUM(B43:B45)</f>
        <v>#REF!</v>
      </c>
      <c r="C42" s="392" t="e">
        <f t="shared" ref="C42:M42" si="324">SUM(C43:C45)</f>
        <v>#REF!</v>
      </c>
      <c r="D42" s="392" t="e">
        <f t="shared" si="324"/>
        <v>#REF!</v>
      </c>
      <c r="E42" s="392" t="e">
        <f t="shared" si="324"/>
        <v>#REF!</v>
      </c>
      <c r="F42" s="392" t="e">
        <f t="shared" si="324"/>
        <v>#REF!</v>
      </c>
      <c r="G42" s="392" t="e">
        <f t="shared" si="324"/>
        <v>#REF!</v>
      </c>
      <c r="H42" s="392" t="e">
        <f t="shared" si="324"/>
        <v>#REF!</v>
      </c>
      <c r="I42" s="392" t="e">
        <f t="shared" si="324"/>
        <v>#REF!</v>
      </c>
      <c r="J42" s="392" t="e">
        <f t="shared" si="324"/>
        <v>#REF!</v>
      </c>
      <c r="K42" s="392" t="e">
        <f t="shared" si="324"/>
        <v>#REF!</v>
      </c>
      <c r="L42" s="392" t="e">
        <f t="shared" si="324"/>
        <v>#REF!</v>
      </c>
      <c r="M42" s="392" t="e">
        <f t="shared" si="324"/>
        <v>#REF!</v>
      </c>
      <c r="N42" s="36"/>
      <c r="O42" s="36"/>
      <c r="P42" s="36"/>
      <c r="Q42" s="36"/>
      <c r="R42" s="36"/>
      <c r="S42" s="36"/>
      <c r="T42" s="36"/>
      <c r="U42" s="36"/>
      <c r="V42" s="36"/>
      <c r="W42" s="36"/>
      <c r="X42" s="36"/>
      <c r="Y42" s="36"/>
      <c r="Z42" s="36"/>
      <c r="AA42" s="36"/>
      <c r="AB42" s="36"/>
      <c r="AC42" s="36"/>
      <c r="AD42" s="36"/>
      <c r="AE42" s="36"/>
      <c r="AF42" s="36"/>
      <c r="AG42" s="36"/>
      <c r="AH42" s="36"/>
      <c r="AI42" s="36"/>
      <c r="AJ42" s="36"/>
      <c r="AK42" s="36"/>
      <c r="AL42" s="36"/>
      <c r="AM42" s="36"/>
      <c r="AN42" s="36"/>
    </row>
    <row r="43">
      <c r="A43" s="393" t="s">
        <v>298</v>
      </c>
      <c r="B43" s="394" t="e">
        <f>'[1]Hypotheses hors expl (2)'!C5</f>
        <v>#REF!</v>
      </c>
      <c r="C43" s="394" t="e">
        <f>'[1]Hypotheses hors expl (2)'!D5</f>
        <v>#REF!</v>
      </c>
      <c r="D43" s="394" t="e">
        <f>'[1]Hypotheses hors expl (2)'!E5</f>
        <v>#REF!</v>
      </c>
      <c r="E43" s="394" t="e">
        <f>'[1]Hypotheses hors expl (2)'!F5</f>
        <v>#REF!</v>
      </c>
      <c r="F43" s="394" t="e">
        <f>'[1]Hypotheses hors expl (2)'!G5</f>
        <v>#REF!</v>
      </c>
      <c r="G43" s="394" t="e">
        <f>'[1]Hypotheses hors expl (2)'!H5</f>
        <v>#REF!</v>
      </c>
      <c r="H43" s="394" t="e">
        <f>'[1]Hypotheses hors expl (2)'!I5</f>
        <v>#REF!</v>
      </c>
      <c r="I43" s="394" t="e">
        <f>'[1]Hypotheses hors expl (2)'!J5</f>
        <v>#REF!</v>
      </c>
      <c r="J43" s="394" t="e">
        <f>'[1]Hypotheses hors expl (2)'!K5</f>
        <v>#REF!</v>
      </c>
      <c r="K43" s="394" t="e">
        <f>'[1]Hypotheses hors expl (2)'!L5</f>
        <v>#REF!</v>
      </c>
      <c r="L43" s="394" t="e">
        <f>'[1]Hypotheses hors expl (2)'!M5</f>
        <v>#REF!</v>
      </c>
      <c r="M43" s="394" t="e">
        <f>'[1]Hypotheses hors expl (2)'!N5</f>
        <v>#REF!</v>
      </c>
    </row>
    <row r="44">
      <c r="A44" s="393" t="s">
        <v>299</v>
      </c>
      <c r="B44" s="394" t="e">
        <f>'[1]Hypotheses hors expl (2)'!C6</f>
        <v>#REF!</v>
      </c>
      <c r="C44" s="394" t="e">
        <f>'[1]Hypotheses hors expl (2)'!D6</f>
        <v>#REF!</v>
      </c>
      <c r="D44" s="394" t="e">
        <f>'[1]Hypotheses hors expl (2)'!E6</f>
        <v>#REF!</v>
      </c>
      <c r="E44" s="394" t="e">
        <f>'[1]Hypotheses hors expl (2)'!F6</f>
        <v>#REF!</v>
      </c>
      <c r="F44" s="394" t="e">
        <f>'[1]Hypotheses hors expl (2)'!G6</f>
        <v>#REF!</v>
      </c>
      <c r="G44" s="394" t="e">
        <f>'[1]Hypotheses hors expl (2)'!H6</f>
        <v>#REF!</v>
      </c>
      <c r="H44" s="394" t="e">
        <f>'[1]Hypotheses hors expl (2)'!I6</f>
        <v>#REF!</v>
      </c>
      <c r="I44" s="394" t="e">
        <f>'[1]Hypotheses hors expl (2)'!J6</f>
        <v>#REF!</v>
      </c>
      <c r="J44" s="394" t="e">
        <f>'[1]Hypotheses hors expl (2)'!K6</f>
        <v>#REF!</v>
      </c>
      <c r="K44" s="394" t="e">
        <f>'[1]Hypotheses hors expl (2)'!L6</f>
        <v>#REF!</v>
      </c>
      <c r="L44" s="394" t="e">
        <f>'[1]Hypotheses hors expl (2)'!M6</f>
        <v>#REF!</v>
      </c>
      <c r="M44" s="394" t="e">
        <f>'[1]Hypotheses hors expl (2)'!N6</f>
        <v>#REF!</v>
      </c>
    </row>
    <row r="45">
      <c r="A45" s="393" t="s">
        <v>300</v>
      </c>
      <c r="B45" s="394" t="e">
        <f>'[1]Hypotheses hors expl (2)'!C7</f>
        <v>#REF!</v>
      </c>
      <c r="C45" s="394" t="e">
        <f>'[1]Hypotheses hors expl (2)'!D7</f>
        <v>#REF!</v>
      </c>
      <c r="D45" s="394" t="e">
        <f>'[1]Hypotheses hors expl (2)'!E7</f>
        <v>#REF!</v>
      </c>
      <c r="E45" s="394" t="e">
        <f>'[1]Hypotheses hors expl (2)'!F7</f>
        <v>#REF!</v>
      </c>
      <c r="F45" s="394" t="e">
        <f>'[1]Hypotheses hors expl (2)'!G7</f>
        <v>#REF!</v>
      </c>
      <c r="G45" s="394" t="e">
        <f>'[1]Hypotheses hors expl (2)'!H7</f>
        <v>#REF!</v>
      </c>
      <c r="H45" s="394" t="e">
        <f>'[1]Hypotheses hors expl (2)'!I7</f>
        <v>#REF!</v>
      </c>
      <c r="I45" s="394" t="e">
        <f>'[1]Hypotheses hors expl (2)'!J7</f>
        <v>#REF!</v>
      </c>
      <c r="J45" s="394" t="e">
        <f>'[1]Hypotheses hors expl (2)'!K7</f>
        <v>#REF!</v>
      </c>
      <c r="K45" s="394" t="e">
        <f>'[1]Hypotheses hors expl (2)'!L7</f>
        <v>#REF!</v>
      </c>
      <c r="L45" s="394" t="e">
        <f>'[1]Hypotheses hors expl (2)'!M7</f>
        <v>#REF!</v>
      </c>
      <c r="M45" s="394" t="e">
        <f>'[1]Hypotheses hors expl (2)'!N7</f>
        <v>#REF!</v>
      </c>
    </row>
    <row r="46" s="36" customFormat="1">
      <c r="B46" s="375"/>
      <c r="C46" s="375"/>
      <c r="D46" s="375"/>
      <c r="E46" s="375"/>
      <c r="F46" s="375"/>
      <c r="G46" s="375"/>
      <c r="H46" s="375"/>
      <c r="I46" s="381"/>
      <c r="J46" s="381"/>
      <c r="K46" s="381"/>
      <c r="L46" s="381"/>
      <c r="M46" s="381"/>
    </row>
    <row r="47" s="383" customFormat="1">
      <c r="A47" s="384" t="s">
        <v>366</v>
      </c>
      <c r="B47" s="395" t="e">
        <f>+B48+B85+B89+B102+B106+B108</f>
        <v>#REF!</v>
      </c>
      <c r="C47" s="395" t="e">
        <f t="shared" ref="C47:M47" si="325">+C48+C85+C89+C102+C106+C108</f>
        <v>#REF!</v>
      </c>
      <c r="D47" s="395" t="e">
        <f t="shared" si="325"/>
        <v>#REF!</v>
      </c>
      <c r="E47" s="395" t="e">
        <f t="shared" si="325"/>
        <v>#REF!</v>
      </c>
      <c r="F47" s="395" t="e">
        <f t="shared" si="325"/>
        <v>#REF!</v>
      </c>
      <c r="G47" s="395" t="e">
        <f t="shared" si="325"/>
        <v>#REF!</v>
      </c>
      <c r="H47" s="395" t="e">
        <f t="shared" si="325"/>
        <v>#REF!</v>
      </c>
      <c r="I47" s="395" t="e">
        <f t="shared" si="325"/>
        <v>#REF!</v>
      </c>
      <c r="J47" s="395" t="e">
        <f t="shared" si="325"/>
        <v>#REF!</v>
      </c>
      <c r="K47" s="395" t="e">
        <f t="shared" si="325"/>
        <v>#REF!</v>
      </c>
      <c r="L47" s="395" t="e">
        <f t="shared" si="325"/>
        <v>#REF!</v>
      </c>
      <c r="M47" s="395" t="e">
        <f t="shared" si="325"/>
        <v>#REF!</v>
      </c>
      <c r="N47" s="36"/>
      <c r="O47" s="36"/>
      <c r="P47" s="36"/>
      <c r="Q47" s="36"/>
      <c r="R47" s="36"/>
      <c r="S47" s="36"/>
      <c r="T47" s="36"/>
      <c r="U47" s="36"/>
      <c r="V47" s="36"/>
      <c r="W47" s="36"/>
      <c r="X47" s="36"/>
      <c r="Y47" s="36"/>
      <c r="Z47" s="36"/>
      <c r="AA47" s="36"/>
      <c r="AB47" s="36"/>
      <c r="AC47" s="36"/>
      <c r="AD47" s="36"/>
      <c r="AE47" s="36"/>
      <c r="AF47" s="36"/>
      <c r="AG47" s="36"/>
      <c r="AH47" s="36"/>
      <c r="AI47" s="36"/>
      <c r="AJ47" s="36"/>
      <c r="AK47" s="36"/>
      <c r="AL47" s="36"/>
      <c r="AM47" s="36"/>
      <c r="AN47" s="36"/>
    </row>
    <row r="48">
      <c r="A48" s="391" t="e">
        <f>'[1]Compte résultat prévi'!A45</f>
        <v>#REF!</v>
      </c>
      <c r="B48" s="388" t="e">
        <f>SUM(B49:B110)</f>
        <v>#REF!</v>
      </c>
      <c r="C48" s="388" t="e">
        <f t="shared" ref="C48:M48" si="326">SUM(C49:C84)</f>
        <v>#REF!</v>
      </c>
      <c r="D48" s="388" t="e">
        <f t="shared" si="326"/>
        <v>#REF!</v>
      </c>
      <c r="E48" s="388" t="e">
        <f t="shared" si="326"/>
        <v>#REF!</v>
      </c>
      <c r="F48" s="388" t="e">
        <f t="shared" si="326"/>
        <v>#REF!</v>
      </c>
      <c r="G48" s="388" t="e">
        <f t="shared" si="326"/>
        <v>#REF!</v>
      </c>
      <c r="H48" s="388" t="e">
        <f t="shared" si="326"/>
        <v>#REF!</v>
      </c>
      <c r="I48" s="388" t="e">
        <f t="shared" si="326"/>
        <v>#REF!</v>
      </c>
      <c r="J48" s="388" t="e">
        <f t="shared" si="326"/>
        <v>#REF!</v>
      </c>
      <c r="K48" s="388" t="e">
        <f t="shared" si="326"/>
        <v>#REF!</v>
      </c>
      <c r="L48" s="388" t="e">
        <f t="shared" si="326"/>
        <v>#REF!</v>
      </c>
      <c r="M48" s="388" t="e">
        <f t="shared" si="326"/>
        <v>#REF!</v>
      </c>
    </row>
    <row r="49" outlineLevel="1">
      <c r="A49" s="393" t="e">
        <f>'[1]Compte résultat prévi'!A46</f>
        <v>#REF!</v>
      </c>
      <c r="B49" s="390" t="e">
        <f>IF('[1]Hypotheses expl (2)'!$P$101="0j",'[1]Hypotheses expl (2)'!C101,IF('[1]Hypotheses expl (2)'!$P$101="30j",'[1]Hypotheses expl (2)'!B101,'[1]Hypotheses expl (2)'!A101))</f>
        <v>#REF!</v>
      </c>
      <c r="C49" s="390" t="e">
        <f>IF('[1]Hypotheses expl (2)'!$P$101="0j",'[1]Hypotheses expl (2)'!D101,IF('[1]Hypotheses expl (2)'!$P$101="30j",'[1]Hypotheses expl (2)'!C101,'[1]Hypotheses expl (2)'!B101))</f>
        <v>#REF!</v>
      </c>
      <c r="D49" s="390" t="e">
        <f>IF('[1]Hypotheses expl (2)'!$P$101="0j",'[1]Hypotheses expl (2)'!E101,IF('[1]Hypotheses expl (2)'!$P$101="30j",'[1]Hypotheses expl (2)'!D101,'[1]Hypotheses expl (2)'!C101))</f>
        <v>#REF!</v>
      </c>
      <c r="E49" s="390" t="e">
        <f>IF('[1]Hypotheses expl (2)'!$P$101="0j",'[1]Hypotheses expl (2)'!F101,IF('[1]Hypotheses expl (2)'!$P$101="30j",'[1]Hypotheses expl (2)'!E101,'[1]Hypotheses expl (2)'!D101))</f>
        <v>#REF!</v>
      </c>
      <c r="F49" s="390" t="e">
        <f>IF('[1]Hypotheses expl (2)'!$P$101="0j",'[1]Hypotheses expl (2)'!G101,IF('[1]Hypotheses expl (2)'!$P$101="30j",'[1]Hypotheses expl (2)'!F101,'[1]Hypotheses expl (2)'!E101))</f>
        <v>#REF!</v>
      </c>
      <c r="G49" s="390" t="e">
        <f>IF('[1]Hypotheses expl (2)'!$P$101="0j",'[1]Hypotheses expl (2)'!H101,IF('[1]Hypotheses expl (2)'!$P$101="30j",'[1]Hypotheses expl (2)'!G101,'[1]Hypotheses expl (2)'!F101))</f>
        <v>#REF!</v>
      </c>
      <c r="H49" s="390" t="e">
        <f>IF('[1]Hypotheses expl (2)'!$P$101="0j",'[1]Hypotheses expl (2)'!I101,IF('[1]Hypotheses expl (2)'!$P$101="30j",'[1]Hypotheses expl (2)'!H101,'[1]Hypotheses expl (2)'!G101))</f>
        <v>#REF!</v>
      </c>
      <c r="I49" s="390" t="e">
        <f>IF('[1]Hypotheses expl (2)'!$P$101="0j",'[1]Hypotheses expl (2)'!J101,IF('[1]Hypotheses expl (2)'!$P$101="30j",'[1]Hypotheses expl (2)'!I101,'[1]Hypotheses expl (2)'!H101))</f>
        <v>#REF!</v>
      </c>
      <c r="J49" s="390" t="e">
        <f>IF('[1]Hypotheses expl (2)'!$P$101="0j",'[1]Hypotheses expl (2)'!K101,IF('[1]Hypotheses expl (2)'!$P$101="30j",'[1]Hypotheses expl (2)'!J101,'[1]Hypotheses expl (2)'!I101))</f>
        <v>#REF!</v>
      </c>
      <c r="K49" s="390" t="e">
        <f>IF('[1]Hypotheses expl (2)'!$P$101="0j",'[1]Hypotheses expl (2)'!L101,IF('[1]Hypotheses expl (2)'!$P$101="30j",'[1]Hypotheses expl (2)'!K101,'[1]Hypotheses expl (2)'!J101))</f>
        <v>#REF!</v>
      </c>
      <c r="L49" s="390" t="e">
        <f>IF('[1]Hypotheses expl (2)'!$P$101="0j",'[1]Hypotheses expl (2)'!M101,IF('[1]Hypotheses expl (2)'!$P$101="30j",'[1]Hypotheses expl (2)'!L101,'[1]Hypotheses expl (2)'!K101))</f>
        <v>#REF!</v>
      </c>
      <c r="M49" s="390" t="e">
        <f>IF('[1]Hypotheses expl (2)'!$P$101="0j",'[1]Hypotheses expl (2)'!N101,IF('[1]Hypotheses expl (2)'!$P$101="30j",'[1]Hypotheses expl (2)'!M101,'[1]Hypotheses expl (2)'!L101))</f>
        <v>#REF!</v>
      </c>
    </row>
    <row r="50" outlineLevel="1">
      <c r="A50" s="393" t="e">
        <f>'[1]Compte résultat prévi'!A47</f>
        <v>#REF!</v>
      </c>
      <c r="B50" s="390" t="e">
        <f>IF('[1]Hypotheses expl (2)'!$P$102="0j",'[1]Hypotheses expl (2)'!C102,IF('[1]Hypotheses expl (2)'!$P$102="30j",'[1]Hypotheses expl (2)'!B102,'[1]Hypotheses expl (2)'!A102))</f>
        <v>#REF!</v>
      </c>
      <c r="C50" s="390" t="e">
        <f>IF('[1]Hypotheses expl (2)'!$P$102="0j",'[1]Hypotheses expl (2)'!D102,IF('[1]Hypotheses expl (2)'!$P$102="30j",'[1]Hypotheses expl (2)'!C102,'[1]Hypotheses expl (2)'!B102))</f>
        <v>#REF!</v>
      </c>
      <c r="D50" s="390" t="e">
        <f>IF('[1]Hypotheses expl (2)'!$P$102="0j",'[1]Hypotheses expl (2)'!E102,IF('[1]Hypotheses expl (2)'!$P$102="30j",'[1]Hypotheses expl (2)'!D102,'[1]Hypotheses expl (2)'!C102))</f>
        <v>#REF!</v>
      </c>
      <c r="E50" s="390" t="e">
        <f>IF('[1]Hypotheses expl (2)'!$P$102="0j",'[1]Hypotheses expl (2)'!F102,IF('[1]Hypotheses expl (2)'!$P$102="30j",'[1]Hypotheses expl (2)'!E102,'[1]Hypotheses expl (2)'!D102))</f>
        <v>#REF!</v>
      </c>
      <c r="F50" s="390" t="e">
        <f>IF('[1]Hypotheses expl (2)'!$P$102="0j",'[1]Hypotheses expl (2)'!G102,IF('[1]Hypotheses expl (2)'!$P$102="30j",'[1]Hypotheses expl (2)'!F102,'[1]Hypotheses expl (2)'!E102))</f>
        <v>#REF!</v>
      </c>
      <c r="G50" s="390" t="e">
        <f>IF('[1]Hypotheses expl (2)'!$P$102="0j",'[1]Hypotheses expl (2)'!H102,IF('[1]Hypotheses expl (2)'!$P$102="30j",'[1]Hypotheses expl (2)'!G102,'[1]Hypotheses expl (2)'!F102))</f>
        <v>#REF!</v>
      </c>
      <c r="H50" s="390" t="e">
        <f>IF('[1]Hypotheses expl (2)'!$P$102="0j",'[1]Hypotheses expl (2)'!I102,IF('[1]Hypotheses expl (2)'!$P$102="30j",'[1]Hypotheses expl (2)'!H102,'[1]Hypotheses expl (2)'!G102))</f>
        <v>#REF!</v>
      </c>
      <c r="I50" s="390" t="e">
        <f>IF('[1]Hypotheses expl (2)'!$P$102="0j",'[1]Hypotheses expl (2)'!J102,IF('[1]Hypotheses expl (2)'!$P$102="30j",'[1]Hypotheses expl (2)'!I102,'[1]Hypotheses expl (2)'!H102))</f>
        <v>#REF!</v>
      </c>
      <c r="J50" s="390" t="e">
        <f>IF('[1]Hypotheses expl (2)'!$P$102="0j",'[1]Hypotheses expl (2)'!K102,IF('[1]Hypotheses expl (2)'!$P$102="30j",'[1]Hypotheses expl (2)'!J102,'[1]Hypotheses expl (2)'!I102))</f>
        <v>#REF!</v>
      </c>
      <c r="K50" s="390" t="e">
        <f>IF('[1]Hypotheses expl (2)'!$P$102="0j",'[1]Hypotheses expl (2)'!L102,IF('[1]Hypotheses expl (2)'!$P$102="30j",'[1]Hypotheses expl (2)'!K102,'[1]Hypotheses expl (2)'!J102))</f>
        <v>#REF!</v>
      </c>
      <c r="L50" s="390" t="e">
        <f>IF('[1]Hypotheses expl (2)'!$P$102="0j",'[1]Hypotheses expl (2)'!M102,IF('[1]Hypotheses expl (2)'!$P$102="30j",'[1]Hypotheses expl (2)'!L102,'[1]Hypotheses expl (2)'!K102))</f>
        <v>#REF!</v>
      </c>
      <c r="M50" s="390" t="e">
        <f>IF('[1]Hypotheses expl (2)'!$P$102="0j",'[1]Hypotheses expl (2)'!N102,IF('[1]Hypotheses expl (2)'!$P$102="30j",'[1]Hypotheses expl (2)'!M102,'[1]Hypotheses expl (2)'!L102))</f>
        <v>#REF!</v>
      </c>
    </row>
    <row r="51" outlineLevel="1">
      <c r="A51" s="393" t="e">
        <f>'[1]Compte résultat prévi'!A48</f>
        <v>#REF!</v>
      </c>
      <c r="B51" s="390">
        <v>100</v>
      </c>
      <c r="C51" s="390" t="e">
        <f>IF('[1]Hypotheses expl (2)'!$P$103="0j",'[1]Hypotheses expl (2)'!D103,IF('[1]Hypotheses expl (2)'!$P$103="30j",'[1]Hypotheses expl (2)'!C103,'[1]Hypotheses expl (2)'!B103))</f>
        <v>#REF!</v>
      </c>
      <c r="D51" s="390" t="e">
        <f>IF('[1]Hypotheses expl (2)'!$P$103="0j",'[1]Hypotheses expl (2)'!E103,IF('[1]Hypotheses expl (2)'!$P$103="30j",'[1]Hypotheses expl (2)'!D103,'[1]Hypotheses expl (2)'!C103))</f>
        <v>#REF!</v>
      </c>
      <c r="E51" s="390" t="e">
        <f>IF('[1]Hypotheses expl (2)'!$P$103="0j",'[1]Hypotheses expl (2)'!F103,IF('[1]Hypotheses expl (2)'!$P$103="30j",'[1]Hypotheses expl (2)'!E103,'[1]Hypotheses expl (2)'!D103))</f>
        <v>#REF!</v>
      </c>
      <c r="F51" s="390" t="e">
        <f>IF('[1]Hypotheses expl (2)'!$P$103="0j",'[1]Hypotheses expl (2)'!G103,IF('[1]Hypotheses expl (2)'!$P$103="30j",'[1]Hypotheses expl (2)'!F103,'[1]Hypotheses expl (2)'!E103))</f>
        <v>#REF!</v>
      </c>
      <c r="G51" s="390" t="e">
        <f>IF('[1]Hypotheses expl (2)'!$P$103="0j",'[1]Hypotheses expl (2)'!H103,IF('[1]Hypotheses expl (2)'!$P$103="30j",'[1]Hypotheses expl (2)'!G103,'[1]Hypotheses expl (2)'!F103))</f>
        <v>#REF!</v>
      </c>
      <c r="H51" s="390" t="e">
        <f>IF('[1]Hypotheses expl (2)'!$P$103="0j",'[1]Hypotheses expl (2)'!I103,IF('[1]Hypotheses expl (2)'!$P$103="30j",'[1]Hypotheses expl (2)'!H103,'[1]Hypotheses expl (2)'!G103))</f>
        <v>#REF!</v>
      </c>
      <c r="I51" s="390" t="e">
        <f>IF('[1]Hypotheses expl (2)'!$P$103="0j",'[1]Hypotheses expl (2)'!J103,IF('[1]Hypotheses expl (2)'!$P$103="30j",'[1]Hypotheses expl (2)'!I103,'[1]Hypotheses expl (2)'!H103))</f>
        <v>#REF!</v>
      </c>
      <c r="J51" s="390" t="e">
        <f>IF('[1]Hypotheses expl (2)'!$P$103="0j",'[1]Hypotheses expl (2)'!K103,IF('[1]Hypotheses expl (2)'!$P$103="30j",'[1]Hypotheses expl (2)'!J103,'[1]Hypotheses expl (2)'!I103))</f>
        <v>#REF!</v>
      </c>
      <c r="K51" s="390" t="e">
        <f>IF('[1]Hypotheses expl (2)'!$P$103="0j",'[1]Hypotheses expl (2)'!L103,IF('[1]Hypotheses expl (2)'!$P$103="30j",'[1]Hypotheses expl (2)'!K103,'[1]Hypotheses expl (2)'!J103))</f>
        <v>#REF!</v>
      </c>
      <c r="L51" s="390" t="e">
        <f>IF('[1]Hypotheses expl (2)'!$P$103="0j",'[1]Hypotheses expl (2)'!M103,IF('[1]Hypotheses expl (2)'!$P$103="30j",'[1]Hypotheses expl (2)'!L103,'[1]Hypotheses expl (2)'!K103))</f>
        <v>#REF!</v>
      </c>
      <c r="M51" s="390" t="e">
        <f>IF('[1]Hypotheses expl (2)'!$P$103="0j",'[1]Hypotheses expl (2)'!N103,IF('[1]Hypotheses expl (2)'!$P$103="30j",'[1]Hypotheses expl (2)'!M103,'[1]Hypotheses expl (2)'!L103))</f>
        <v>#REF!</v>
      </c>
    </row>
    <row r="52" outlineLevel="1">
      <c r="A52" s="393" t="e">
        <f>'[1]Compte résultat prévi'!A49</f>
        <v>#REF!</v>
      </c>
      <c r="B52" s="390">
        <v>125</v>
      </c>
      <c r="C52" s="390" t="e">
        <f>IF('[1]Hypotheses expl (2)'!$P$104="0j",'[1]Hypotheses expl (2)'!D104,IF('[1]Hypotheses expl (2)'!$P$104="30j",'[1]Hypotheses expl (2)'!C104,'[1]Hypotheses expl (2)'!B104))</f>
        <v>#REF!</v>
      </c>
      <c r="D52" s="390" t="e">
        <f>IF('[1]Hypotheses expl (2)'!$P$104="0j",'[1]Hypotheses expl (2)'!E104,IF('[1]Hypotheses expl (2)'!$P$104="30j",'[1]Hypotheses expl (2)'!D104,'[1]Hypotheses expl (2)'!C104))</f>
        <v>#REF!</v>
      </c>
      <c r="E52" s="390" t="e">
        <f>IF('[1]Hypotheses expl (2)'!$P$104="0j",'[1]Hypotheses expl (2)'!F104,IF('[1]Hypotheses expl (2)'!$P$104="30j",'[1]Hypotheses expl (2)'!E104,'[1]Hypotheses expl (2)'!D104))</f>
        <v>#REF!</v>
      </c>
      <c r="F52" s="390" t="e">
        <f>IF('[1]Hypotheses expl (2)'!$P$104="0j",'[1]Hypotheses expl (2)'!G104,IF('[1]Hypotheses expl (2)'!$P$104="30j",'[1]Hypotheses expl (2)'!F104,'[1]Hypotheses expl (2)'!E104))</f>
        <v>#REF!</v>
      </c>
      <c r="G52" s="390" t="e">
        <f>IF('[1]Hypotheses expl (2)'!$P$104="0j",'[1]Hypotheses expl (2)'!H104,IF('[1]Hypotheses expl (2)'!$P$104="30j",'[1]Hypotheses expl (2)'!G104,'[1]Hypotheses expl (2)'!F104))</f>
        <v>#REF!</v>
      </c>
      <c r="H52" s="390" t="e">
        <f>IF('[1]Hypotheses expl (2)'!$P$104="0j",'[1]Hypotheses expl (2)'!I104,IF('[1]Hypotheses expl (2)'!$P$104="30j",'[1]Hypotheses expl (2)'!H104,'[1]Hypotheses expl (2)'!G104))</f>
        <v>#REF!</v>
      </c>
      <c r="I52" s="390" t="e">
        <f>IF('[1]Hypotheses expl (2)'!$P$104="0j",'[1]Hypotheses expl (2)'!J104,IF('[1]Hypotheses expl (2)'!$P$104="30j",'[1]Hypotheses expl (2)'!I104,'[1]Hypotheses expl (2)'!H104))</f>
        <v>#REF!</v>
      </c>
      <c r="J52" s="390" t="e">
        <f>IF('[1]Hypotheses expl (2)'!$P$104="0j",'[1]Hypotheses expl (2)'!K104,IF('[1]Hypotheses expl (2)'!$P$104="30j",'[1]Hypotheses expl (2)'!J104,'[1]Hypotheses expl (2)'!I104))</f>
        <v>#REF!</v>
      </c>
      <c r="K52" s="390" t="e">
        <f>IF('[1]Hypotheses expl (2)'!$P$104="0j",'[1]Hypotheses expl (2)'!L104,IF('[1]Hypotheses expl (2)'!$P$104="30j",'[1]Hypotheses expl (2)'!K104,'[1]Hypotheses expl (2)'!J104))</f>
        <v>#REF!</v>
      </c>
      <c r="L52" s="390" t="e">
        <f>IF('[1]Hypotheses expl (2)'!$P$104="0j",'[1]Hypotheses expl (2)'!M104,IF('[1]Hypotheses expl (2)'!$P$104="30j",'[1]Hypotheses expl (2)'!L104,'[1]Hypotheses expl (2)'!K104))</f>
        <v>#REF!</v>
      </c>
      <c r="M52" s="390" t="e">
        <f>IF('[1]Hypotheses expl (2)'!$P$104="0j",'[1]Hypotheses expl (2)'!N104,IF('[1]Hypotheses expl (2)'!$P$104="30j",'[1]Hypotheses expl (2)'!M104,'[1]Hypotheses expl (2)'!L104))</f>
        <v>#REF!</v>
      </c>
    </row>
    <row r="53" outlineLevel="1">
      <c r="A53" s="393" t="e">
        <f>'[1]Compte résultat prévi'!A50</f>
        <v>#REF!</v>
      </c>
      <c r="B53" s="390">
        <v>156</v>
      </c>
      <c r="C53" s="390" t="e">
        <f>IF('[1]Hypotheses expl (2)'!$P$105="0j",'[1]Hypotheses expl (2)'!D105,IF('[1]Hypotheses expl (2)'!$P$105="30j",'[1]Hypotheses expl (2)'!C105,'[1]Hypotheses expl (2)'!B105))</f>
        <v>#REF!</v>
      </c>
      <c r="D53" s="390" t="e">
        <f>IF('[1]Hypotheses expl (2)'!$P$105="0j",'[1]Hypotheses expl (2)'!E105,IF('[1]Hypotheses expl (2)'!$P$105="30j",'[1]Hypotheses expl (2)'!D105,'[1]Hypotheses expl (2)'!C105))</f>
        <v>#REF!</v>
      </c>
      <c r="E53" s="390" t="e">
        <f>IF('[1]Hypotheses expl (2)'!$P$105="0j",'[1]Hypotheses expl (2)'!F105,IF('[1]Hypotheses expl (2)'!$P$105="30j",'[1]Hypotheses expl (2)'!E105,'[1]Hypotheses expl (2)'!D105))</f>
        <v>#REF!</v>
      </c>
      <c r="F53" s="390" t="e">
        <f>IF('[1]Hypotheses expl (2)'!$P$105="0j",'[1]Hypotheses expl (2)'!G105,IF('[1]Hypotheses expl (2)'!$P$105="30j",'[1]Hypotheses expl (2)'!F105,'[1]Hypotheses expl (2)'!E105))</f>
        <v>#REF!</v>
      </c>
      <c r="G53" s="390" t="e">
        <f>IF('[1]Hypotheses expl (2)'!$P$105="0j",'[1]Hypotheses expl (2)'!H105,IF('[1]Hypotheses expl (2)'!$P$105="30j",'[1]Hypotheses expl (2)'!G105,'[1]Hypotheses expl (2)'!F105))</f>
        <v>#REF!</v>
      </c>
      <c r="H53" s="390" t="e">
        <f>IF('[1]Hypotheses expl (2)'!$P$105="0j",'[1]Hypotheses expl (2)'!I105,IF('[1]Hypotheses expl (2)'!$P$105="30j",'[1]Hypotheses expl (2)'!H105,'[1]Hypotheses expl (2)'!G105))</f>
        <v>#REF!</v>
      </c>
      <c r="I53" s="390" t="e">
        <f>IF('[1]Hypotheses expl (2)'!$P$105="0j",'[1]Hypotheses expl (2)'!J105,IF('[1]Hypotheses expl (2)'!$P$105="30j",'[1]Hypotheses expl (2)'!I105,'[1]Hypotheses expl (2)'!H105))</f>
        <v>#REF!</v>
      </c>
      <c r="J53" s="390" t="e">
        <f>IF('[1]Hypotheses expl (2)'!$P$105="0j",'[1]Hypotheses expl (2)'!K105,IF('[1]Hypotheses expl (2)'!$P$105="30j",'[1]Hypotheses expl (2)'!J105,'[1]Hypotheses expl (2)'!I105))</f>
        <v>#REF!</v>
      </c>
      <c r="K53" s="390" t="e">
        <f>IF('[1]Hypotheses expl (2)'!$P$105="0j",'[1]Hypotheses expl (2)'!L105,IF('[1]Hypotheses expl (2)'!$P$105="30j",'[1]Hypotheses expl (2)'!K105,'[1]Hypotheses expl (2)'!J105))</f>
        <v>#REF!</v>
      </c>
      <c r="L53" s="390" t="e">
        <f>IF('[1]Hypotheses expl (2)'!$P$105="0j",'[1]Hypotheses expl (2)'!M105,IF('[1]Hypotheses expl (2)'!$P$105="30j",'[1]Hypotheses expl (2)'!L105,'[1]Hypotheses expl (2)'!K105))</f>
        <v>#REF!</v>
      </c>
      <c r="M53" s="390" t="e">
        <f>IF('[1]Hypotheses expl (2)'!$P$105="0j",'[1]Hypotheses expl (2)'!N105,IF('[1]Hypotheses expl (2)'!$P$105="30j",'[1]Hypotheses expl (2)'!M105,'[1]Hypotheses expl (2)'!L105))</f>
        <v>#REF!</v>
      </c>
    </row>
    <row r="54" outlineLevel="1">
      <c r="A54" s="393" t="e">
        <f>'[1]Compte résultat prévi'!A51</f>
        <v>#REF!</v>
      </c>
      <c r="B54" s="390">
        <v>5165.1499999999996</v>
      </c>
      <c r="C54" s="390" t="e">
        <f>IF('[1]Hypotheses expl (2)'!$P$106="0j",'[1]Hypotheses expl (2)'!D106,IF('[1]Hypotheses expl (2)'!$P$106="30j",'[1]Hypotheses expl (2)'!C106,'[1]Hypotheses expl (2)'!B106))</f>
        <v>#REF!</v>
      </c>
      <c r="D54" s="390" t="e">
        <f>IF('[1]Hypotheses expl (2)'!$P$106="0j",'[1]Hypotheses expl (2)'!E106,IF('[1]Hypotheses expl (2)'!$P$106="30j",'[1]Hypotheses expl (2)'!D106,'[1]Hypotheses expl (2)'!C106))</f>
        <v>#REF!</v>
      </c>
      <c r="E54" s="390" t="e">
        <f>IF('[1]Hypotheses expl (2)'!$P$106="0j",'[1]Hypotheses expl (2)'!F106,IF('[1]Hypotheses expl (2)'!$P$106="30j",'[1]Hypotheses expl (2)'!E106,'[1]Hypotheses expl (2)'!D106))</f>
        <v>#REF!</v>
      </c>
      <c r="F54" s="390" t="e">
        <f>IF('[1]Hypotheses expl (2)'!$P$106="0j",'[1]Hypotheses expl (2)'!G106,IF('[1]Hypotheses expl (2)'!$P$106="30j",'[1]Hypotheses expl (2)'!F106,'[1]Hypotheses expl (2)'!E106))</f>
        <v>#REF!</v>
      </c>
      <c r="G54" s="390" t="e">
        <f>IF('[1]Hypotheses expl (2)'!$P$106="0j",'[1]Hypotheses expl (2)'!H106,IF('[1]Hypotheses expl (2)'!$P$106="30j",'[1]Hypotheses expl (2)'!G106,'[1]Hypotheses expl (2)'!F106))</f>
        <v>#REF!</v>
      </c>
      <c r="H54" s="390" t="e">
        <f>IF('[1]Hypotheses expl (2)'!$P$106="0j",'[1]Hypotheses expl (2)'!I106,IF('[1]Hypotheses expl (2)'!$P$106="30j",'[1]Hypotheses expl (2)'!H106,'[1]Hypotheses expl (2)'!G106))</f>
        <v>#REF!</v>
      </c>
      <c r="I54" s="390" t="e">
        <f>IF('[1]Hypotheses expl (2)'!$P$106="0j",'[1]Hypotheses expl (2)'!J106,IF('[1]Hypotheses expl (2)'!$P$106="30j",'[1]Hypotheses expl (2)'!I106,'[1]Hypotheses expl (2)'!H106))</f>
        <v>#REF!</v>
      </c>
      <c r="J54" s="390" t="e">
        <f>IF('[1]Hypotheses expl (2)'!$P$106="0j",'[1]Hypotheses expl (2)'!K106,IF('[1]Hypotheses expl (2)'!$P$106="30j",'[1]Hypotheses expl (2)'!J106,'[1]Hypotheses expl (2)'!I106))</f>
        <v>#REF!</v>
      </c>
      <c r="K54" s="390" t="e">
        <f>IF('[1]Hypotheses expl (2)'!$P$106="0j",'[1]Hypotheses expl (2)'!L106,IF('[1]Hypotheses expl (2)'!$P$106="30j",'[1]Hypotheses expl (2)'!K106,'[1]Hypotheses expl (2)'!J106))</f>
        <v>#REF!</v>
      </c>
      <c r="L54" s="390" t="e">
        <f>IF('[1]Hypotheses expl (2)'!$P$106="0j",'[1]Hypotheses expl (2)'!M106,IF('[1]Hypotheses expl (2)'!$P$106="30j",'[1]Hypotheses expl (2)'!L106,'[1]Hypotheses expl (2)'!K106))</f>
        <v>#REF!</v>
      </c>
      <c r="M54" s="390" t="e">
        <f>IF('[1]Hypotheses expl (2)'!$P$106="0j",'[1]Hypotheses expl (2)'!N106,IF('[1]Hypotheses expl (2)'!$P$106="30j",'[1]Hypotheses expl (2)'!M106,'[1]Hypotheses expl (2)'!L106))</f>
        <v>#REF!</v>
      </c>
    </row>
    <row r="55" outlineLevel="1">
      <c r="A55" s="393" t="e">
        <f>'[1]Compte résultat prévi'!A52</f>
        <v>#REF!</v>
      </c>
      <c r="B55" s="390">
        <v>985</v>
      </c>
      <c r="C55" s="390" t="e">
        <f>IF('[1]Hypotheses expl (2)'!$P$107="0j",'[1]Hypotheses expl (2)'!D107,IF('[1]Hypotheses expl (2)'!$P$107="30j",'[1]Hypotheses expl (2)'!C107,'[1]Hypotheses expl (2)'!B107))</f>
        <v>#REF!</v>
      </c>
      <c r="D55" s="390" t="e">
        <f>IF('[1]Hypotheses expl (2)'!$P$107="0j",'[1]Hypotheses expl (2)'!E107,IF('[1]Hypotheses expl (2)'!$P$107="30j",'[1]Hypotheses expl (2)'!D107,'[1]Hypotheses expl (2)'!C107))</f>
        <v>#REF!</v>
      </c>
      <c r="E55" s="390" t="e">
        <f>IF('[1]Hypotheses expl (2)'!$P$107="0j",'[1]Hypotheses expl (2)'!F107,IF('[1]Hypotheses expl (2)'!$P$107="30j",'[1]Hypotheses expl (2)'!E107,'[1]Hypotheses expl (2)'!D107))</f>
        <v>#REF!</v>
      </c>
      <c r="F55" s="390" t="e">
        <f>IF('[1]Hypotheses expl (2)'!$P$107="0j",'[1]Hypotheses expl (2)'!G107,IF('[1]Hypotheses expl (2)'!$P$107="30j",'[1]Hypotheses expl (2)'!F107,'[1]Hypotheses expl (2)'!E107))</f>
        <v>#REF!</v>
      </c>
      <c r="G55" s="390" t="e">
        <f>IF('[1]Hypotheses expl (2)'!$P$107="0j",'[1]Hypotheses expl (2)'!H107,IF('[1]Hypotheses expl (2)'!$P$107="30j",'[1]Hypotheses expl (2)'!G107,'[1]Hypotheses expl (2)'!F107))</f>
        <v>#REF!</v>
      </c>
      <c r="H55" s="390" t="e">
        <f>IF('[1]Hypotheses expl (2)'!$P$107="0j",'[1]Hypotheses expl (2)'!I107,IF('[1]Hypotheses expl (2)'!$P$107="30j",'[1]Hypotheses expl (2)'!H107,'[1]Hypotheses expl (2)'!G107))</f>
        <v>#REF!</v>
      </c>
      <c r="I55" s="390" t="e">
        <f>IF('[1]Hypotheses expl (2)'!$P$107="0j",'[1]Hypotheses expl (2)'!J107,IF('[1]Hypotheses expl (2)'!$P$107="30j",'[1]Hypotheses expl (2)'!I107,'[1]Hypotheses expl (2)'!H107))</f>
        <v>#REF!</v>
      </c>
      <c r="J55" s="390" t="e">
        <f>IF('[1]Hypotheses expl (2)'!$P$107="0j",'[1]Hypotheses expl (2)'!K107,IF('[1]Hypotheses expl (2)'!$P$107="30j",'[1]Hypotheses expl (2)'!J107,'[1]Hypotheses expl (2)'!I107))</f>
        <v>#REF!</v>
      </c>
      <c r="K55" s="390" t="e">
        <f>IF('[1]Hypotheses expl (2)'!$P$107="0j",'[1]Hypotheses expl (2)'!L107,IF('[1]Hypotheses expl (2)'!$P$107="30j",'[1]Hypotheses expl (2)'!K107,'[1]Hypotheses expl (2)'!J107))</f>
        <v>#REF!</v>
      </c>
      <c r="L55" s="390" t="e">
        <f>IF('[1]Hypotheses expl (2)'!$P$107="0j",'[1]Hypotheses expl (2)'!M107,IF('[1]Hypotheses expl (2)'!$P$107="30j",'[1]Hypotheses expl (2)'!L107,'[1]Hypotheses expl (2)'!K107))</f>
        <v>#REF!</v>
      </c>
      <c r="M55" s="390" t="e">
        <f>IF('[1]Hypotheses expl (2)'!$P$107="0j",'[1]Hypotheses expl (2)'!N107,IF('[1]Hypotheses expl (2)'!$P$107="30j",'[1]Hypotheses expl (2)'!M107,'[1]Hypotheses expl (2)'!L107))</f>
        <v>#REF!</v>
      </c>
    </row>
    <row r="56" outlineLevel="1">
      <c r="A56" s="393" t="e">
        <f>'[1]Compte résultat prévi'!A53</f>
        <v>#REF!</v>
      </c>
      <c r="B56" s="390" t="e">
        <f>IF('[1]Hypotheses expl (2)'!$P$108="0j",'[1]Hypotheses expl (2)'!C108,IF('[1]Hypotheses expl (2)'!$P$108="30j",'[1]Hypotheses expl (2)'!B108,'[1]Hypotheses expl (2)'!A108))</f>
        <v>#REF!</v>
      </c>
      <c r="C56" s="390" t="e">
        <f>IF('[1]Hypotheses expl (2)'!$P$108="0j",'[1]Hypotheses expl (2)'!D108,IF('[1]Hypotheses expl (2)'!$P$108="30j",'[1]Hypotheses expl (2)'!C108,'[1]Hypotheses expl (2)'!B108))</f>
        <v>#REF!</v>
      </c>
      <c r="D56" s="390" t="e">
        <f>IF('[1]Hypotheses expl (2)'!$P$108="0j",'[1]Hypotheses expl (2)'!E108,IF('[1]Hypotheses expl (2)'!$P$108="30j",'[1]Hypotheses expl (2)'!D108,'[1]Hypotheses expl (2)'!C108))</f>
        <v>#REF!</v>
      </c>
      <c r="E56" s="390" t="e">
        <f>IF('[1]Hypotheses expl (2)'!$P$108="0j",'[1]Hypotheses expl (2)'!F108,IF('[1]Hypotheses expl (2)'!$P$108="30j",'[1]Hypotheses expl (2)'!E108,'[1]Hypotheses expl (2)'!D108))</f>
        <v>#REF!</v>
      </c>
      <c r="F56" s="390" t="e">
        <f>IF('[1]Hypotheses expl (2)'!$P$108="0j",'[1]Hypotheses expl (2)'!G108,IF('[1]Hypotheses expl (2)'!$P$108="30j",'[1]Hypotheses expl (2)'!F108,'[1]Hypotheses expl (2)'!E108))</f>
        <v>#REF!</v>
      </c>
      <c r="G56" s="390" t="e">
        <f>IF('[1]Hypotheses expl (2)'!$P$108="0j",'[1]Hypotheses expl (2)'!H108,IF('[1]Hypotheses expl (2)'!$P$108="30j",'[1]Hypotheses expl (2)'!G108,'[1]Hypotheses expl (2)'!F108))</f>
        <v>#REF!</v>
      </c>
      <c r="H56" s="390" t="e">
        <f>IF('[1]Hypotheses expl (2)'!$P$108="0j",'[1]Hypotheses expl (2)'!I108,IF('[1]Hypotheses expl (2)'!$P$108="30j",'[1]Hypotheses expl (2)'!H108,'[1]Hypotheses expl (2)'!G108))</f>
        <v>#REF!</v>
      </c>
      <c r="I56" s="390" t="e">
        <f>IF('[1]Hypotheses expl (2)'!$P$108="0j",'[1]Hypotheses expl (2)'!J108,IF('[1]Hypotheses expl (2)'!$P$108="30j",'[1]Hypotheses expl (2)'!I108,'[1]Hypotheses expl (2)'!H108))</f>
        <v>#REF!</v>
      </c>
      <c r="J56" s="390" t="e">
        <f>IF('[1]Hypotheses expl (2)'!$P$108="0j",'[1]Hypotheses expl (2)'!K108,IF('[1]Hypotheses expl (2)'!$P$108="30j",'[1]Hypotheses expl (2)'!J108,'[1]Hypotheses expl (2)'!I108))</f>
        <v>#REF!</v>
      </c>
      <c r="K56" s="390" t="e">
        <f>IF('[1]Hypotheses expl (2)'!$P$108="0j",'[1]Hypotheses expl (2)'!L108,IF('[1]Hypotheses expl (2)'!$P$108="30j",'[1]Hypotheses expl (2)'!K108,'[1]Hypotheses expl (2)'!J108))</f>
        <v>#REF!</v>
      </c>
      <c r="L56" s="390" t="e">
        <f>IF('[1]Hypotheses expl (2)'!$P$108="0j",'[1]Hypotheses expl (2)'!M108,IF('[1]Hypotheses expl (2)'!$P$108="30j",'[1]Hypotheses expl (2)'!L108,'[1]Hypotheses expl (2)'!K108))</f>
        <v>#REF!</v>
      </c>
      <c r="M56" s="390" t="e">
        <f>IF('[1]Hypotheses expl (2)'!$P$108="0j",'[1]Hypotheses expl (2)'!N108,IF('[1]Hypotheses expl (2)'!$P$108="30j",'[1]Hypotheses expl (2)'!M108,'[1]Hypotheses expl (2)'!L108))</f>
        <v>#REF!</v>
      </c>
    </row>
    <row r="57" outlineLevel="1">
      <c r="A57" s="393" t="e">
        <f>'[1]Compte résultat prévi'!A54</f>
        <v>#REF!</v>
      </c>
      <c r="B57" s="390" t="e">
        <f>IF('[1]Hypotheses expl (2)'!$P$109="0j",'[1]Hypotheses expl (2)'!C109,IF('[1]Hypotheses expl (2)'!$P$109="30j",'[1]Hypotheses expl (2)'!B109,'[1]Hypotheses expl (2)'!A109))</f>
        <v>#REF!</v>
      </c>
      <c r="C57" s="390" t="e">
        <f>IF('[1]Hypotheses expl (2)'!$P$109="0j",'[1]Hypotheses expl (2)'!D109,IF('[1]Hypotheses expl (2)'!$P$109="30j",'[1]Hypotheses expl (2)'!C109,'[1]Hypotheses expl (2)'!B109))</f>
        <v>#REF!</v>
      </c>
      <c r="D57" s="390" t="e">
        <f>IF('[1]Hypotheses expl (2)'!$P$109="0j",'[1]Hypotheses expl (2)'!E109,IF('[1]Hypotheses expl (2)'!$P$109="30j",'[1]Hypotheses expl (2)'!D109,'[1]Hypotheses expl (2)'!C109))</f>
        <v>#REF!</v>
      </c>
      <c r="E57" s="390" t="e">
        <f>IF('[1]Hypotheses expl (2)'!$P$109="0j",'[1]Hypotheses expl (2)'!F109,IF('[1]Hypotheses expl (2)'!$P$109="30j",'[1]Hypotheses expl (2)'!E109,'[1]Hypotheses expl (2)'!D109))</f>
        <v>#REF!</v>
      </c>
      <c r="F57" s="390" t="e">
        <f>IF('[1]Hypotheses expl (2)'!$P$109="0j",'[1]Hypotheses expl (2)'!G109,IF('[1]Hypotheses expl (2)'!$P$109="30j",'[1]Hypotheses expl (2)'!F109,'[1]Hypotheses expl (2)'!E109))</f>
        <v>#REF!</v>
      </c>
      <c r="G57" s="390" t="e">
        <f>IF('[1]Hypotheses expl (2)'!$P$109="0j",'[1]Hypotheses expl (2)'!H109,IF('[1]Hypotheses expl (2)'!$P$109="30j",'[1]Hypotheses expl (2)'!G109,'[1]Hypotheses expl (2)'!F109))</f>
        <v>#REF!</v>
      </c>
      <c r="H57" s="390" t="e">
        <f>IF('[1]Hypotheses expl (2)'!$P$109="0j",'[1]Hypotheses expl (2)'!I109,IF('[1]Hypotheses expl (2)'!$P$109="30j",'[1]Hypotheses expl (2)'!H109,'[1]Hypotheses expl (2)'!G109))</f>
        <v>#REF!</v>
      </c>
      <c r="I57" s="390" t="e">
        <f>IF('[1]Hypotheses expl (2)'!$P$109="0j",'[1]Hypotheses expl (2)'!J109,IF('[1]Hypotheses expl (2)'!$P$109="30j",'[1]Hypotheses expl (2)'!I109,'[1]Hypotheses expl (2)'!H109))</f>
        <v>#REF!</v>
      </c>
      <c r="J57" s="390" t="e">
        <f>IF('[1]Hypotheses expl (2)'!$P$109="0j",'[1]Hypotheses expl (2)'!K109,IF('[1]Hypotheses expl (2)'!$P$109="30j",'[1]Hypotheses expl (2)'!J109,'[1]Hypotheses expl (2)'!I109))</f>
        <v>#REF!</v>
      </c>
      <c r="K57" s="390" t="e">
        <f>IF('[1]Hypotheses expl (2)'!$P$109="0j",'[1]Hypotheses expl (2)'!L109,IF('[1]Hypotheses expl (2)'!$P$109="30j",'[1]Hypotheses expl (2)'!K109,'[1]Hypotheses expl (2)'!J109))</f>
        <v>#REF!</v>
      </c>
      <c r="L57" s="390" t="e">
        <f>IF('[1]Hypotheses expl (2)'!$P$109="0j",'[1]Hypotheses expl (2)'!M109,IF('[1]Hypotheses expl (2)'!$P$109="30j",'[1]Hypotheses expl (2)'!L109,'[1]Hypotheses expl (2)'!K109))</f>
        <v>#REF!</v>
      </c>
      <c r="M57" s="390" t="e">
        <f>IF('[1]Hypotheses expl (2)'!$P$109="0j",'[1]Hypotheses expl (2)'!N109,IF('[1]Hypotheses expl (2)'!$P$109="30j",'[1]Hypotheses expl (2)'!M109,'[1]Hypotheses expl (2)'!L109))</f>
        <v>#REF!</v>
      </c>
    </row>
    <row r="58" outlineLevel="1">
      <c r="A58" s="393" t="e">
        <f>'[1]Compte résultat prévi'!A55</f>
        <v>#REF!</v>
      </c>
      <c r="B58" s="390">
        <f>1275+412</f>
        <v>1687</v>
      </c>
      <c r="C58" s="390" t="e">
        <f>IF('[1]Hypotheses expl (2)'!$P$110="0j",'[1]Hypotheses expl (2)'!D110,IF('[1]Hypotheses expl (2)'!$P$110="30j",'[1]Hypotheses expl (2)'!C110,'[1]Hypotheses expl (2)'!B110))</f>
        <v>#REF!</v>
      </c>
      <c r="D58" s="390" t="e">
        <f>IF('[1]Hypotheses expl (2)'!$P$110="0j",'[1]Hypotheses expl (2)'!E110,IF('[1]Hypotheses expl (2)'!$P$110="30j",'[1]Hypotheses expl (2)'!D110,'[1]Hypotheses expl (2)'!C110))</f>
        <v>#REF!</v>
      </c>
      <c r="E58" s="390" t="e">
        <f>IF('[1]Hypotheses expl (2)'!$P$110="0j",'[1]Hypotheses expl (2)'!F110,IF('[1]Hypotheses expl (2)'!$P$110="30j",'[1]Hypotheses expl (2)'!E110,'[1]Hypotheses expl (2)'!D110))</f>
        <v>#REF!</v>
      </c>
      <c r="F58" s="390" t="e">
        <f>IF('[1]Hypotheses expl (2)'!$P$110="0j",'[1]Hypotheses expl (2)'!G110,IF('[1]Hypotheses expl (2)'!$P$110="30j",'[1]Hypotheses expl (2)'!F110,'[1]Hypotheses expl (2)'!E110))</f>
        <v>#REF!</v>
      </c>
      <c r="G58" s="390" t="e">
        <f>IF('[1]Hypotheses expl (2)'!$P$110="0j",'[1]Hypotheses expl (2)'!H110,IF('[1]Hypotheses expl (2)'!$P$110="30j",'[1]Hypotheses expl (2)'!G110,'[1]Hypotheses expl (2)'!F110))</f>
        <v>#REF!</v>
      </c>
      <c r="H58" s="390" t="e">
        <f>IF('[1]Hypotheses expl (2)'!$P$110="0j",'[1]Hypotheses expl (2)'!I110,IF('[1]Hypotheses expl (2)'!$P$110="30j",'[1]Hypotheses expl (2)'!H110,'[1]Hypotheses expl (2)'!G110))</f>
        <v>#REF!</v>
      </c>
      <c r="I58" s="390" t="e">
        <f>IF('[1]Hypotheses expl (2)'!$P$110="0j",'[1]Hypotheses expl (2)'!J110,IF('[1]Hypotheses expl (2)'!$P$110="30j",'[1]Hypotheses expl (2)'!I110,'[1]Hypotheses expl (2)'!H110))</f>
        <v>#REF!</v>
      </c>
      <c r="J58" s="390" t="e">
        <f>IF('[1]Hypotheses expl (2)'!$P$110="0j",'[1]Hypotheses expl (2)'!K110,IF('[1]Hypotheses expl (2)'!$P$110="30j",'[1]Hypotheses expl (2)'!J110,'[1]Hypotheses expl (2)'!I110))</f>
        <v>#REF!</v>
      </c>
      <c r="K58" s="390" t="e">
        <f>IF('[1]Hypotheses expl (2)'!$P$110="0j",'[1]Hypotheses expl (2)'!L110,IF('[1]Hypotheses expl (2)'!$P$110="30j",'[1]Hypotheses expl (2)'!K110,'[1]Hypotheses expl (2)'!J110))</f>
        <v>#REF!</v>
      </c>
      <c r="L58" s="390" t="e">
        <f>IF('[1]Hypotheses expl (2)'!$P$110="0j",'[1]Hypotheses expl (2)'!M110,IF('[1]Hypotheses expl (2)'!$P$110="30j",'[1]Hypotheses expl (2)'!L110,'[1]Hypotheses expl (2)'!K110))</f>
        <v>#REF!</v>
      </c>
      <c r="M58" s="390" t="e">
        <f>IF('[1]Hypotheses expl (2)'!$P$110="0j",'[1]Hypotheses expl (2)'!N110,IF('[1]Hypotheses expl (2)'!$P$110="30j",'[1]Hypotheses expl (2)'!M110,'[1]Hypotheses expl (2)'!L110))</f>
        <v>#REF!</v>
      </c>
    </row>
    <row r="59" outlineLevel="1">
      <c r="A59" s="393" t="e">
        <f>'[1]Compte résultat prévi'!A56</f>
        <v>#REF!</v>
      </c>
      <c r="B59" s="390">
        <v>4112.6800000000003</v>
      </c>
      <c r="C59" s="390">
        <v>6865.8400000000001</v>
      </c>
      <c r="D59" s="390">
        <v>10034.690000000001</v>
      </c>
      <c r="E59" s="390">
        <v>9316.1000000000004</v>
      </c>
      <c r="F59" s="390">
        <v>2161.25</v>
      </c>
      <c r="G59" s="390">
        <v>2341.8000000000002</v>
      </c>
      <c r="H59" s="390">
        <v>4898.2600000000002</v>
      </c>
      <c r="I59" s="390"/>
      <c r="J59" s="390">
        <v>9936</v>
      </c>
      <c r="K59" s="390">
        <v>12085</v>
      </c>
      <c r="L59" s="390">
        <v>8227.3899999999994</v>
      </c>
      <c r="M59" s="390">
        <v>13008.4</v>
      </c>
    </row>
    <row r="60" outlineLevel="1">
      <c r="A60" s="393" t="e">
        <f>'[1]Compte résultat prévi'!A57</f>
        <v>#REF!</v>
      </c>
      <c r="B60" s="390">
        <v>0</v>
      </c>
      <c r="C60" s="390" t="e">
        <f>IF('[1]Hypotheses expl (2)'!$P$112="0j",'[1]Hypotheses expl (2)'!D112,IF('[1]Hypotheses expl (2)'!$P$112="30j",'[1]Hypotheses expl (2)'!C112,'[1]Hypotheses expl (2)'!B112))</f>
        <v>#REF!</v>
      </c>
      <c r="D60" s="390">
        <v>51723</v>
      </c>
      <c r="E60" s="390" t="e">
        <f>IF('[1]Hypotheses expl (2)'!$P$112="0j",'[1]Hypotheses expl (2)'!F112,IF('[1]Hypotheses expl (2)'!$P$112="30j",'[1]Hypotheses expl (2)'!E112,'[1]Hypotheses expl (2)'!D112))</f>
        <v>#REF!</v>
      </c>
      <c r="F60" s="390" t="e">
        <f>IF('[1]Hypotheses expl (2)'!$P$112="0j",'[1]Hypotheses expl (2)'!G112,IF('[1]Hypotheses expl (2)'!$P$112="30j",'[1]Hypotheses expl (2)'!F112,'[1]Hypotheses expl (2)'!E112))</f>
        <v>#REF!</v>
      </c>
      <c r="G60" s="390" t="e">
        <f>IF('[1]Hypotheses expl (2)'!$P$112="0j",'[1]Hypotheses expl (2)'!H112,IF('[1]Hypotheses expl (2)'!$P$112="30j",'[1]Hypotheses expl (2)'!G112,'[1]Hypotheses expl (2)'!F112))</f>
        <v>#REF!</v>
      </c>
      <c r="H60" s="390" t="e">
        <f>IF('[1]Hypotheses expl (2)'!$P$112="0j",'[1]Hypotheses expl (2)'!I112,IF('[1]Hypotheses expl (2)'!$P$112="30j",'[1]Hypotheses expl (2)'!H112,'[1]Hypotheses expl (2)'!G112))+51723</f>
        <v>#REF!</v>
      </c>
      <c r="I60" s="390" t="e">
        <f>IF('[1]Hypotheses expl (2)'!$P$112="0j",'[1]Hypotheses expl (2)'!J112,IF('[1]Hypotheses expl (2)'!$P$112="30j",'[1]Hypotheses expl (2)'!I112,'[1]Hypotheses expl (2)'!H112))</f>
        <v>#REF!</v>
      </c>
      <c r="J60" s="390" t="e">
        <f>IF('[1]Hypotheses expl (2)'!$P$112="0j",'[1]Hypotheses expl (2)'!K112,IF('[1]Hypotheses expl (2)'!$P$112="30j",'[1]Hypotheses expl (2)'!J112,'[1]Hypotheses expl (2)'!I112))+(51723)</f>
        <v>#REF!</v>
      </c>
      <c r="K60" s="390" t="e">
        <f>IF('[1]Hypotheses expl (2)'!$P$112="0j",'[1]Hypotheses expl (2)'!L112,IF('[1]Hypotheses expl (2)'!$P$112="30j",'[1]Hypotheses expl (2)'!K112,'[1]Hypotheses expl (2)'!J112))</f>
        <v>#REF!</v>
      </c>
      <c r="L60" s="390" t="e">
        <f>IF('[1]Hypotheses expl (2)'!$P$112="0j",'[1]Hypotheses expl (2)'!M112,IF('[1]Hypotheses expl (2)'!$P$112="30j",'[1]Hypotheses expl (2)'!L112,'[1]Hypotheses expl (2)'!K112))</f>
        <v>#REF!</v>
      </c>
      <c r="M60" s="390" t="e">
        <f>IF('[1]Hypotheses expl (2)'!$P$112="0j",'[1]Hypotheses expl (2)'!N112,IF('[1]Hypotheses expl (2)'!$P$112="30j",'[1]Hypotheses expl (2)'!M112,'[1]Hypotheses expl (2)'!L112))</f>
        <v>#REF!</v>
      </c>
    </row>
    <row r="61" outlineLevel="1">
      <c r="A61" s="393" t="e">
        <f>'[1]Compte résultat prévi'!A58</f>
        <v>#REF!</v>
      </c>
      <c r="B61" s="390">
        <f>6458+206</f>
        <v>6664</v>
      </c>
      <c r="C61" s="390" t="e">
        <f>IF('[1]Hypotheses expl (2)'!$P$113="0j",'[1]Hypotheses expl (2)'!D113,IF('[1]Hypotheses expl (2)'!$P$113="30j",'[1]Hypotheses expl (2)'!C113,'[1]Hypotheses expl (2)'!B113))</f>
        <v>#REF!</v>
      </c>
      <c r="D61" s="390" t="e">
        <f>IF('[1]Hypotheses expl (2)'!$P$113="0j",'[1]Hypotheses expl (2)'!E113,IF('[1]Hypotheses expl (2)'!$P$113="30j",'[1]Hypotheses expl (2)'!D113,'[1]Hypotheses expl (2)'!C113))</f>
        <v>#REF!</v>
      </c>
      <c r="E61" s="390" t="e">
        <f>IF('[1]Hypotheses expl (2)'!$P$113="0j",'[1]Hypotheses expl (2)'!F113,IF('[1]Hypotheses expl (2)'!$P$113="30j",'[1]Hypotheses expl (2)'!E113,'[1]Hypotheses expl (2)'!D113))</f>
        <v>#REF!</v>
      </c>
      <c r="F61" s="390" t="e">
        <f>IF('[1]Hypotheses expl (2)'!$P$113="0j",'[1]Hypotheses expl (2)'!G113,IF('[1]Hypotheses expl (2)'!$P$113="30j",'[1]Hypotheses expl (2)'!F113,'[1]Hypotheses expl (2)'!E113))</f>
        <v>#REF!</v>
      </c>
      <c r="G61" s="390" t="e">
        <f>IF('[1]Hypotheses expl (2)'!$P$113="0j",'[1]Hypotheses expl (2)'!H113,IF('[1]Hypotheses expl (2)'!$P$113="30j",'[1]Hypotheses expl (2)'!G113,'[1]Hypotheses expl (2)'!F113))</f>
        <v>#REF!</v>
      </c>
      <c r="H61" s="390" t="e">
        <f>IF('[1]Hypotheses expl (2)'!$P$113="0j",'[1]Hypotheses expl (2)'!I113,IF('[1]Hypotheses expl (2)'!$P$113="30j",'[1]Hypotheses expl (2)'!H113,'[1]Hypotheses expl (2)'!G113))</f>
        <v>#REF!</v>
      </c>
      <c r="I61" s="390" t="e">
        <f>IF('[1]Hypotheses expl (2)'!$P$113="0j",'[1]Hypotheses expl (2)'!J113,IF('[1]Hypotheses expl (2)'!$P$113="30j",'[1]Hypotheses expl (2)'!I113,'[1]Hypotheses expl (2)'!H113))</f>
        <v>#REF!</v>
      </c>
      <c r="J61" s="390" t="e">
        <f>IF('[1]Hypotheses expl (2)'!$P$113="0j",'[1]Hypotheses expl (2)'!K113,IF('[1]Hypotheses expl (2)'!$P$113="30j",'[1]Hypotheses expl (2)'!J113,'[1]Hypotheses expl (2)'!I113))</f>
        <v>#REF!</v>
      </c>
      <c r="K61" s="390" t="e">
        <f>IF('[1]Hypotheses expl (2)'!$P$113="0j",'[1]Hypotheses expl (2)'!L113,IF('[1]Hypotheses expl (2)'!$P$113="30j",'[1]Hypotheses expl (2)'!K113,'[1]Hypotheses expl (2)'!J113))</f>
        <v>#REF!</v>
      </c>
      <c r="L61" s="390" t="e">
        <f>IF('[1]Hypotheses expl (2)'!$P$113="0j",'[1]Hypotheses expl (2)'!M113,IF('[1]Hypotheses expl (2)'!$P$113="30j",'[1]Hypotheses expl (2)'!L113,'[1]Hypotheses expl (2)'!K113))</f>
        <v>#REF!</v>
      </c>
      <c r="M61" s="390" t="e">
        <f>IF('[1]Hypotheses expl (2)'!$P$113="0j",'[1]Hypotheses expl (2)'!N113,IF('[1]Hypotheses expl (2)'!$P$113="30j",'[1]Hypotheses expl (2)'!M113,'[1]Hypotheses expl (2)'!L113))</f>
        <v>#REF!</v>
      </c>
    </row>
    <row r="62" outlineLevel="1">
      <c r="A62" s="393" t="e">
        <f>'[1]Compte résultat prévi'!A59</f>
        <v>#REF!</v>
      </c>
      <c r="B62" s="390">
        <v>1224</v>
      </c>
      <c r="C62" s="390" t="e">
        <f>IF('[1]Hypotheses expl (2)'!$P$114="0j",'[1]Hypotheses expl (2)'!D114,IF('[1]Hypotheses expl (2)'!$P$114="30j",'[1]Hypotheses expl (2)'!C114,'[1]Hypotheses expl (2)'!B114))</f>
        <v>#REF!</v>
      </c>
      <c r="D62" s="390" t="e">
        <f>IF('[1]Hypotheses expl (2)'!$P$114="0j",'[1]Hypotheses expl (2)'!E114,IF('[1]Hypotheses expl (2)'!$P$114="30j",'[1]Hypotheses expl (2)'!D114,'[1]Hypotheses expl (2)'!C114))</f>
        <v>#REF!</v>
      </c>
      <c r="E62" s="390" t="e">
        <f>IF('[1]Hypotheses expl (2)'!$P$114="0j",'[1]Hypotheses expl (2)'!F114,IF('[1]Hypotheses expl (2)'!$P$114="30j",'[1]Hypotheses expl (2)'!E114,'[1]Hypotheses expl (2)'!D114))</f>
        <v>#REF!</v>
      </c>
      <c r="F62" s="390" t="e">
        <f>IF('[1]Hypotheses expl (2)'!$P$114="0j",'[1]Hypotheses expl (2)'!G114,IF('[1]Hypotheses expl (2)'!$P$114="30j",'[1]Hypotheses expl (2)'!F114,'[1]Hypotheses expl (2)'!E114))</f>
        <v>#REF!</v>
      </c>
      <c r="G62" s="390" t="e">
        <f>IF('[1]Hypotheses expl (2)'!$P$114="0j",'[1]Hypotheses expl (2)'!H114,IF('[1]Hypotheses expl (2)'!$P$114="30j",'[1]Hypotheses expl (2)'!G114,'[1]Hypotheses expl (2)'!F114))</f>
        <v>#REF!</v>
      </c>
      <c r="H62" s="390" t="e">
        <f>IF('[1]Hypotheses expl (2)'!$P$114="0j",'[1]Hypotheses expl (2)'!I114,IF('[1]Hypotheses expl (2)'!$P$114="30j",'[1]Hypotheses expl (2)'!H114,'[1]Hypotheses expl (2)'!G114))</f>
        <v>#REF!</v>
      </c>
      <c r="I62" s="390" t="e">
        <f>IF('[1]Hypotheses expl (2)'!$P$114="0j",'[1]Hypotheses expl (2)'!J114,IF('[1]Hypotheses expl (2)'!$P$114="30j",'[1]Hypotheses expl (2)'!I114,'[1]Hypotheses expl (2)'!H114))</f>
        <v>#REF!</v>
      </c>
      <c r="J62" s="390" t="e">
        <f>IF('[1]Hypotheses expl (2)'!$P$114="0j",'[1]Hypotheses expl (2)'!K114,IF('[1]Hypotheses expl (2)'!$P$114="30j",'[1]Hypotheses expl (2)'!J114,'[1]Hypotheses expl (2)'!I114))</f>
        <v>#REF!</v>
      </c>
      <c r="K62" s="390" t="e">
        <f>IF('[1]Hypotheses expl (2)'!$P$114="0j",'[1]Hypotheses expl (2)'!L114,IF('[1]Hypotheses expl (2)'!$P$114="30j",'[1]Hypotheses expl (2)'!K114,'[1]Hypotheses expl (2)'!J114))</f>
        <v>#REF!</v>
      </c>
      <c r="L62" s="390" t="e">
        <f>IF('[1]Hypotheses expl (2)'!$P$114="0j",'[1]Hypotheses expl (2)'!M114,IF('[1]Hypotheses expl (2)'!$P$114="30j",'[1]Hypotheses expl (2)'!L114,'[1]Hypotheses expl (2)'!K114))</f>
        <v>#REF!</v>
      </c>
      <c r="M62" s="390" t="e">
        <f>IF('[1]Hypotheses expl (2)'!$P$114="0j",'[1]Hypotheses expl (2)'!N114,IF('[1]Hypotheses expl (2)'!$P$114="30j",'[1]Hypotheses expl (2)'!M114,'[1]Hypotheses expl (2)'!L114))</f>
        <v>#REF!</v>
      </c>
    </row>
    <row r="63" outlineLevel="1">
      <c r="A63" s="393" t="e">
        <f>'[1]Compte résultat prévi'!A60</f>
        <v>#REF!</v>
      </c>
      <c r="B63" s="390">
        <f>2520+2146</f>
        <v>4666</v>
      </c>
      <c r="C63" s="390" t="e">
        <f>IF('[1]Hypotheses expl (2)'!$P$115="0j",'[1]Hypotheses expl (2)'!D115,IF('[1]Hypotheses expl (2)'!$P$115="30j",'[1]Hypotheses expl (2)'!C115,'[1]Hypotheses expl (2)'!B115))</f>
        <v>#REF!</v>
      </c>
      <c r="D63" s="390" t="e">
        <f>IF('[1]Hypotheses expl (2)'!$P$115="0j",'[1]Hypotheses expl (2)'!E115,IF('[1]Hypotheses expl (2)'!$P$115="30j",'[1]Hypotheses expl (2)'!D115,'[1]Hypotheses expl (2)'!C115))</f>
        <v>#REF!</v>
      </c>
      <c r="E63" s="390" t="e">
        <f>IF('[1]Hypotheses expl (2)'!$P$115="0j",'[1]Hypotheses expl (2)'!F115,IF('[1]Hypotheses expl (2)'!$P$115="30j",'[1]Hypotheses expl (2)'!E115,'[1]Hypotheses expl (2)'!D115))</f>
        <v>#REF!</v>
      </c>
      <c r="F63" s="390" t="e">
        <f>IF('[1]Hypotheses expl (2)'!$P$115="0j",'[1]Hypotheses expl (2)'!G115,IF('[1]Hypotheses expl (2)'!$P$115="30j",'[1]Hypotheses expl (2)'!F115,'[1]Hypotheses expl (2)'!E115))</f>
        <v>#REF!</v>
      </c>
      <c r="G63" s="390" t="e">
        <f>IF('[1]Hypotheses expl (2)'!$P$115="0j",'[1]Hypotheses expl (2)'!H115,IF('[1]Hypotheses expl (2)'!$P$115="30j",'[1]Hypotheses expl (2)'!G115,'[1]Hypotheses expl (2)'!F115))</f>
        <v>#REF!</v>
      </c>
      <c r="H63" s="390" t="e">
        <f>IF('[1]Hypotheses expl (2)'!$P$115="0j",'[1]Hypotheses expl (2)'!I115,IF('[1]Hypotheses expl (2)'!$P$115="30j",'[1]Hypotheses expl (2)'!H115,'[1]Hypotheses expl (2)'!G115))</f>
        <v>#REF!</v>
      </c>
      <c r="I63" s="390" t="e">
        <f>IF('[1]Hypotheses expl (2)'!$P$115="0j",'[1]Hypotheses expl (2)'!J115,IF('[1]Hypotheses expl (2)'!$P$115="30j",'[1]Hypotheses expl (2)'!I115,'[1]Hypotheses expl (2)'!H115))</f>
        <v>#REF!</v>
      </c>
      <c r="J63" s="390" t="e">
        <f>IF('[1]Hypotheses expl (2)'!$P$115="0j",'[1]Hypotheses expl (2)'!K115,IF('[1]Hypotheses expl (2)'!$P$115="30j",'[1]Hypotheses expl (2)'!J115,'[1]Hypotheses expl (2)'!I115))</f>
        <v>#REF!</v>
      </c>
      <c r="K63" s="390" t="e">
        <f>IF('[1]Hypotheses expl (2)'!$P$115="0j",'[1]Hypotheses expl (2)'!L115,IF('[1]Hypotheses expl (2)'!$P$115="30j",'[1]Hypotheses expl (2)'!K115,'[1]Hypotheses expl (2)'!J115))</f>
        <v>#REF!</v>
      </c>
      <c r="L63" s="390" t="e">
        <f>IF('[1]Hypotheses expl (2)'!$P$115="0j",'[1]Hypotheses expl (2)'!M115,IF('[1]Hypotheses expl (2)'!$P$115="30j",'[1]Hypotheses expl (2)'!L115,'[1]Hypotheses expl (2)'!K115))</f>
        <v>#REF!</v>
      </c>
      <c r="M63" s="390" t="e">
        <f>IF('[1]Hypotheses expl (2)'!$P$115="0j",'[1]Hypotheses expl (2)'!N115,IF('[1]Hypotheses expl (2)'!$P$115="30j",'[1]Hypotheses expl (2)'!M115,'[1]Hypotheses expl (2)'!L115))</f>
        <v>#REF!</v>
      </c>
    </row>
    <row r="64" outlineLevel="1">
      <c r="A64" s="393" t="e">
        <f>'[1]Compte résultat prévi'!A61</f>
        <v>#REF!</v>
      </c>
      <c r="B64" s="390">
        <v>1250</v>
      </c>
      <c r="C64" s="390" t="e">
        <f>IF('[1]Hypotheses expl (2)'!$P$116="0j",'[1]Hypotheses expl (2)'!D116,IF('[1]Hypotheses expl (2)'!$P$116="30j",'[1]Hypotheses expl (2)'!C116,'[1]Hypotheses expl (2)'!B116))</f>
        <v>#REF!</v>
      </c>
      <c r="D64" s="390" t="e">
        <f>IF('[1]Hypotheses expl (2)'!$P$116="0j",'[1]Hypotheses expl (2)'!E116,IF('[1]Hypotheses expl (2)'!$P$116="30j",'[1]Hypotheses expl (2)'!D116,'[1]Hypotheses expl (2)'!C116))</f>
        <v>#REF!</v>
      </c>
      <c r="E64" s="390" t="e">
        <f>IF('[1]Hypotheses expl (2)'!$P$116="0j",'[1]Hypotheses expl (2)'!F116,IF('[1]Hypotheses expl (2)'!$P$116="30j",'[1]Hypotheses expl (2)'!E116,'[1]Hypotheses expl (2)'!D116))</f>
        <v>#REF!</v>
      </c>
      <c r="F64" s="390" t="e">
        <f>IF('[1]Hypotheses expl (2)'!$P$116="0j",'[1]Hypotheses expl (2)'!G116,IF('[1]Hypotheses expl (2)'!$P$116="30j",'[1]Hypotheses expl (2)'!F116,'[1]Hypotheses expl (2)'!E116))</f>
        <v>#REF!</v>
      </c>
      <c r="G64" s="390" t="e">
        <f>IF('[1]Hypotheses expl (2)'!$P$116="0j",'[1]Hypotheses expl (2)'!H116,IF('[1]Hypotheses expl (2)'!$P$116="30j",'[1]Hypotheses expl (2)'!G116,'[1]Hypotheses expl (2)'!F116))</f>
        <v>#REF!</v>
      </c>
      <c r="H64" s="390" t="e">
        <f>IF('[1]Hypotheses expl (2)'!$P$116="0j",'[1]Hypotheses expl (2)'!I116,IF('[1]Hypotheses expl (2)'!$P$116="30j",'[1]Hypotheses expl (2)'!H116,'[1]Hypotheses expl (2)'!G116))</f>
        <v>#REF!</v>
      </c>
      <c r="I64" s="390" t="e">
        <f>IF('[1]Hypotheses expl (2)'!$P$116="0j",'[1]Hypotheses expl (2)'!J116,IF('[1]Hypotheses expl (2)'!$P$116="30j",'[1]Hypotheses expl (2)'!I116,'[1]Hypotheses expl (2)'!H116))</f>
        <v>#REF!</v>
      </c>
      <c r="J64" s="390" t="e">
        <f>IF('[1]Hypotheses expl (2)'!$P$116="0j",'[1]Hypotheses expl (2)'!K116,IF('[1]Hypotheses expl (2)'!$P$116="30j",'[1]Hypotheses expl (2)'!J116,'[1]Hypotheses expl (2)'!I116))</f>
        <v>#REF!</v>
      </c>
      <c r="K64" s="390" t="e">
        <f>IF('[1]Hypotheses expl (2)'!$P$116="0j",'[1]Hypotheses expl (2)'!L116,IF('[1]Hypotheses expl (2)'!$P$116="30j",'[1]Hypotheses expl (2)'!K116,'[1]Hypotheses expl (2)'!J116))</f>
        <v>#REF!</v>
      </c>
      <c r="L64" s="390" t="e">
        <f>IF('[1]Hypotheses expl (2)'!$P$116="0j",'[1]Hypotheses expl (2)'!M116,IF('[1]Hypotheses expl (2)'!$P$116="30j",'[1]Hypotheses expl (2)'!L116,'[1]Hypotheses expl (2)'!K116))</f>
        <v>#REF!</v>
      </c>
      <c r="M64" s="390" t="e">
        <f>IF('[1]Hypotheses expl (2)'!$P$116="0j",'[1]Hypotheses expl (2)'!N116,IF('[1]Hypotheses expl (2)'!$P$116="30j",'[1]Hypotheses expl (2)'!M116,'[1]Hypotheses expl (2)'!L116))</f>
        <v>#REF!</v>
      </c>
    </row>
    <row r="65" outlineLevel="1">
      <c r="A65" s="393" t="e">
        <f>'[1]Compte résultat prévi'!A62</f>
        <v>#REF!</v>
      </c>
      <c r="B65" s="390">
        <f>1443+460</f>
        <v>1903</v>
      </c>
      <c r="C65" s="390" t="e">
        <f>IF('[1]Hypotheses expl (2)'!$P$117="0j",'[1]Hypotheses expl (2)'!D117,IF('[1]Hypotheses expl (2)'!$P$117="30j",'[1]Hypotheses expl (2)'!C117,'[1]Hypotheses expl (2)'!B117))</f>
        <v>#REF!</v>
      </c>
      <c r="D65" s="390" t="e">
        <f>IF('[1]Hypotheses expl (2)'!$P$117="0j",'[1]Hypotheses expl (2)'!E117,IF('[1]Hypotheses expl (2)'!$P$117="30j",'[1]Hypotheses expl (2)'!D117,'[1]Hypotheses expl (2)'!C117))</f>
        <v>#REF!</v>
      </c>
      <c r="E65" s="390" t="e">
        <f>IF('[1]Hypotheses expl (2)'!$P$117="0j",'[1]Hypotheses expl (2)'!F117,IF('[1]Hypotheses expl (2)'!$P$117="30j",'[1]Hypotheses expl (2)'!E117,'[1]Hypotheses expl (2)'!D117))</f>
        <v>#REF!</v>
      </c>
      <c r="F65" s="390" t="e">
        <f>IF('[1]Hypotheses expl (2)'!$P$117="0j",'[1]Hypotheses expl (2)'!G117,IF('[1]Hypotheses expl (2)'!$P$117="30j",'[1]Hypotheses expl (2)'!F117,'[1]Hypotheses expl (2)'!E117))</f>
        <v>#REF!</v>
      </c>
      <c r="G65" s="390" t="e">
        <f>IF('[1]Hypotheses expl (2)'!$P$117="0j",'[1]Hypotheses expl (2)'!H117,IF('[1]Hypotheses expl (2)'!$P$117="30j",'[1]Hypotheses expl (2)'!G117,'[1]Hypotheses expl (2)'!F117))</f>
        <v>#REF!</v>
      </c>
      <c r="H65" s="390" t="e">
        <f>IF('[1]Hypotheses expl (2)'!$P$117="0j",'[1]Hypotheses expl (2)'!I117,IF('[1]Hypotheses expl (2)'!$P$117="30j",'[1]Hypotheses expl (2)'!H117,'[1]Hypotheses expl (2)'!G117))</f>
        <v>#REF!</v>
      </c>
      <c r="I65" s="390" t="e">
        <f>IF('[1]Hypotheses expl (2)'!$P$117="0j",'[1]Hypotheses expl (2)'!J117,IF('[1]Hypotheses expl (2)'!$P$117="30j",'[1]Hypotheses expl (2)'!I117,'[1]Hypotheses expl (2)'!H117))</f>
        <v>#REF!</v>
      </c>
      <c r="J65" s="390" t="e">
        <f>IF('[1]Hypotheses expl (2)'!$P$117="0j",'[1]Hypotheses expl (2)'!K117,IF('[1]Hypotheses expl (2)'!$P$117="30j",'[1]Hypotheses expl (2)'!J117,'[1]Hypotheses expl (2)'!I117))</f>
        <v>#REF!</v>
      </c>
      <c r="K65" s="390" t="e">
        <f>IF('[1]Hypotheses expl (2)'!$P$117="0j",'[1]Hypotheses expl (2)'!L117,IF('[1]Hypotheses expl (2)'!$P$117="30j",'[1]Hypotheses expl (2)'!K117,'[1]Hypotheses expl (2)'!J117))</f>
        <v>#REF!</v>
      </c>
      <c r="L65" s="390" t="e">
        <f>IF('[1]Hypotheses expl (2)'!$P$117="0j",'[1]Hypotheses expl (2)'!M117,IF('[1]Hypotheses expl (2)'!$P$117="30j",'[1]Hypotheses expl (2)'!L117,'[1]Hypotheses expl (2)'!K117))</f>
        <v>#REF!</v>
      </c>
      <c r="M65" s="390" t="e">
        <f>IF('[1]Hypotheses expl (2)'!$P$117="0j",'[1]Hypotheses expl (2)'!N117,IF('[1]Hypotheses expl (2)'!$P$117="30j",'[1]Hypotheses expl (2)'!M117,'[1]Hypotheses expl (2)'!L117))</f>
        <v>#REF!</v>
      </c>
    </row>
    <row r="66" outlineLevel="1">
      <c r="A66" s="393" t="e">
        <f>'[1]Compte résultat prévi'!A63</f>
        <v>#REF!</v>
      </c>
      <c r="B66" s="390">
        <v>736.21000000000004</v>
      </c>
      <c r="C66" s="390" t="e">
        <f>IF('[1]Hypotheses expl (2)'!$P$118="0j",'[1]Hypotheses expl (2)'!D118,IF('[1]Hypotheses expl (2)'!$P$118="30j",'[1]Hypotheses expl (2)'!C118,'[1]Hypotheses expl (2)'!B118))</f>
        <v>#REF!</v>
      </c>
      <c r="D66" s="390" t="e">
        <f>IF('[1]Hypotheses expl (2)'!$P$118="0j",'[1]Hypotheses expl (2)'!E118,IF('[1]Hypotheses expl (2)'!$P$118="30j",'[1]Hypotheses expl (2)'!D118,'[1]Hypotheses expl (2)'!C118))</f>
        <v>#REF!</v>
      </c>
      <c r="E66" s="390" t="e">
        <f>IF('[1]Hypotheses expl (2)'!$P$118="0j",'[1]Hypotheses expl (2)'!F118,IF('[1]Hypotheses expl (2)'!$P$118="30j",'[1]Hypotheses expl (2)'!E118,'[1]Hypotheses expl (2)'!D118))</f>
        <v>#REF!</v>
      </c>
      <c r="F66" s="390" t="e">
        <f>IF('[1]Hypotheses expl (2)'!$P$118="0j",'[1]Hypotheses expl (2)'!G118,IF('[1]Hypotheses expl (2)'!$P$118="30j",'[1]Hypotheses expl (2)'!F118,'[1]Hypotheses expl (2)'!E118))</f>
        <v>#REF!</v>
      </c>
      <c r="G66" s="390" t="e">
        <f>IF('[1]Hypotheses expl (2)'!$P$118="0j",'[1]Hypotheses expl (2)'!H118,IF('[1]Hypotheses expl (2)'!$P$118="30j",'[1]Hypotheses expl (2)'!G118,'[1]Hypotheses expl (2)'!F118))</f>
        <v>#REF!</v>
      </c>
      <c r="H66" s="390" t="e">
        <f>IF('[1]Hypotheses expl (2)'!$P$118="0j",'[1]Hypotheses expl (2)'!I118,IF('[1]Hypotheses expl (2)'!$P$118="30j",'[1]Hypotheses expl (2)'!H118,'[1]Hypotheses expl (2)'!G118))</f>
        <v>#REF!</v>
      </c>
      <c r="I66" s="390" t="e">
        <f>IF('[1]Hypotheses expl (2)'!$P$118="0j",'[1]Hypotheses expl (2)'!J118,IF('[1]Hypotheses expl (2)'!$P$118="30j",'[1]Hypotheses expl (2)'!I118,'[1]Hypotheses expl (2)'!H118))</f>
        <v>#REF!</v>
      </c>
      <c r="J66" s="390" t="e">
        <f>IF('[1]Hypotheses expl (2)'!$P$118="0j",'[1]Hypotheses expl (2)'!K118,IF('[1]Hypotheses expl (2)'!$P$118="30j",'[1]Hypotheses expl (2)'!J118,'[1]Hypotheses expl (2)'!I118))</f>
        <v>#REF!</v>
      </c>
      <c r="K66" s="390" t="e">
        <f>IF('[1]Hypotheses expl (2)'!$P$118="0j",'[1]Hypotheses expl (2)'!L118,IF('[1]Hypotheses expl (2)'!$P$118="30j",'[1]Hypotheses expl (2)'!K118,'[1]Hypotheses expl (2)'!J118))</f>
        <v>#REF!</v>
      </c>
      <c r="L66" s="390" t="e">
        <f>IF('[1]Hypotheses expl (2)'!$P$118="0j",'[1]Hypotheses expl (2)'!M118,IF('[1]Hypotheses expl (2)'!$P$118="30j",'[1]Hypotheses expl (2)'!L118,'[1]Hypotheses expl (2)'!K118))</f>
        <v>#REF!</v>
      </c>
      <c r="M66" s="390" t="e">
        <f>IF('[1]Hypotheses expl (2)'!$P$118="0j",'[1]Hypotheses expl (2)'!N118,IF('[1]Hypotheses expl (2)'!$P$118="30j",'[1]Hypotheses expl (2)'!M118,'[1]Hypotheses expl (2)'!L118))</f>
        <v>#REF!</v>
      </c>
    </row>
    <row r="67" outlineLevel="1">
      <c r="A67" s="393" t="e">
        <f>'[1]Compte résultat prévi'!A64</f>
        <v>#REF!</v>
      </c>
      <c r="B67" s="390" t="e">
        <f>IF('[1]Hypotheses expl (2)'!$P$119="0j",'[1]Hypotheses expl (2)'!C119,IF('[1]Hypotheses expl (2)'!$P$119="30j",'[1]Hypotheses expl (2)'!B119,'[1]Hypotheses expl (2)'!A119))</f>
        <v>#REF!</v>
      </c>
      <c r="C67" s="390" t="e">
        <f>IF('[1]Hypotheses expl (2)'!$P$119="0j",'[1]Hypotheses expl (2)'!D119,IF('[1]Hypotheses expl (2)'!$P$119="30j",'[1]Hypotheses expl (2)'!C119,'[1]Hypotheses expl (2)'!B119))</f>
        <v>#REF!</v>
      </c>
      <c r="D67" s="390" t="e">
        <f>IF('[1]Hypotheses expl (2)'!$P$119="0j",'[1]Hypotheses expl (2)'!E119,IF('[1]Hypotheses expl (2)'!$P$119="30j",'[1]Hypotheses expl (2)'!D119,'[1]Hypotheses expl (2)'!C119))</f>
        <v>#REF!</v>
      </c>
      <c r="E67" s="390" t="e">
        <f>IF('[1]Hypotheses expl (2)'!$P$119="0j",'[1]Hypotheses expl (2)'!F119,IF('[1]Hypotheses expl (2)'!$P$119="30j",'[1]Hypotheses expl (2)'!E119,'[1]Hypotheses expl (2)'!D119))</f>
        <v>#REF!</v>
      </c>
      <c r="F67" s="390" t="e">
        <f>IF('[1]Hypotheses expl (2)'!$P$119="0j",'[1]Hypotheses expl (2)'!G119,IF('[1]Hypotheses expl (2)'!$P$119="30j",'[1]Hypotheses expl (2)'!F119,'[1]Hypotheses expl (2)'!E119))</f>
        <v>#REF!</v>
      </c>
      <c r="G67" s="390" t="e">
        <f>IF('[1]Hypotheses expl (2)'!$P$119="0j",'[1]Hypotheses expl (2)'!H119,IF('[1]Hypotheses expl (2)'!$P$119="30j",'[1]Hypotheses expl (2)'!G119,'[1]Hypotheses expl (2)'!F119))</f>
        <v>#REF!</v>
      </c>
      <c r="H67" s="390" t="e">
        <f>IF('[1]Hypotheses expl (2)'!$P$119="0j",'[1]Hypotheses expl (2)'!I119,IF('[1]Hypotheses expl (2)'!$P$119="30j",'[1]Hypotheses expl (2)'!H119,'[1]Hypotheses expl (2)'!G119))</f>
        <v>#REF!</v>
      </c>
      <c r="I67" s="390" t="e">
        <f>IF('[1]Hypotheses expl (2)'!$P$119="0j",'[1]Hypotheses expl (2)'!J119,IF('[1]Hypotheses expl (2)'!$P$119="30j",'[1]Hypotheses expl (2)'!I119,'[1]Hypotheses expl (2)'!H119))</f>
        <v>#REF!</v>
      </c>
      <c r="J67" s="390" t="e">
        <f>IF('[1]Hypotheses expl (2)'!$P$119="0j",'[1]Hypotheses expl (2)'!K119,IF('[1]Hypotheses expl (2)'!$P$119="30j",'[1]Hypotheses expl (2)'!J119,'[1]Hypotheses expl (2)'!I119))</f>
        <v>#REF!</v>
      </c>
      <c r="K67" s="390" t="e">
        <f>IF('[1]Hypotheses expl (2)'!$P$119="0j",'[1]Hypotheses expl (2)'!L119,IF('[1]Hypotheses expl (2)'!$P$119="30j",'[1]Hypotheses expl (2)'!K119,'[1]Hypotheses expl (2)'!J119))</f>
        <v>#REF!</v>
      </c>
      <c r="L67" s="390" t="e">
        <f>IF('[1]Hypotheses expl (2)'!$P$119="0j",'[1]Hypotheses expl (2)'!M119,IF('[1]Hypotheses expl (2)'!$P$119="30j",'[1]Hypotheses expl (2)'!L119,'[1]Hypotheses expl (2)'!K119))</f>
        <v>#REF!</v>
      </c>
      <c r="M67" s="390" t="e">
        <f>IF('[1]Hypotheses expl (2)'!$P$119="0j",'[1]Hypotheses expl (2)'!N119,IF('[1]Hypotheses expl (2)'!$P$119="30j",'[1]Hypotheses expl (2)'!M119,'[1]Hypotheses expl (2)'!L119))</f>
        <v>#REF!</v>
      </c>
    </row>
    <row r="68" outlineLevel="1">
      <c r="A68" s="393" t="e">
        <f>'[1]Compte résultat prévi'!A65</f>
        <v>#REF!</v>
      </c>
      <c r="B68" s="390" t="e">
        <f>IF('[1]Hypotheses expl (2)'!$P$120="0j",'[1]Hypotheses expl (2)'!C120,IF('[1]Hypotheses expl (2)'!$P$120="30j",'[1]Hypotheses expl (2)'!B120,'[1]Hypotheses expl (2)'!A120))</f>
        <v>#REF!</v>
      </c>
      <c r="C68" s="390" t="e">
        <f>IF('[1]Hypotheses expl (2)'!$P$120="0j",'[1]Hypotheses expl (2)'!D120,IF('[1]Hypotheses expl (2)'!$P$120="30j",'[1]Hypotheses expl (2)'!C120,'[1]Hypotheses expl (2)'!B120))</f>
        <v>#REF!</v>
      </c>
      <c r="D68" s="390" t="e">
        <f>IF('[1]Hypotheses expl (2)'!$P$120="0j",'[1]Hypotheses expl (2)'!E120,IF('[1]Hypotheses expl (2)'!$P$120="30j",'[1]Hypotheses expl (2)'!D120,'[1]Hypotheses expl (2)'!C120))</f>
        <v>#REF!</v>
      </c>
      <c r="E68" s="390" t="e">
        <f>IF('[1]Hypotheses expl (2)'!$P$120="0j",'[1]Hypotheses expl (2)'!F120,IF('[1]Hypotheses expl (2)'!$P$120="30j",'[1]Hypotheses expl (2)'!E120,'[1]Hypotheses expl (2)'!D120))</f>
        <v>#REF!</v>
      </c>
      <c r="F68" s="390" t="e">
        <f>IF('[1]Hypotheses expl (2)'!$P$120="0j",'[1]Hypotheses expl (2)'!G120,IF('[1]Hypotheses expl (2)'!$P$120="30j",'[1]Hypotheses expl (2)'!F120,'[1]Hypotheses expl (2)'!E120))</f>
        <v>#REF!</v>
      </c>
      <c r="G68" s="390" t="e">
        <f>IF('[1]Hypotheses expl (2)'!$P$120="0j",'[1]Hypotheses expl (2)'!H120,IF('[1]Hypotheses expl (2)'!$P$120="30j",'[1]Hypotheses expl (2)'!G120,'[1]Hypotheses expl (2)'!F120))</f>
        <v>#REF!</v>
      </c>
      <c r="H68" s="390" t="e">
        <f>IF('[1]Hypotheses expl (2)'!$P$120="0j",'[1]Hypotheses expl (2)'!I120,IF('[1]Hypotheses expl (2)'!$P$120="30j",'[1]Hypotheses expl (2)'!H120,'[1]Hypotheses expl (2)'!G120))</f>
        <v>#REF!</v>
      </c>
      <c r="I68" s="390" t="e">
        <f>IF('[1]Hypotheses expl (2)'!$P$120="0j",'[1]Hypotheses expl (2)'!J120,IF('[1]Hypotheses expl (2)'!$P$120="30j",'[1]Hypotheses expl (2)'!I120,'[1]Hypotheses expl (2)'!H120))</f>
        <v>#REF!</v>
      </c>
      <c r="J68" s="390" t="e">
        <f>IF('[1]Hypotheses expl (2)'!$P$120="0j",'[1]Hypotheses expl (2)'!K120,IF('[1]Hypotheses expl (2)'!$P$120="30j",'[1]Hypotheses expl (2)'!J120,'[1]Hypotheses expl (2)'!I120))</f>
        <v>#REF!</v>
      </c>
      <c r="K68" s="390" t="e">
        <f>IF('[1]Hypotheses expl (2)'!$P$120="0j",'[1]Hypotheses expl (2)'!L120,IF('[1]Hypotheses expl (2)'!$P$120="30j",'[1]Hypotheses expl (2)'!K120,'[1]Hypotheses expl (2)'!J120))</f>
        <v>#REF!</v>
      </c>
      <c r="L68" s="390" t="e">
        <f>IF('[1]Hypotheses expl (2)'!$P$120="0j",'[1]Hypotheses expl (2)'!M120,IF('[1]Hypotheses expl (2)'!$P$120="30j",'[1]Hypotheses expl (2)'!L120,'[1]Hypotheses expl (2)'!K120))</f>
        <v>#REF!</v>
      </c>
      <c r="M68" s="390" t="e">
        <f>IF('[1]Hypotheses expl (2)'!$P$120="0j",'[1]Hypotheses expl (2)'!N120,IF('[1]Hypotheses expl (2)'!$P$120="30j",'[1]Hypotheses expl (2)'!M120,'[1]Hypotheses expl (2)'!L120))</f>
        <v>#REF!</v>
      </c>
    </row>
    <row r="69" outlineLevel="1">
      <c r="A69" s="393" t="e">
        <f>'[1]Compte résultat prévi'!A66</f>
        <v>#REF!</v>
      </c>
      <c r="B69" s="390">
        <f>67+819+34</f>
        <v>920</v>
      </c>
      <c r="C69" s="390" t="e">
        <f>IF('[1]Hypotheses expl (2)'!$P$121="0j",'[1]Hypotheses expl (2)'!D121,IF('[1]Hypotheses expl (2)'!$P$121="30j",'[1]Hypotheses expl (2)'!C121,'[1]Hypotheses expl (2)'!B121))</f>
        <v>#REF!</v>
      </c>
      <c r="D69" s="390" t="e">
        <f>IF('[1]Hypotheses expl (2)'!$P$121="0j",'[1]Hypotheses expl (2)'!E121,IF('[1]Hypotheses expl (2)'!$P$121="30j",'[1]Hypotheses expl (2)'!D121,'[1]Hypotheses expl (2)'!C121))</f>
        <v>#REF!</v>
      </c>
      <c r="E69" s="390" t="e">
        <f>IF('[1]Hypotheses expl (2)'!$P$121="0j",'[1]Hypotheses expl (2)'!F121,IF('[1]Hypotheses expl (2)'!$P$121="30j",'[1]Hypotheses expl (2)'!E121,'[1]Hypotheses expl (2)'!D121))</f>
        <v>#REF!</v>
      </c>
      <c r="F69" s="390" t="e">
        <f>IF('[1]Hypotheses expl (2)'!$P$121="0j",'[1]Hypotheses expl (2)'!G121,IF('[1]Hypotheses expl (2)'!$P$121="30j",'[1]Hypotheses expl (2)'!F121,'[1]Hypotheses expl (2)'!E121))</f>
        <v>#REF!</v>
      </c>
      <c r="G69" s="390" t="e">
        <f>IF('[1]Hypotheses expl (2)'!$P$121="0j",'[1]Hypotheses expl (2)'!H121,IF('[1]Hypotheses expl (2)'!$P$121="30j",'[1]Hypotheses expl (2)'!G121,'[1]Hypotheses expl (2)'!F121))</f>
        <v>#REF!</v>
      </c>
      <c r="H69" s="390" t="e">
        <f>IF('[1]Hypotheses expl (2)'!$P$121="0j",'[1]Hypotheses expl (2)'!I121,IF('[1]Hypotheses expl (2)'!$P$121="30j",'[1]Hypotheses expl (2)'!H121,'[1]Hypotheses expl (2)'!G121))</f>
        <v>#REF!</v>
      </c>
      <c r="I69" s="390" t="e">
        <f>IF('[1]Hypotheses expl (2)'!$P$121="0j",'[1]Hypotheses expl (2)'!J121,IF('[1]Hypotheses expl (2)'!$P$121="30j",'[1]Hypotheses expl (2)'!I121,'[1]Hypotheses expl (2)'!H121))</f>
        <v>#REF!</v>
      </c>
      <c r="J69" s="390" t="e">
        <f>IF('[1]Hypotheses expl (2)'!$P$121="0j",'[1]Hypotheses expl (2)'!K121,IF('[1]Hypotheses expl (2)'!$P$121="30j",'[1]Hypotheses expl (2)'!J121,'[1]Hypotheses expl (2)'!I121))</f>
        <v>#REF!</v>
      </c>
      <c r="K69" s="390" t="e">
        <f>IF('[1]Hypotheses expl (2)'!$P$121="0j",'[1]Hypotheses expl (2)'!L121,IF('[1]Hypotheses expl (2)'!$P$121="30j",'[1]Hypotheses expl (2)'!K121,'[1]Hypotheses expl (2)'!J121))</f>
        <v>#REF!</v>
      </c>
      <c r="L69" s="390" t="e">
        <f>IF('[1]Hypotheses expl (2)'!$P$121="0j",'[1]Hypotheses expl (2)'!M121,IF('[1]Hypotheses expl (2)'!$P$121="30j",'[1]Hypotheses expl (2)'!L121,'[1]Hypotheses expl (2)'!K121))</f>
        <v>#REF!</v>
      </c>
      <c r="M69" s="390" t="e">
        <f>IF('[1]Hypotheses expl (2)'!$P$121="0j",'[1]Hypotheses expl (2)'!N121,IF('[1]Hypotheses expl (2)'!$P$121="30j",'[1]Hypotheses expl (2)'!M121,'[1]Hypotheses expl (2)'!L121))</f>
        <v>#REF!</v>
      </c>
    </row>
    <row r="70" outlineLevel="1">
      <c r="A70" s="393" t="e">
        <f>'[1]Compte résultat prévi'!A67</f>
        <v>#REF!</v>
      </c>
      <c r="B70" s="390">
        <v>292</v>
      </c>
      <c r="C70" s="390" t="e">
        <f>IF('[1]Hypotheses expl (2)'!$P$122="0j",'[1]Hypotheses expl (2)'!D122,IF('[1]Hypotheses expl (2)'!$P$122="30j",'[1]Hypotheses expl (2)'!C122,'[1]Hypotheses expl (2)'!B122))</f>
        <v>#REF!</v>
      </c>
      <c r="D70" s="390" t="e">
        <f>IF('[1]Hypotheses expl (2)'!$P$122="0j",'[1]Hypotheses expl (2)'!E122,IF('[1]Hypotheses expl (2)'!$P$122="30j",'[1]Hypotheses expl (2)'!D122,'[1]Hypotheses expl (2)'!C122))</f>
        <v>#REF!</v>
      </c>
      <c r="E70" s="390" t="e">
        <f>IF('[1]Hypotheses expl (2)'!$P$122="0j",'[1]Hypotheses expl (2)'!F122,IF('[1]Hypotheses expl (2)'!$P$122="30j",'[1]Hypotheses expl (2)'!E122,'[1]Hypotheses expl (2)'!D122))</f>
        <v>#REF!</v>
      </c>
      <c r="F70" s="390" t="e">
        <f>IF('[1]Hypotheses expl (2)'!$P$122="0j",'[1]Hypotheses expl (2)'!G122,IF('[1]Hypotheses expl (2)'!$P$122="30j",'[1]Hypotheses expl (2)'!F122,'[1]Hypotheses expl (2)'!E122))</f>
        <v>#REF!</v>
      </c>
      <c r="G70" s="390" t="e">
        <f>IF('[1]Hypotheses expl (2)'!$P$122="0j",'[1]Hypotheses expl (2)'!H122,IF('[1]Hypotheses expl (2)'!$P$122="30j",'[1]Hypotheses expl (2)'!G122,'[1]Hypotheses expl (2)'!F122))</f>
        <v>#REF!</v>
      </c>
      <c r="H70" s="390" t="e">
        <f>IF('[1]Hypotheses expl (2)'!$P$122="0j",'[1]Hypotheses expl (2)'!I122,IF('[1]Hypotheses expl (2)'!$P$122="30j",'[1]Hypotheses expl (2)'!H122,'[1]Hypotheses expl (2)'!G122))</f>
        <v>#REF!</v>
      </c>
      <c r="I70" s="390" t="e">
        <f>IF('[1]Hypotheses expl (2)'!$P$122="0j",'[1]Hypotheses expl (2)'!J122,IF('[1]Hypotheses expl (2)'!$P$122="30j",'[1]Hypotheses expl (2)'!I122,'[1]Hypotheses expl (2)'!H122))</f>
        <v>#REF!</v>
      </c>
      <c r="J70" s="390" t="e">
        <f>IF('[1]Hypotheses expl (2)'!$P$122="0j",'[1]Hypotheses expl (2)'!K122,IF('[1]Hypotheses expl (2)'!$P$122="30j",'[1]Hypotheses expl (2)'!J122,'[1]Hypotheses expl (2)'!I122))</f>
        <v>#REF!</v>
      </c>
      <c r="K70" s="390" t="e">
        <f>IF('[1]Hypotheses expl (2)'!$P$122="0j",'[1]Hypotheses expl (2)'!L122,IF('[1]Hypotheses expl (2)'!$P$122="30j",'[1]Hypotheses expl (2)'!K122,'[1]Hypotheses expl (2)'!J122))</f>
        <v>#REF!</v>
      </c>
      <c r="L70" s="390" t="e">
        <f>IF('[1]Hypotheses expl (2)'!$P$122="0j",'[1]Hypotheses expl (2)'!M122,IF('[1]Hypotheses expl (2)'!$P$122="30j",'[1]Hypotheses expl (2)'!L122,'[1]Hypotheses expl (2)'!K122))</f>
        <v>#REF!</v>
      </c>
      <c r="M70" s="390" t="e">
        <f>IF('[1]Hypotheses expl (2)'!$P$122="0j",'[1]Hypotheses expl (2)'!N122,IF('[1]Hypotheses expl (2)'!$P$122="30j",'[1]Hypotheses expl (2)'!M122,'[1]Hypotheses expl (2)'!L122))</f>
        <v>#REF!</v>
      </c>
    </row>
    <row r="71" outlineLevel="1">
      <c r="A71" s="393" t="e">
        <f>'[1]Compte résultat prévi'!A68</f>
        <v>#REF!</v>
      </c>
      <c r="B71" s="390" t="e">
        <f>IF('[1]Hypotheses expl (2)'!$P$123="0j",'[1]Hypotheses expl (2)'!C123,IF('[1]Hypotheses expl (2)'!$P$123="30j",'[1]Hypotheses expl (2)'!B123,'[1]Hypotheses expl (2)'!A123))</f>
        <v>#REF!</v>
      </c>
      <c r="C71" s="390" t="e">
        <f>IF('[1]Hypotheses expl (2)'!$P$123="0j",'[1]Hypotheses expl (2)'!D123,IF('[1]Hypotheses expl (2)'!$P$123="30j",'[1]Hypotheses expl (2)'!C123,'[1]Hypotheses expl (2)'!B123))</f>
        <v>#REF!</v>
      </c>
      <c r="D71" s="390" t="e">
        <f>IF('[1]Hypotheses expl (2)'!$P$123="0j",'[1]Hypotheses expl (2)'!E123,IF('[1]Hypotheses expl (2)'!$P$123="30j",'[1]Hypotheses expl (2)'!D123,'[1]Hypotheses expl (2)'!C123))</f>
        <v>#REF!</v>
      </c>
      <c r="E71" s="390" t="e">
        <f>IF('[1]Hypotheses expl (2)'!$P$123="0j",'[1]Hypotheses expl (2)'!F123,IF('[1]Hypotheses expl (2)'!$P$123="30j",'[1]Hypotheses expl (2)'!E123,'[1]Hypotheses expl (2)'!D123))</f>
        <v>#REF!</v>
      </c>
      <c r="F71" s="390" t="e">
        <f>IF('[1]Hypotheses expl (2)'!$P$123="0j",'[1]Hypotheses expl (2)'!G123,IF('[1]Hypotheses expl (2)'!$P$123="30j",'[1]Hypotheses expl (2)'!F123,'[1]Hypotheses expl (2)'!E123))</f>
        <v>#REF!</v>
      </c>
      <c r="G71" s="390" t="e">
        <f>IF('[1]Hypotheses expl (2)'!$P$123="0j",'[1]Hypotheses expl (2)'!H123,IF('[1]Hypotheses expl (2)'!$P$123="30j",'[1]Hypotheses expl (2)'!G123,'[1]Hypotheses expl (2)'!F123))</f>
        <v>#REF!</v>
      </c>
      <c r="H71" s="390" t="e">
        <f>IF('[1]Hypotheses expl (2)'!$P$123="0j",'[1]Hypotheses expl (2)'!I123,IF('[1]Hypotheses expl (2)'!$P$123="30j",'[1]Hypotheses expl (2)'!H123,'[1]Hypotheses expl (2)'!G123))</f>
        <v>#REF!</v>
      </c>
      <c r="I71" s="390" t="e">
        <f>IF('[1]Hypotheses expl (2)'!$P$123="0j",'[1]Hypotheses expl (2)'!J123,IF('[1]Hypotheses expl (2)'!$P$123="30j",'[1]Hypotheses expl (2)'!I123,'[1]Hypotheses expl (2)'!H123))</f>
        <v>#REF!</v>
      </c>
      <c r="J71" s="390" t="e">
        <f>IF('[1]Hypotheses expl (2)'!$P$123="0j",'[1]Hypotheses expl (2)'!K123,IF('[1]Hypotheses expl (2)'!$P$123="30j",'[1]Hypotheses expl (2)'!J123,'[1]Hypotheses expl (2)'!I123))</f>
        <v>#REF!</v>
      </c>
      <c r="K71" s="390" t="e">
        <f>IF('[1]Hypotheses expl (2)'!$P$123="0j",'[1]Hypotheses expl (2)'!L123,IF('[1]Hypotheses expl (2)'!$P$123="30j",'[1]Hypotheses expl (2)'!K123,'[1]Hypotheses expl (2)'!J123))</f>
        <v>#REF!</v>
      </c>
      <c r="L71" s="390" t="e">
        <f>IF('[1]Hypotheses expl (2)'!$P$123="0j",'[1]Hypotheses expl (2)'!M123,IF('[1]Hypotheses expl (2)'!$P$123="30j",'[1]Hypotheses expl (2)'!L123,'[1]Hypotheses expl (2)'!K123))</f>
        <v>#REF!</v>
      </c>
      <c r="M71" s="390" t="e">
        <f>IF('[1]Hypotheses expl (2)'!$P$123="0j",'[1]Hypotheses expl (2)'!N123,IF('[1]Hypotheses expl (2)'!$P$123="30j",'[1]Hypotheses expl (2)'!M123,'[1]Hypotheses expl (2)'!L123))</f>
        <v>#REF!</v>
      </c>
    </row>
    <row r="72" outlineLevel="1">
      <c r="A72" s="393" t="e">
        <f>'[1]Compte résultat prévi'!A69</f>
        <v>#REF!</v>
      </c>
      <c r="B72" s="390">
        <v>1459</v>
      </c>
      <c r="C72" s="390" t="e">
        <f>IF('[1]Hypotheses expl (2)'!$P$124="0j",'[1]Hypotheses expl (2)'!D124,IF('[1]Hypotheses expl (2)'!$P$124="30j",'[1]Hypotheses expl (2)'!C124,'[1]Hypotheses expl (2)'!B124))</f>
        <v>#REF!</v>
      </c>
      <c r="D72" s="390" t="e">
        <f>IF('[1]Hypotheses expl (2)'!$P$124="0j",'[1]Hypotheses expl (2)'!E124,IF('[1]Hypotheses expl (2)'!$P$124="30j",'[1]Hypotheses expl (2)'!D124,'[1]Hypotheses expl (2)'!C124))</f>
        <v>#REF!</v>
      </c>
      <c r="E72" s="390" t="e">
        <f>IF('[1]Hypotheses expl (2)'!$P$124="0j",'[1]Hypotheses expl (2)'!F124,IF('[1]Hypotheses expl (2)'!$P$124="30j",'[1]Hypotheses expl (2)'!E124,'[1]Hypotheses expl (2)'!D124))</f>
        <v>#REF!</v>
      </c>
      <c r="F72" s="390" t="e">
        <f>IF('[1]Hypotheses expl (2)'!$P$124="0j",'[1]Hypotheses expl (2)'!G124,IF('[1]Hypotheses expl (2)'!$P$124="30j",'[1]Hypotheses expl (2)'!F124,'[1]Hypotheses expl (2)'!E124))</f>
        <v>#REF!</v>
      </c>
      <c r="G72" s="390" t="e">
        <f>IF('[1]Hypotheses expl (2)'!$P$124="0j",'[1]Hypotheses expl (2)'!H124,IF('[1]Hypotheses expl (2)'!$P$124="30j",'[1]Hypotheses expl (2)'!G124,'[1]Hypotheses expl (2)'!F124))</f>
        <v>#REF!</v>
      </c>
      <c r="H72" s="390" t="e">
        <f>IF('[1]Hypotheses expl (2)'!$P$124="0j",'[1]Hypotheses expl (2)'!I124,IF('[1]Hypotheses expl (2)'!$P$124="30j",'[1]Hypotheses expl (2)'!H124,'[1]Hypotheses expl (2)'!G124))</f>
        <v>#REF!</v>
      </c>
      <c r="I72" s="390" t="e">
        <f>IF('[1]Hypotheses expl (2)'!$P$124="0j",'[1]Hypotheses expl (2)'!J124,IF('[1]Hypotheses expl (2)'!$P$124="30j",'[1]Hypotheses expl (2)'!I124,'[1]Hypotheses expl (2)'!H124))</f>
        <v>#REF!</v>
      </c>
      <c r="J72" s="390" t="e">
        <f>IF('[1]Hypotheses expl (2)'!$P$124="0j",'[1]Hypotheses expl (2)'!K124,IF('[1]Hypotheses expl (2)'!$P$124="30j",'[1]Hypotheses expl (2)'!J124,'[1]Hypotheses expl (2)'!I124))</f>
        <v>#REF!</v>
      </c>
      <c r="K72" s="390" t="e">
        <f>IF('[1]Hypotheses expl (2)'!$P$124="0j",'[1]Hypotheses expl (2)'!L124,IF('[1]Hypotheses expl (2)'!$P$124="30j",'[1]Hypotheses expl (2)'!K124,'[1]Hypotheses expl (2)'!J124))</f>
        <v>#REF!</v>
      </c>
      <c r="L72" s="390" t="e">
        <f>IF('[1]Hypotheses expl (2)'!$P$124="0j",'[1]Hypotheses expl (2)'!M124,IF('[1]Hypotheses expl (2)'!$P$124="30j",'[1]Hypotheses expl (2)'!L124,'[1]Hypotheses expl (2)'!K124))</f>
        <v>#REF!</v>
      </c>
      <c r="M72" s="390" t="e">
        <f>IF('[1]Hypotheses expl (2)'!$P$124="0j",'[1]Hypotheses expl (2)'!N124,IF('[1]Hypotheses expl (2)'!$P$124="30j",'[1]Hypotheses expl (2)'!M124,'[1]Hypotheses expl (2)'!L124))</f>
        <v>#REF!</v>
      </c>
    </row>
    <row r="73" outlineLevel="1">
      <c r="A73" s="393" t="e">
        <f>'[1]Compte résultat prévi'!A70</f>
        <v>#REF!</v>
      </c>
      <c r="B73" s="390" t="e">
        <f>IF('[1]Hypotheses expl (2)'!$P$125="0j",'[1]Hypotheses expl (2)'!C125,IF('[1]Hypotheses expl (2)'!$P$125="30j",'[1]Hypotheses expl (2)'!B125,'[1]Hypotheses expl (2)'!A125))</f>
        <v>#REF!</v>
      </c>
      <c r="C73" s="390" t="e">
        <f>IF('[1]Hypotheses expl (2)'!$P$125="0j",'[1]Hypotheses expl (2)'!D125,IF('[1]Hypotheses expl (2)'!$P$125="30j",'[1]Hypotheses expl (2)'!C125,'[1]Hypotheses expl (2)'!B125))</f>
        <v>#REF!</v>
      </c>
      <c r="D73" s="390" t="e">
        <f>IF('[1]Hypotheses expl (2)'!$P$125="0j",'[1]Hypotheses expl (2)'!E125,IF('[1]Hypotheses expl (2)'!$P$125="30j",'[1]Hypotheses expl (2)'!D125,'[1]Hypotheses expl (2)'!C125))</f>
        <v>#REF!</v>
      </c>
      <c r="E73" s="390" t="e">
        <f>IF('[1]Hypotheses expl (2)'!$P$125="0j",'[1]Hypotheses expl (2)'!F125,IF('[1]Hypotheses expl (2)'!$P$125="30j",'[1]Hypotheses expl (2)'!E125,'[1]Hypotheses expl (2)'!D125))</f>
        <v>#REF!</v>
      </c>
      <c r="F73" s="390" t="e">
        <f>IF('[1]Hypotheses expl (2)'!$P$125="0j",'[1]Hypotheses expl (2)'!G125,IF('[1]Hypotheses expl (2)'!$P$125="30j",'[1]Hypotheses expl (2)'!F125,'[1]Hypotheses expl (2)'!E125))</f>
        <v>#REF!</v>
      </c>
      <c r="G73" s="390" t="e">
        <f>IF('[1]Hypotheses expl (2)'!$P$125="0j",'[1]Hypotheses expl (2)'!H125,IF('[1]Hypotheses expl (2)'!$P$125="30j",'[1]Hypotheses expl (2)'!G125,'[1]Hypotheses expl (2)'!F125))</f>
        <v>#REF!</v>
      </c>
      <c r="H73" s="390" t="e">
        <f>IF('[1]Hypotheses expl (2)'!$P$125="0j",'[1]Hypotheses expl (2)'!I125,IF('[1]Hypotheses expl (2)'!$P$125="30j",'[1]Hypotheses expl (2)'!H125,'[1]Hypotheses expl (2)'!G125))</f>
        <v>#REF!</v>
      </c>
      <c r="I73" s="390" t="e">
        <f>IF('[1]Hypotheses expl (2)'!$P$125="0j",'[1]Hypotheses expl (2)'!J125,IF('[1]Hypotheses expl (2)'!$P$125="30j",'[1]Hypotheses expl (2)'!I125,'[1]Hypotheses expl (2)'!H125))</f>
        <v>#REF!</v>
      </c>
      <c r="J73" s="390" t="e">
        <f>IF('[1]Hypotheses expl (2)'!$P$125="0j",'[1]Hypotheses expl (2)'!K125,IF('[1]Hypotheses expl (2)'!$P$125="30j",'[1]Hypotheses expl (2)'!J125,'[1]Hypotheses expl (2)'!I125))</f>
        <v>#REF!</v>
      </c>
      <c r="K73" s="390" t="e">
        <f>IF('[1]Hypotheses expl (2)'!$P$125="0j",'[1]Hypotheses expl (2)'!L125,IF('[1]Hypotheses expl (2)'!$P$125="30j",'[1]Hypotheses expl (2)'!K125,'[1]Hypotheses expl (2)'!J125))</f>
        <v>#REF!</v>
      </c>
      <c r="L73" s="390" t="e">
        <f>IF('[1]Hypotheses expl (2)'!$P$125="0j",'[1]Hypotheses expl (2)'!M125,IF('[1]Hypotheses expl (2)'!$P$125="30j",'[1]Hypotheses expl (2)'!L125,'[1]Hypotheses expl (2)'!K125))</f>
        <v>#REF!</v>
      </c>
      <c r="M73" s="390" t="e">
        <f>IF('[1]Hypotheses expl (2)'!$P$125="0j",'[1]Hypotheses expl (2)'!N125,IF('[1]Hypotheses expl (2)'!$P$125="30j",'[1]Hypotheses expl (2)'!M125,'[1]Hypotheses expl (2)'!L125))</f>
        <v>#REF!</v>
      </c>
    </row>
    <row r="74" outlineLevel="1">
      <c r="A74" s="393" t="e">
        <f>'[1]Compte résultat prévi'!A71</f>
        <v>#REF!</v>
      </c>
      <c r="B74" s="390">
        <v>1499.55</v>
      </c>
      <c r="C74" s="390" t="e">
        <f>IF('[1]Hypotheses expl (2)'!$P$126="0j",'[1]Hypotheses expl (2)'!D126,IF('[1]Hypotheses expl (2)'!$P$126="30j",'[1]Hypotheses expl (2)'!C126,'[1]Hypotheses expl (2)'!B126))</f>
        <v>#REF!</v>
      </c>
      <c r="D74" s="390" t="e">
        <f>IF('[1]Hypotheses expl (2)'!$P$126="0j",'[1]Hypotheses expl (2)'!E126,IF('[1]Hypotheses expl (2)'!$P$126="30j",'[1]Hypotheses expl (2)'!D126,'[1]Hypotheses expl (2)'!C126))</f>
        <v>#REF!</v>
      </c>
      <c r="E74" s="390" t="e">
        <f>IF('[1]Hypotheses expl (2)'!$P$126="0j",'[1]Hypotheses expl (2)'!F126,IF('[1]Hypotheses expl (2)'!$P$126="30j",'[1]Hypotheses expl (2)'!E126,'[1]Hypotheses expl (2)'!D126))</f>
        <v>#REF!</v>
      </c>
      <c r="F74" s="390" t="e">
        <f>IF('[1]Hypotheses expl (2)'!$P$126="0j",'[1]Hypotheses expl (2)'!G126,IF('[1]Hypotheses expl (2)'!$P$126="30j",'[1]Hypotheses expl (2)'!F126,'[1]Hypotheses expl (2)'!E126))</f>
        <v>#REF!</v>
      </c>
      <c r="G74" s="390" t="e">
        <f>IF('[1]Hypotheses expl (2)'!$P$126="0j",'[1]Hypotheses expl (2)'!H126,IF('[1]Hypotheses expl (2)'!$P$126="30j",'[1]Hypotheses expl (2)'!G126,'[1]Hypotheses expl (2)'!F126))</f>
        <v>#REF!</v>
      </c>
      <c r="H74" s="390" t="e">
        <f>IF('[1]Hypotheses expl (2)'!$P$126="0j",'[1]Hypotheses expl (2)'!I126,IF('[1]Hypotheses expl (2)'!$P$126="30j",'[1]Hypotheses expl (2)'!H126,'[1]Hypotheses expl (2)'!G126))</f>
        <v>#REF!</v>
      </c>
      <c r="I74" s="390" t="e">
        <f>IF('[1]Hypotheses expl (2)'!$P$126="0j",'[1]Hypotheses expl (2)'!J126,IF('[1]Hypotheses expl (2)'!$P$126="30j",'[1]Hypotheses expl (2)'!I126,'[1]Hypotheses expl (2)'!H126))</f>
        <v>#REF!</v>
      </c>
      <c r="J74" s="390" t="e">
        <f>IF('[1]Hypotheses expl (2)'!$P$126="0j",'[1]Hypotheses expl (2)'!K126,IF('[1]Hypotheses expl (2)'!$P$126="30j",'[1]Hypotheses expl (2)'!J126,'[1]Hypotheses expl (2)'!I126))</f>
        <v>#REF!</v>
      </c>
      <c r="K74" s="390" t="e">
        <f>IF('[1]Hypotheses expl (2)'!$P$126="0j",'[1]Hypotheses expl (2)'!L126,IF('[1]Hypotheses expl (2)'!$P$126="30j",'[1]Hypotheses expl (2)'!K126,'[1]Hypotheses expl (2)'!J126))</f>
        <v>#REF!</v>
      </c>
      <c r="L74" s="390" t="e">
        <f>IF('[1]Hypotheses expl (2)'!$P$126="0j",'[1]Hypotheses expl (2)'!M126,IF('[1]Hypotheses expl (2)'!$P$126="30j",'[1]Hypotheses expl (2)'!L126,'[1]Hypotheses expl (2)'!K126))</f>
        <v>#REF!</v>
      </c>
      <c r="M74" s="390" t="e">
        <f>IF('[1]Hypotheses expl (2)'!$P$126="0j",'[1]Hypotheses expl (2)'!N126,IF('[1]Hypotheses expl (2)'!$P$126="30j",'[1]Hypotheses expl (2)'!M126,'[1]Hypotheses expl (2)'!L126))</f>
        <v>#REF!</v>
      </c>
    </row>
    <row r="75" outlineLevel="1">
      <c r="A75" s="393" t="e">
        <f>'[1]Compte résultat prévi'!A72</f>
        <v>#REF!</v>
      </c>
      <c r="B75" s="390">
        <v>3985</v>
      </c>
      <c r="C75" s="390" t="e">
        <f>IF('[1]Hypotheses expl (2)'!$P$127="0j",'[1]Hypotheses expl (2)'!D127,IF('[1]Hypotheses expl (2)'!$P$127="30j",'[1]Hypotheses expl (2)'!C127,'[1]Hypotheses expl (2)'!B127))</f>
        <v>#REF!</v>
      </c>
      <c r="D75" s="390" t="e">
        <f>IF('[1]Hypotheses expl (2)'!$P$127="0j",'[1]Hypotheses expl (2)'!E127,IF('[1]Hypotheses expl (2)'!$P$127="30j",'[1]Hypotheses expl (2)'!D127,'[1]Hypotheses expl (2)'!C127))</f>
        <v>#REF!</v>
      </c>
      <c r="E75" s="390" t="e">
        <f>IF('[1]Hypotheses expl (2)'!$P$127="0j",'[1]Hypotheses expl (2)'!F127,IF('[1]Hypotheses expl (2)'!$P$127="30j",'[1]Hypotheses expl (2)'!E127,'[1]Hypotheses expl (2)'!D127))</f>
        <v>#REF!</v>
      </c>
      <c r="F75" s="390" t="e">
        <f>IF('[1]Hypotheses expl (2)'!$P$127="0j",'[1]Hypotheses expl (2)'!G127,IF('[1]Hypotheses expl (2)'!$P$127="30j",'[1]Hypotheses expl (2)'!F127,'[1]Hypotheses expl (2)'!E127))</f>
        <v>#REF!</v>
      </c>
      <c r="G75" s="390" t="e">
        <f>IF('[1]Hypotheses expl (2)'!$P$127="0j",'[1]Hypotheses expl (2)'!H127,IF('[1]Hypotheses expl (2)'!$P$127="30j",'[1]Hypotheses expl (2)'!G127,'[1]Hypotheses expl (2)'!F127))</f>
        <v>#REF!</v>
      </c>
      <c r="H75" s="390" t="e">
        <f>IF('[1]Hypotheses expl (2)'!$P$127="0j",'[1]Hypotheses expl (2)'!I127,IF('[1]Hypotheses expl (2)'!$P$127="30j",'[1]Hypotheses expl (2)'!H127,'[1]Hypotheses expl (2)'!G127))</f>
        <v>#REF!</v>
      </c>
      <c r="I75" s="390" t="e">
        <f>IF('[1]Hypotheses expl (2)'!$P$127="0j",'[1]Hypotheses expl (2)'!J127,IF('[1]Hypotheses expl (2)'!$P$127="30j",'[1]Hypotheses expl (2)'!I127,'[1]Hypotheses expl (2)'!H127))</f>
        <v>#REF!</v>
      </c>
      <c r="J75" s="390" t="e">
        <f>IF('[1]Hypotheses expl (2)'!$P$127="0j",'[1]Hypotheses expl (2)'!K127,IF('[1]Hypotheses expl (2)'!$P$127="30j",'[1]Hypotheses expl (2)'!J127,'[1]Hypotheses expl (2)'!I127))</f>
        <v>#REF!</v>
      </c>
      <c r="K75" s="390" t="e">
        <f>IF('[1]Hypotheses expl (2)'!$P$127="0j",'[1]Hypotheses expl (2)'!L127,IF('[1]Hypotheses expl (2)'!$P$127="30j",'[1]Hypotheses expl (2)'!K127,'[1]Hypotheses expl (2)'!J127))</f>
        <v>#REF!</v>
      </c>
      <c r="L75" s="390" t="e">
        <f>IF('[1]Hypotheses expl (2)'!$P$127="0j",'[1]Hypotheses expl (2)'!M127,IF('[1]Hypotheses expl (2)'!$P$127="30j",'[1]Hypotheses expl (2)'!L127,'[1]Hypotheses expl (2)'!K127))</f>
        <v>#REF!</v>
      </c>
      <c r="M75" s="390" t="e">
        <f>IF('[1]Hypotheses expl (2)'!$P$127="0j",'[1]Hypotheses expl (2)'!N127,IF('[1]Hypotheses expl (2)'!$P$127="30j",'[1]Hypotheses expl (2)'!M127,'[1]Hypotheses expl (2)'!L127))</f>
        <v>#REF!</v>
      </c>
    </row>
    <row r="76" outlineLevel="1">
      <c r="A76" s="393" t="e">
        <f>'[1]Compte résultat prévi'!A73</f>
        <v>#REF!</v>
      </c>
      <c r="B76" s="390">
        <v>211.52000000000001</v>
      </c>
      <c r="C76" s="390" t="e">
        <f>IF('[1]Hypotheses expl (2)'!$P$128="0j",'[1]Hypotheses expl (2)'!D128,IF('[1]Hypotheses expl (2)'!$P$128="30j",'[1]Hypotheses expl (2)'!C128,'[1]Hypotheses expl (2)'!B128))</f>
        <v>#REF!</v>
      </c>
      <c r="D76" s="390" t="e">
        <f>IF('[1]Hypotheses expl (2)'!$P$128="0j",'[1]Hypotheses expl (2)'!E128,IF('[1]Hypotheses expl (2)'!$P$128="30j",'[1]Hypotheses expl (2)'!D128,'[1]Hypotheses expl (2)'!C128))</f>
        <v>#REF!</v>
      </c>
      <c r="E76" s="390" t="e">
        <f>IF('[1]Hypotheses expl (2)'!$P$128="0j",'[1]Hypotheses expl (2)'!F128,IF('[1]Hypotheses expl (2)'!$P$128="30j",'[1]Hypotheses expl (2)'!E128,'[1]Hypotheses expl (2)'!D128))</f>
        <v>#REF!</v>
      </c>
      <c r="F76" s="390" t="e">
        <f>IF('[1]Hypotheses expl (2)'!$P$128="0j",'[1]Hypotheses expl (2)'!G128,IF('[1]Hypotheses expl (2)'!$P$128="30j",'[1]Hypotheses expl (2)'!F128,'[1]Hypotheses expl (2)'!E128))</f>
        <v>#REF!</v>
      </c>
      <c r="G76" s="390" t="e">
        <f>IF('[1]Hypotheses expl (2)'!$P$128="0j",'[1]Hypotheses expl (2)'!H128,IF('[1]Hypotheses expl (2)'!$P$128="30j",'[1]Hypotheses expl (2)'!G128,'[1]Hypotheses expl (2)'!F128))</f>
        <v>#REF!</v>
      </c>
      <c r="H76" s="390" t="e">
        <f>IF('[1]Hypotheses expl (2)'!$P$128="0j",'[1]Hypotheses expl (2)'!I128,IF('[1]Hypotheses expl (2)'!$P$128="30j",'[1]Hypotheses expl (2)'!H128,'[1]Hypotheses expl (2)'!G128))</f>
        <v>#REF!</v>
      </c>
      <c r="I76" s="390" t="e">
        <f>IF('[1]Hypotheses expl (2)'!$P$128="0j",'[1]Hypotheses expl (2)'!J128,IF('[1]Hypotheses expl (2)'!$P$128="30j",'[1]Hypotheses expl (2)'!I128,'[1]Hypotheses expl (2)'!H128))</f>
        <v>#REF!</v>
      </c>
      <c r="J76" s="390" t="e">
        <f>IF('[1]Hypotheses expl (2)'!$P$128="0j",'[1]Hypotheses expl (2)'!K128,IF('[1]Hypotheses expl (2)'!$P$128="30j",'[1]Hypotheses expl (2)'!J128,'[1]Hypotheses expl (2)'!I128))</f>
        <v>#REF!</v>
      </c>
      <c r="K76" s="390" t="e">
        <f>IF('[1]Hypotheses expl (2)'!$P$128="0j",'[1]Hypotheses expl (2)'!L128,IF('[1]Hypotheses expl (2)'!$P$128="30j",'[1]Hypotheses expl (2)'!K128,'[1]Hypotheses expl (2)'!J128))</f>
        <v>#REF!</v>
      </c>
      <c r="L76" s="390" t="e">
        <f>IF('[1]Hypotheses expl (2)'!$P$128="0j",'[1]Hypotheses expl (2)'!M128,IF('[1]Hypotheses expl (2)'!$P$128="30j",'[1]Hypotheses expl (2)'!L128,'[1]Hypotheses expl (2)'!K128))</f>
        <v>#REF!</v>
      </c>
      <c r="M76" s="390" t="e">
        <f>IF('[1]Hypotheses expl (2)'!$P$128="0j",'[1]Hypotheses expl (2)'!N128,IF('[1]Hypotheses expl (2)'!$P$128="30j",'[1]Hypotheses expl (2)'!M128,'[1]Hypotheses expl (2)'!L128))</f>
        <v>#REF!</v>
      </c>
    </row>
    <row r="77" outlineLevel="1">
      <c r="A77" s="393" t="e">
        <f>'[1]Compte résultat prévi'!A74</f>
        <v>#REF!</v>
      </c>
      <c r="B77" s="390" t="e">
        <f>IF('[1]Hypotheses expl (2)'!$P$129="0j",'[1]Hypotheses expl (2)'!C129,IF('[1]Hypotheses expl (2)'!$P$129="30j",'[1]Hypotheses expl (2)'!B129,'[1]Hypotheses expl (2)'!A129))</f>
        <v>#REF!</v>
      </c>
      <c r="C77" s="390" t="e">
        <f>IF('[1]Hypotheses expl (2)'!$P$129="0j",'[1]Hypotheses expl (2)'!D129,IF('[1]Hypotheses expl (2)'!$P$129="30j",'[1]Hypotheses expl (2)'!C129,'[1]Hypotheses expl (2)'!B129))</f>
        <v>#REF!</v>
      </c>
      <c r="D77" s="390" t="e">
        <f>IF('[1]Hypotheses expl (2)'!$P$129="0j",'[1]Hypotheses expl (2)'!E129,IF('[1]Hypotheses expl (2)'!$P$129="30j",'[1]Hypotheses expl (2)'!D129,'[1]Hypotheses expl (2)'!C129))</f>
        <v>#REF!</v>
      </c>
      <c r="E77" s="390" t="e">
        <f>IF('[1]Hypotheses expl (2)'!$P$129="0j",'[1]Hypotheses expl (2)'!F129,IF('[1]Hypotheses expl (2)'!$P$129="30j",'[1]Hypotheses expl (2)'!E129,'[1]Hypotheses expl (2)'!D129))</f>
        <v>#REF!</v>
      </c>
      <c r="F77" s="390" t="e">
        <f>IF('[1]Hypotheses expl (2)'!$P$129="0j",'[1]Hypotheses expl (2)'!G129,IF('[1]Hypotheses expl (2)'!$P$129="30j",'[1]Hypotheses expl (2)'!F129,'[1]Hypotheses expl (2)'!E129))</f>
        <v>#REF!</v>
      </c>
      <c r="G77" s="390" t="e">
        <f>IF('[1]Hypotheses expl (2)'!$P$129="0j",'[1]Hypotheses expl (2)'!H129,IF('[1]Hypotheses expl (2)'!$P$129="30j",'[1]Hypotheses expl (2)'!G129,'[1]Hypotheses expl (2)'!F129))</f>
        <v>#REF!</v>
      </c>
      <c r="H77" s="390" t="e">
        <f>IF('[1]Hypotheses expl (2)'!$P$129="0j",'[1]Hypotheses expl (2)'!I129,IF('[1]Hypotheses expl (2)'!$P$129="30j",'[1]Hypotheses expl (2)'!H129,'[1]Hypotheses expl (2)'!G129))</f>
        <v>#REF!</v>
      </c>
      <c r="I77" s="390" t="e">
        <f>IF('[1]Hypotheses expl (2)'!$P$129="0j",'[1]Hypotheses expl (2)'!J129,IF('[1]Hypotheses expl (2)'!$P$129="30j",'[1]Hypotheses expl (2)'!I129,'[1]Hypotheses expl (2)'!H129))</f>
        <v>#REF!</v>
      </c>
      <c r="J77" s="390" t="e">
        <f>IF('[1]Hypotheses expl (2)'!$P$129="0j",'[1]Hypotheses expl (2)'!K129,IF('[1]Hypotheses expl (2)'!$P$129="30j",'[1]Hypotheses expl (2)'!J129,'[1]Hypotheses expl (2)'!I129))</f>
        <v>#REF!</v>
      </c>
      <c r="K77" s="390" t="e">
        <f>IF('[1]Hypotheses expl (2)'!$P$129="0j",'[1]Hypotheses expl (2)'!L129,IF('[1]Hypotheses expl (2)'!$P$129="30j",'[1]Hypotheses expl (2)'!K129,'[1]Hypotheses expl (2)'!J129))</f>
        <v>#REF!</v>
      </c>
      <c r="L77" s="390" t="e">
        <f>IF('[1]Hypotheses expl (2)'!$P$129="0j",'[1]Hypotheses expl (2)'!M129,IF('[1]Hypotheses expl (2)'!$P$129="30j",'[1]Hypotheses expl (2)'!L129,'[1]Hypotheses expl (2)'!K129))</f>
        <v>#REF!</v>
      </c>
      <c r="M77" s="390" t="e">
        <f>IF('[1]Hypotheses expl (2)'!$P$129="0j",'[1]Hypotheses expl (2)'!N129,IF('[1]Hypotheses expl (2)'!$P$129="30j",'[1]Hypotheses expl (2)'!M129,'[1]Hypotheses expl (2)'!L129))</f>
        <v>#REF!</v>
      </c>
    </row>
    <row r="78" outlineLevel="1">
      <c r="A78" s="393" t="e">
        <f>'[1]Compte résultat prévi'!A75</f>
        <v>#REF!</v>
      </c>
      <c r="B78" s="390">
        <v>1513</v>
      </c>
      <c r="C78" s="390" t="e">
        <f>IF('[1]Hypotheses expl (2)'!$P$130="0j",'[1]Hypotheses expl (2)'!D130,IF('[1]Hypotheses expl (2)'!$P$130="30j",'[1]Hypotheses expl (2)'!C130,'[1]Hypotheses expl (2)'!B130))</f>
        <v>#REF!</v>
      </c>
      <c r="D78" s="390" t="e">
        <f>IF('[1]Hypotheses expl (2)'!$P$130="0j",'[1]Hypotheses expl (2)'!E130,IF('[1]Hypotheses expl (2)'!$P$130="30j",'[1]Hypotheses expl (2)'!D130,'[1]Hypotheses expl (2)'!C130))</f>
        <v>#REF!</v>
      </c>
      <c r="E78" s="390" t="e">
        <f>IF('[1]Hypotheses expl (2)'!$P$130="0j",'[1]Hypotheses expl (2)'!F130,IF('[1]Hypotheses expl (2)'!$P$130="30j",'[1]Hypotheses expl (2)'!E130,'[1]Hypotheses expl (2)'!D130))</f>
        <v>#REF!</v>
      </c>
      <c r="F78" s="390" t="e">
        <f>IF('[1]Hypotheses expl (2)'!$P$130="0j",'[1]Hypotheses expl (2)'!G130,IF('[1]Hypotheses expl (2)'!$P$130="30j",'[1]Hypotheses expl (2)'!F130,'[1]Hypotheses expl (2)'!E130))</f>
        <v>#REF!</v>
      </c>
      <c r="G78" s="390" t="e">
        <f>IF('[1]Hypotheses expl (2)'!$P$130="0j",'[1]Hypotheses expl (2)'!H130,IF('[1]Hypotheses expl (2)'!$P$130="30j",'[1]Hypotheses expl (2)'!G130,'[1]Hypotheses expl (2)'!F130))</f>
        <v>#REF!</v>
      </c>
      <c r="H78" s="390" t="e">
        <f>IF('[1]Hypotheses expl (2)'!$P$130="0j",'[1]Hypotheses expl (2)'!I130,IF('[1]Hypotheses expl (2)'!$P$130="30j",'[1]Hypotheses expl (2)'!H130,'[1]Hypotheses expl (2)'!G130))</f>
        <v>#REF!</v>
      </c>
      <c r="I78" s="390" t="e">
        <f>IF('[1]Hypotheses expl (2)'!$P$130="0j",'[1]Hypotheses expl (2)'!J130,IF('[1]Hypotheses expl (2)'!$P$130="30j",'[1]Hypotheses expl (2)'!I130,'[1]Hypotheses expl (2)'!H130))</f>
        <v>#REF!</v>
      </c>
      <c r="J78" s="390" t="e">
        <f>IF('[1]Hypotheses expl (2)'!$P$130="0j",'[1]Hypotheses expl (2)'!K130,IF('[1]Hypotheses expl (2)'!$P$130="30j",'[1]Hypotheses expl (2)'!J130,'[1]Hypotheses expl (2)'!I130))</f>
        <v>#REF!</v>
      </c>
      <c r="K78" s="390" t="e">
        <f>IF('[1]Hypotheses expl (2)'!$P$130="0j",'[1]Hypotheses expl (2)'!L130,IF('[1]Hypotheses expl (2)'!$P$130="30j",'[1]Hypotheses expl (2)'!K130,'[1]Hypotheses expl (2)'!J130))</f>
        <v>#REF!</v>
      </c>
      <c r="L78" s="390" t="e">
        <f>IF('[1]Hypotheses expl (2)'!$P$130="0j",'[1]Hypotheses expl (2)'!M130,IF('[1]Hypotheses expl (2)'!$P$130="30j",'[1]Hypotheses expl (2)'!L130,'[1]Hypotheses expl (2)'!K130))</f>
        <v>#REF!</v>
      </c>
      <c r="M78" s="390" t="e">
        <f>IF('[1]Hypotheses expl (2)'!$P$130="0j",'[1]Hypotheses expl (2)'!N130,IF('[1]Hypotheses expl (2)'!$P$130="30j",'[1]Hypotheses expl (2)'!M130,'[1]Hypotheses expl (2)'!L130))</f>
        <v>#REF!</v>
      </c>
    </row>
    <row r="79" outlineLevel="1">
      <c r="A79" s="393" t="e">
        <f>'[1]Compte résultat prévi'!A76</f>
        <v>#REF!</v>
      </c>
    </row>
    <row r="80" outlineLevel="1">
      <c r="A80" s="393" t="e">
        <f>'[1]Compte résultat prévi'!A77</f>
        <v>#REF!</v>
      </c>
      <c r="B80" s="390">
        <v>0</v>
      </c>
      <c r="C80" s="390">
        <v>0</v>
      </c>
      <c r="D80" s="390">
        <v>0</v>
      </c>
      <c r="E80" s="390">
        <v>0</v>
      </c>
      <c r="F80" s="390">
        <v>0</v>
      </c>
      <c r="G80" s="390">
        <v>0</v>
      </c>
      <c r="H80" s="390">
        <v>0</v>
      </c>
      <c r="I80" s="390">
        <v>0</v>
      </c>
      <c r="J80" s="390">
        <v>0</v>
      </c>
      <c r="K80" s="390">
        <v>0</v>
      </c>
      <c r="L80" s="390">
        <v>0</v>
      </c>
      <c r="M80" s="390">
        <v>0</v>
      </c>
    </row>
    <row r="81" outlineLevel="1">
      <c r="A81" s="393" t="e">
        <f>'[1]Compte résultat prévi'!A78</f>
        <v>#REF!</v>
      </c>
      <c r="B81" s="390" t="e">
        <f>IF('[1]Hypotheses expl (2)'!$P$132="0j",'[1]Hypotheses expl (2)'!C132,IF('[1]Hypotheses expl (2)'!$P$132="30j",'[1]Hypotheses expl (2)'!B132,'[1]Hypotheses expl (2)'!A132))</f>
        <v>#REF!</v>
      </c>
      <c r="C81" s="390" t="e">
        <f>IF('[1]Hypotheses expl (2)'!$P$132="0j",'[1]Hypotheses expl (2)'!D132,IF('[1]Hypotheses expl (2)'!$P$132="30j",'[1]Hypotheses expl (2)'!C132,'[1]Hypotheses expl (2)'!B132))</f>
        <v>#REF!</v>
      </c>
      <c r="D81" s="390" t="e">
        <f>IF('[1]Hypotheses expl (2)'!$P$132="0j",'[1]Hypotheses expl (2)'!E132,IF('[1]Hypotheses expl (2)'!$P$132="30j",'[1]Hypotheses expl (2)'!D132,'[1]Hypotheses expl (2)'!C132))</f>
        <v>#REF!</v>
      </c>
      <c r="E81" s="390" t="e">
        <f>IF('[1]Hypotheses expl (2)'!$P$132="0j",'[1]Hypotheses expl (2)'!F132,IF('[1]Hypotheses expl (2)'!$P$132="30j",'[1]Hypotheses expl (2)'!E132,'[1]Hypotheses expl (2)'!D132))</f>
        <v>#REF!</v>
      </c>
      <c r="F81" s="390" t="e">
        <f>IF('[1]Hypotheses expl (2)'!$P$132="0j",'[1]Hypotheses expl (2)'!G132,IF('[1]Hypotheses expl (2)'!$P$132="30j",'[1]Hypotheses expl (2)'!F132,'[1]Hypotheses expl (2)'!E132))</f>
        <v>#REF!</v>
      </c>
      <c r="G81" s="390" t="e">
        <f>IF('[1]Hypotheses expl (2)'!$P$132="0j",'[1]Hypotheses expl (2)'!H132,IF('[1]Hypotheses expl (2)'!$P$132="30j",'[1]Hypotheses expl (2)'!G132,'[1]Hypotheses expl (2)'!F132))</f>
        <v>#REF!</v>
      </c>
      <c r="H81" s="390" t="e">
        <f>IF('[1]Hypotheses expl (2)'!$P$132="0j",'[1]Hypotheses expl (2)'!I132,IF('[1]Hypotheses expl (2)'!$P$132="30j",'[1]Hypotheses expl (2)'!H132,'[1]Hypotheses expl (2)'!G132))</f>
        <v>#REF!</v>
      </c>
      <c r="I81" s="390" t="e">
        <f>IF('[1]Hypotheses expl (2)'!$P$132="0j",'[1]Hypotheses expl (2)'!J132,IF('[1]Hypotheses expl (2)'!$P$132="30j",'[1]Hypotheses expl (2)'!I132,'[1]Hypotheses expl (2)'!H132))</f>
        <v>#REF!</v>
      </c>
      <c r="J81" s="390" t="e">
        <f>IF('[1]Hypotheses expl (2)'!$P$132="0j",'[1]Hypotheses expl (2)'!K132,IF('[1]Hypotheses expl (2)'!$P$132="30j",'[1]Hypotheses expl (2)'!J132,'[1]Hypotheses expl (2)'!I132))</f>
        <v>#REF!</v>
      </c>
      <c r="K81" s="390" t="e">
        <f>IF('[1]Hypotheses expl (2)'!$P$132="0j",'[1]Hypotheses expl (2)'!L132,IF('[1]Hypotheses expl (2)'!$P$132="30j",'[1]Hypotheses expl (2)'!K132,'[1]Hypotheses expl (2)'!J132))</f>
        <v>#REF!</v>
      </c>
      <c r="L81" s="390" t="e">
        <f>IF('[1]Hypotheses expl (2)'!$P$132="0j",'[1]Hypotheses expl (2)'!M132,IF('[1]Hypotheses expl (2)'!$P$132="30j",'[1]Hypotheses expl (2)'!L132,'[1]Hypotheses expl (2)'!K132))</f>
        <v>#REF!</v>
      </c>
      <c r="M81" s="390" t="e">
        <f>IF('[1]Hypotheses expl (2)'!$P$132="0j",'[1]Hypotheses expl (2)'!N132,IF('[1]Hypotheses expl (2)'!$P$132="30j",'[1]Hypotheses expl (2)'!M132,'[1]Hypotheses expl (2)'!L132))</f>
        <v>#REF!</v>
      </c>
    </row>
    <row r="82" outlineLevel="1">
      <c r="A82" s="393" t="e">
        <f>'[1]Compte résultat prévi'!A79</f>
        <v>#REF!</v>
      </c>
      <c r="B82" s="390" t="e">
        <f>IF('[1]Hypotheses expl (2)'!$P$133="0j",'[1]Hypotheses expl (2)'!C133,IF('[1]Hypotheses expl (2)'!$P$133="30j",'[1]Hypotheses expl (2)'!B133,'[1]Hypotheses expl (2)'!A133))</f>
        <v>#REF!</v>
      </c>
      <c r="C82" s="390" t="e">
        <f>IF('[1]Hypotheses expl (2)'!$P$133="0j",'[1]Hypotheses expl (2)'!D133,IF('[1]Hypotheses expl (2)'!$P$133="30j",'[1]Hypotheses expl (2)'!C133,'[1]Hypotheses expl (2)'!B133))</f>
        <v>#REF!</v>
      </c>
      <c r="D82" s="390" t="e">
        <f>IF('[1]Hypotheses expl (2)'!$P$133="0j",'[1]Hypotheses expl (2)'!E133,IF('[1]Hypotheses expl (2)'!$P$133="30j",'[1]Hypotheses expl (2)'!D133,'[1]Hypotheses expl (2)'!C133))</f>
        <v>#REF!</v>
      </c>
      <c r="E82" s="390" t="e">
        <f>IF('[1]Hypotheses expl (2)'!$P$133="0j",'[1]Hypotheses expl (2)'!F133,IF('[1]Hypotheses expl (2)'!$P$133="30j",'[1]Hypotheses expl (2)'!E133,'[1]Hypotheses expl (2)'!D133))</f>
        <v>#REF!</v>
      </c>
      <c r="F82" s="390" t="e">
        <f>IF('[1]Hypotheses expl (2)'!$P$133="0j",'[1]Hypotheses expl (2)'!G133,IF('[1]Hypotheses expl (2)'!$P$133="30j",'[1]Hypotheses expl (2)'!F133,'[1]Hypotheses expl (2)'!E133))</f>
        <v>#REF!</v>
      </c>
      <c r="G82" s="390" t="e">
        <f>IF('[1]Hypotheses expl (2)'!$P$133="0j",'[1]Hypotheses expl (2)'!H133,IF('[1]Hypotheses expl (2)'!$P$133="30j",'[1]Hypotheses expl (2)'!G133,'[1]Hypotheses expl (2)'!F133))</f>
        <v>#REF!</v>
      </c>
      <c r="H82" s="390" t="e">
        <f>IF('[1]Hypotheses expl (2)'!$P$133="0j",'[1]Hypotheses expl (2)'!I133,IF('[1]Hypotheses expl (2)'!$P$133="30j",'[1]Hypotheses expl (2)'!H133,'[1]Hypotheses expl (2)'!G133))</f>
        <v>#REF!</v>
      </c>
      <c r="I82" s="390" t="e">
        <f>IF('[1]Hypotheses expl (2)'!$P$133="0j",'[1]Hypotheses expl (2)'!J133,IF('[1]Hypotheses expl (2)'!$P$133="30j",'[1]Hypotheses expl (2)'!I133,'[1]Hypotheses expl (2)'!H133))</f>
        <v>#REF!</v>
      </c>
      <c r="J82" s="390" t="e">
        <f>IF('[1]Hypotheses expl (2)'!$P$133="0j",'[1]Hypotheses expl (2)'!K133,IF('[1]Hypotheses expl (2)'!$P$133="30j",'[1]Hypotheses expl (2)'!J133,'[1]Hypotheses expl (2)'!I133))</f>
        <v>#REF!</v>
      </c>
      <c r="K82" s="390" t="e">
        <f>IF('[1]Hypotheses expl (2)'!$P$133="0j",'[1]Hypotheses expl (2)'!L133,IF('[1]Hypotheses expl (2)'!$P$133="30j",'[1]Hypotheses expl (2)'!K133,'[1]Hypotheses expl (2)'!J133))</f>
        <v>#REF!</v>
      </c>
      <c r="L82" s="390" t="e">
        <f>IF('[1]Hypotheses expl (2)'!$P$133="0j",'[1]Hypotheses expl (2)'!M133,IF('[1]Hypotheses expl (2)'!$P$133="30j",'[1]Hypotheses expl (2)'!L133,'[1]Hypotheses expl (2)'!K133))</f>
        <v>#REF!</v>
      </c>
      <c r="M82" s="390" t="e">
        <f>IF('[1]Hypotheses expl (2)'!$P$133="0j",'[1]Hypotheses expl (2)'!N133,IF('[1]Hypotheses expl (2)'!$P$133="30j",'[1]Hypotheses expl (2)'!M133,'[1]Hypotheses expl (2)'!L133))</f>
        <v>#REF!</v>
      </c>
    </row>
    <row r="83" outlineLevel="1">
      <c r="A83" s="393" t="e">
        <f>'[1]Compte résultat prévi'!A81</f>
        <v>#REF!</v>
      </c>
      <c r="B83" s="390" t="e">
        <f>IF('[1]Hypotheses expl (2)'!$P$134="0j",'[1]Hypotheses expl (2)'!C134,IF('[1]Hypotheses expl (2)'!$P$134="30j",'[1]Hypotheses expl (2)'!B134,'[1]Hypotheses expl (2)'!A134))</f>
        <v>#REF!</v>
      </c>
      <c r="C83" s="390" t="e">
        <f>IF('[1]Hypotheses expl (2)'!$P$134="0j",'[1]Hypotheses expl (2)'!D134,IF('[1]Hypotheses expl (2)'!$P$134="30j",'[1]Hypotheses expl (2)'!C134,'[1]Hypotheses expl (2)'!B134))</f>
        <v>#REF!</v>
      </c>
      <c r="D83" s="390" t="e">
        <f>IF('[1]Hypotheses expl (2)'!$P$134="0j",'[1]Hypotheses expl (2)'!E134,IF('[1]Hypotheses expl (2)'!$P$134="30j",'[1]Hypotheses expl (2)'!D134,'[1]Hypotheses expl (2)'!C134))</f>
        <v>#REF!</v>
      </c>
      <c r="E83" s="390" t="e">
        <f>IF('[1]Hypotheses expl (2)'!$P$134="0j",'[1]Hypotheses expl (2)'!F134,IF('[1]Hypotheses expl (2)'!$P$134="30j",'[1]Hypotheses expl (2)'!E134,'[1]Hypotheses expl (2)'!D134))</f>
        <v>#REF!</v>
      </c>
      <c r="F83" s="390" t="e">
        <f>IF('[1]Hypotheses expl (2)'!$P$134="0j",'[1]Hypotheses expl (2)'!G134,IF('[1]Hypotheses expl (2)'!$P$134="30j",'[1]Hypotheses expl (2)'!F134,'[1]Hypotheses expl (2)'!E134))</f>
        <v>#REF!</v>
      </c>
      <c r="G83" s="390" t="e">
        <f>IF('[1]Hypotheses expl (2)'!$P$134="0j",'[1]Hypotheses expl (2)'!H134,IF('[1]Hypotheses expl (2)'!$P$134="30j",'[1]Hypotheses expl (2)'!G134,'[1]Hypotheses expl (2)'!F134))</f>
        <v>#REF!</v>
      </c>
      <c r="H83" s="390" t="e">
        <f>IF('[1]Hypotheses expl (2)'!$P$134="0j",'[1]Hypotheses expl (2)'!I134,IF('[1]Hypotheses expl (2)'!$P$134="30j",'[1]Hypotheses expl (2)'!H134,'[1]Hypotheses expl (2)'!G134))</f>
        <v>#REF!</v>
      </c>
      <c r="I83" s="390" t="e">
        <f>IF('[1]Hypotheses expl (2)'!$P$134="0j",'[1]Hypotheses expl (2)'!J134,IF('[1]Hypotheses expl (2)'!$P$134="30j",'[1]Hypotheses expl (2)'!I134,'[1]Hypotheses expl (2)'!H134))</f>
        <v>#REF!</v>
      </c>
      <c r="J83" s="390" t="e">
        <f>IF('[1]Hypotheses expl (2)'!$P$134="0j",'[1]Hypotheses expl (2)'!K134,IF('[1]Hypotheses expl (2)'!$P$134="30j",'[1]Hypotheses expl (2)'!J134,'[1]Hypotheses expl (2)'!I134))</f>
        <v>#REF!</v>
      </c>
      <c r="K83" s="390" t="e">
        <f>IF('[1]Hypotheses expl (2)'!$P$134="0j",'[1]Hypotheses expl (2)'!L134,IF('[1]Hypotheses expl (2)'!$P$134="30j",'[1]Hypotheses expl (2)'!K134,'[1]Hypotheses expl (2)'!J134))</f>
        <v>#REF!</v>
      </c>
      <c r="L83" s="390" t="e">
        <f>IF('[1]Hypotheses expl (2)'!$P$134="0j",'[1]Hypotheses expl (2)'!M134,IF('[1]Hypotheses expl (2)'!$P$134="30j",'[1]Hypotheses expl (2)'!L134,'[1]Hypotheses expl (2)'!K134))</f>
        <v>#REF!</v>
      </c>
      <c r="M83" s="390" t="e">
        <f>IF('[1]Hypotheses expl (2)'!$P$134="0j",'[1]Hypotheses expl (2)'!N134,IF('[1]Hypotheses expl (2)'!$P$134="30j",'[1]Hypotheses expl (2)'!M134,'[1]Hypotheses expl (2)'!L134))</f>
        <v>#REF!</v>
      </c>
    </row>
    <row r="84" outlineLevel="1">
      <c r="A84" s="393" t="s">
        <v>389</v>
      </c>
      <c r="B84" s="390" t="e">
        <f>IF('[1]Hypotheses expl (2)'!$P$135="0j",'[1]Hypotheses expl (2)'!C135,IF('[1]Hypotheses expl (2)'!$P$135="30j",'[1]Hypotheses expl (2)'!B135,'[1]Hypotheses expl (2)'!A135))</f>
        <v>#REF!</v>
      </c>
      <c r="C84" s="390" t="e">
        <f>IF('[1]Hypotheses expl (2)'!$P$135="0j",'[1]Hypotheses expl (2)'!D135,IF('[1]Hypotheses expl (2)'!$P$135="30j",'[1]Hypotheses expl (2)'!C135,'[1]Hypotheses expl (2)'!B135))</f>
        <v>#REF!</v>
      </c>
      <c r="D84" s="390" t="e">
        <f>IF('[1]Hypotheses expl (2)'!$P$135="0j",'[1]Hypotheses expl (2)'!E135,IF('[1]Hypotheses expl (2)'!$P$135="30j",'[1]Hypotheses expl (2)'!D135,'[1]Hypotheses expl (2)'!C135))</f>
        <v>#REF!</v>
      </c>
      <c r="E84" s="390" t="e">
        <f>IF('[1]Hypotheses expl (2)'!$P$135="0j",'[1]Hypotheses expl (2)'!F135,IF('[1]Hypotheses expl (2)'!$P$135="30j",'[1]Hypotheses expl (2)'!E135,'[1]Hypotheses expl (2)'!D135))</f>
        <v>#REF!</v>
      </c>
      <c r="F84" s="390" t="e">
        <f>IF('[1]Hypotheses expl (2)'!$P$135="0j",'[1]Hypotheses expl (2)'!G135,IF('[1]Hypotheses expl (2)'!$P$135="30j",'[1]Hypotheses expl (2)'!F135,'[1]Hypotheses expl (2)'!E135))</f>
        <v>#REF!</v>
      </c>
      <c r="G84" s="390" t="e">
        <f>IF('[1]Hypotheses expl (2)'!$P$135="0j",'[1]Hypotheses expl (2)'!H135,IF('[1]Hypotheses expl (2)'!$P$135="30j",'[1]Hypotheses expl (2)'!G135,'[1]Hypotheses expl (2)'!F135))</f>
        <v>#REF!</v>
      </c>
      <c r="H84" s="390" t="e">
        <f>IF('[1]Hypotheses expl (2)'!$P$135="0j",'[1]Hypotheses expl (2)'!I135,IF('[1]Hypotheses expl (2)'!$P$135="30j",'[1]Hypotheses expl (2)'!H135,'[1]Hypotheses expl (2)'!G135))</f>
        <v>#REF!</v>
      </c>
      <c r="I84" s="390" t="e">
        <f>IF('[1]Hypotheses expl (2)'!$P$135="0j",'[1]Hypotheses expl (2)'!J135,IF('[1]Hypotheses expl (2)'!$P$135="30j",'[1]Hypotheses expl (2)'!I135,'[1]Hypotheses expl (2)'!H135))</f>
        <v>#REF!</v>
      </c>
      <c r="J84" s="390" t="e">
        <f>IF('[1]Hypotheses expl (2)'!$P$135="0j",'[1]Hypotheses expl (2)'!K135,IF('[1]Hypotheses expl (2)'!$P$135="30j",'[1]Hypotheses expl (2)'!J135,'[1]Hypotheses expl (2)'!I135))</f>
        <v>#REF!</v>
      </c>
      <c r="K84" s="390" t="e">
        <f>IF('[1]Hypotheses expl (2)'!$P$135="0j",'[1]Hypotheses expl (2)'!L135,IF('[1]Hypotheses expl (2)'!$P$135="30j",'[1]Hypotheses expl (2)'!K135,'[1]Hypotheses expl (2)'!J135))</f>
        <v>#REF!</v>
      </c>
      <c r="L84" s="390" t="e">
        <f>IF('[1]Hypotheses expl (2)'!$P$135="0j",'[1]Hypotheses expl (2)'!M135,IF('[1]Hypotheses expl (2)'!$P$135="30j",'[1]Hypotheses expl (2)'!L135,'[1]Hypotheses expl (2)'!K135))</f>
        <v>#REF!</v>
      </c>
      <c r="M84" s="390" t="e">
        <f>IF('[1]Hypotheses expl (2)'!$P$135="0j",'[1]Hypotheses expl (2)'!N135,IF('[1]Hypotheses expl (2)'!$P$135="30j",'[1]Hypotheses expl (2)'!M135,'[1]Hypotheses expl (2)'!L135))</f>
        <v>#REF!</v>
      </c>
    </row>
    <row r="85">
      <c r="A85" s="391" t="e">
        <f>'[1]Compte résultat prévi'!A83</f>
        <v>#REF!</v>
      </c>
      <c r="B85" s="388" t="e">
        <f>SUM(B86:B88)</f>
        <v>#REF!</v>
      </c>
      <c r="C85" s="388" t="e">
        <f t="shared" ref="C85:M85" si="327">SUM(C86:C88)</f>
        <v>#REF!</v>
      </c>
      <c r="D85" s="388" t="e">
        <f t="shared" si="327"/>
        <v>#REF!</v>
      </c>
      <c r="E85" s="388" t="e">
        <f t="shared" si="327"/>
        <v>#REF!</v>
      </c>
      <c r="F85" s="388" t="e">
        <f t="shared" si="327"/>
        <v>#REF!</v>
      </c>
      <c r="G85" s="388" t="e">
        <f t="shared" si="327"/>
        <v>#REF!</v>
      </c>
      <c r="H85" s="388" t="e">
        <f t="shared" si="327"/>
        <v>#REF!</v>
      </c>
      <c r="I85" s="388" t="e">
        <f t="shared" si="327"/>
        <v>#REF!</v>
      </c>
      <c r="J85" s="388" t="e">
        <f t="shared" si="327"/>
        <v>#REF!</v>
      </c>
      <c r="K85" s="388" t="e">
        <f t="shared" si="327"/>
        <v>#REF!</v>
      </c>
      <c r="L85" s="388" t="e">
        <f t="shared" si="327"/>
        <v>#REF!</v>
      </c>
      <c r="M85" s="388" t="e">
        <f t="shared" si="327"/>
        <v>#REF!</v>
      </c>
    </row>
    <row r="86" outlineLevel="1">
      <c r="A86" s="393" t="e">
        <f>'[1]Compte résultat prévi'!A84</f>
        <v>#REF!</v>
      </c>
      <c r="B86" s="390">
        <v>8290</v>
      </c>
      <c r="C86" s="390">
        <v>8322</v>
      </c>
      <c r="D86" s="390" t="e">
        <f>IF('[1]Hypotheses expl (2)'!$P$137="0j",'[1]Hypotheses expl (2)'!E137,IF('[1]Hypotheses expl (2)'!$P$137="30j",'[1]Hypotheses expl (2)'!D137,'[1]Hypotheses expl (2)'!C137))</f>
        <v>#REF!</v>
      </c>
      <c r="E86" s="390" t="e">
        <f>IF('[1]Hypotheses expl (2)'!$P$137="0j",'[1]Hypotheses expl (2)'!F137,IF('[1]Hypotheses expl (2)'!$P$137="30j",'[1]Hypotheses expl (2)'!E137,'[1]Hypotheses expl (2)'!D137))</f>
        <v>#REF!</v>
      </c>
      <c r="F86" s="390" t="e">
        <f>IF('[1]Hypotheses expl (2)'!$P$137="0j",'[1]Hypotheses expl (2)'!G137,IF('[1]Hypotheses expl (2)'!$P$137="30j",'[1]Hypotheses expl (2)'!F137,'[1]Hypotheses expl (2)'!E137))</f>
        <v>#REF!</v>
      </c>
      <c r="G86" s="390" t="e">
        <f>IF('[1]Hypotheses expl (2)'!$P$137="0j",'[1]Hypotheses expl (2)'!H137,IF('[1]Hypotheses expl (2)'!$P$137="30j",'[1]Hypotheses expl (2)'!G137,'[1]Hypotheses expl (2)'!F137))</f>
        <v>#REF!</v>
      </c>
      <c r="H86" s="390" t="e">
        <f>IF('[1]Hypotheses expl (2)'!$P$137="0j",'[1]Hypotheses expl (2)'!I137,IF('[1]Hypotheses expl (2)'!$P$137="30j",'[1]Hypotheses expl (2)'!H137,'[1]Hypotheses expl (2)'!G137))</f>
        <v>#REF!</v>
      </c>
      <c r="I86" s="390" t="e">
        <f>IF('[1]Hypotheses expl (2)'!$P$137="0j",'[1]Hypotheses expl (2)'!J137,IF('[1]Hypotheses expl (2)'!$P$137="30j",'[1]Hypotheses expl (2)'!I137,'[1]Hypotheses expl (2)'!H137))</f>
        <v>#REF!</v>
      </c>
      <c r="J86" s="390" t="e">
        <f>IF('[1]Hypotheses expl (2)'!$P$137="0j",'[1]Hypotheses expl (2)'!K137,IF('[1]Hypotheses expl (2)'!$P$137="30j",'[1]Hypotheses expl (2)'!J137,'[1]Hypotheses expl (2)'!I137))</f>
        <v>#REF!</v>
      </c>
      <c r="K86" s="390" t="e">
        <f>IF('[1]Hypotheses expl (2)'!$P$137="0j",'[1]Hypotheses expl (2)'!L137,IF('[1]Hypotheses expl (2)'!$P$137="30j",'[1]Hypotheses expl (2)'!K137,'[1]Hypotheses expl (2)'!J137))</f>
        <v>#REF!</v>
      </c>
      <c r="L86" s="390" t="e">
        <f>IF('[1]Hypotheses expl (2)'!$P$137="0j",'[1]Hypotheses expl (2)'!M137,IF('[1]Hypotheses expl (2)'!$P$137="30j",'[1]Hypotheses expl (2)'!L137,'[1]Hypotheses expl (2)'!K137))</f>
        <v>#REF!</v>
      </c>
      <c r="M86" s="390" t="e">
        <f>IF('[1]Hypotheses expl (2)'!$P$137="0j",'[1]Hypotheses expl (2)'!N137,IF('[1]Hypotheses expl (2)'!$P$137="30j",'[1]Hypotheses expl (2)'!M137,'[1]Hypotheses expl (2)'!L137))</f>
        <v>#REF!</v>
      </c>
    </row>
    <row r="87" outlineLevel="1">
      <c r="A87" s="393" t="e">
        <f>'[1]Compte résultat prévi'!A85</f>
        <v>#REF!</v>
      </c>
      <c r="B87" s="390">
        <v>10</v>
      </c>
      <c r="C87" s="390">
        <v>0</v>
      </c>
      <c r="D87" s="390" t="e">
        <f>IF('[1]Hypotheses expl (2)'!$P$138="0j",'[1]Hypotheses expl (2)'!E138,IF('[1]Hypotheses expl (2)'!$P$138="30j",'[1]Hypotheses expl (2)'!D138,'[1]Hypotheses expl (2)'!C138))</f>
        <v>#REF!</v>
      </c>
      <c r="E87" s="390" t="e">
        <f>IF('[1]Hypotheses expl (2)'!$P$138="0j",'[1]Hypotheses expl (2)'!F138,IF('[1]Hypotheses expl (2)'!$P$138="30j",'[1]Hypotheses expl (2)'!E138,'[1]Hypotheses expl (2)'!D138))</f>
        <v>#REF!</v>
      </c>
      <c r="F87" s="390" t="e">
        <f>IF('[1]Hypotheses expl (2)'!$P$138="0j",'[1]Hypotheses expl (2)'!G138,IF('[1]Hypotheses expl (2)'!$P$138="30j",'[1]Hypotheses expl (2)'!F138,'[1]Hypotheses expl (2)'!E138))</f>
        <v>#REF!</v>
      </c>
      <c r="G87" s="390" t="e">
        <f>IF('[1]Hypotheses expl (2)'!$P$138="0j",'[1]Hypotheses expl (2)'!H138,IF('[1]Hypotheses expl (2)'!$P$138="30j",'[1]Hypotheses expl (2)'!G138,'[1]Hypotheses expl (2)'!F138))</f>
        <v>#REF!</v>
      </c>
      <c r="H87" s="390" t="e">
        <f>IF('[1]Hypotheses expl (2)'!$P$138="0j",'[1]Hypotheses expl (2)'!I138,IF('[1]Hypotheses expl (2)'!$P$138="30j",'[1]Hypotheses expl (2)'!H138,'[1]Hypotheses expl (2)'!G138))</f>
        <v>#REF!</v>
      </c>
      <c r="I87" s="390" t="e">
        <f>IF('[1]Hypotheses expl (2)'!$P$138="0j",'[1]Hypotheses expl (2)'!J138,IF('[1]Hypotheses expl (2)'!$P$138="30j",'[1]Hypotheses expl (2)'!I138,'[1]Hypotheses expl (2)'!H138))</f>
        <v>#REF!</v>
      </c>
      <c r="J87" s="390" t="e">
        <f>IF('[1]Hypotheses expl (2)'!$P$138="0j",'[1]Hypotheses expl (2)'!K138,IF('[1]Hypotheses expl (2)'!$P$138="30j",'[1]Hypotheses expl (2)'!J138,'[1]Hypotheses expl (2)'!I138))</f>
        <v>#REF!</v>
      </c>
      <c r="K87" s="390" t="e">
        <f>IF('[1]Hypotheses expl (2)'!$P$138="0j",'[1]Hypotheses expl (2)'!L138,IF('[1]Hypotheses expl (2)'!$P$138="30j",'[1]Hypotheses expl (2)'!K138,'[1]Hypotheses expl (2)'!J138))</f>
        <v>#REF!</v>
      </c>
      <c r="L87" s="390" t="e">
        <f>IF('[1]Hypotheses expl (2)'!$P$138="0j",'[1]Hypotheses expl (2)'!M138,IF('[1]Hypotheses expl (2)'!$P$138="30j",'[1]Hypotheses expl (2)'!L138,'[1]Hypotheses expl (2)'!K138))</f>
        <v>#REF!</v>
      </c>
      <c r="M87" s="390" t="e">
        <f>IF('[1]Hypotheses expl (2)'!$P$138="0j",'[1]Hypotheses expl (2)'!N138,IF('[1]Hypotheses expl (2)'!$P$138="30j",'[1]Hypotheses expl (2)'!M138,'[1]Hypotheses expl (2)'!L138))</f>
        <v>#REF!</v>
      </c>
    </row>
    <row r="88" outlineLevel="1">
      <c r="A88" s="393" t="e">
        <f>'[1]Compte résultat prévi'!A86</f>
        <v>#REF!</v>
      </c>
      <c r="B88" s="390" t="e">
        <f>IF('[1]Hypotheses expl (2)'!$P$139="0j",'[1]Hypotheses expl (2)'!C139,IF('[1]Hypotheses expl (2)'!$P$139="30j",'[1]Hypotheses expl (2)'!B139,'[1]Hypotheses expl (2)'!A139))</f>
        <v>#REF!</v>
      </c>
      <c r="C88" s="390" t="e">
        <f>IF('[1]Hypotheses expl (2)'!$P$139="0j",'[1]Hypotheses expl (2)'!D139,IF('[1]Hypotheses expl (2)'!$P$139="30j",'[1]Hypotheses expl (2)'!C139,'[1]Hypotheses expl (2)'!B139))</f>
        <v>#REF!</v>
      </c>
      <c r="D88" s="390" t="e">
        <f>IF('[1]Hypotheses expl (2)'!$P$139="0j",'[1]Hypotheses expl (2)'!E139,IF('[1]Hypotheses expl (2)'!$P$139="30j",'[1]Hypotheses expl (2)'!D139,'[1]Hypotheses expl (2)'!C139))</f>
        <v>#REF!</v>
      </c>
      <c r="E88" s="390" t="e">
        <f>IF('[1]Hypotheses expl (2)'!$P$139="0j",'[1]Hypotheses expl (2)'!F139,IF('[1]Hypotheses expl (2)'!$P$139="30j",'[1]Hypotheses expl (2)'!E139,'[1]Hypotheses expl (2)'!D139))</f>
        <v>#REF!</v>
      </c>
      <c r="F88" s="390" t="e">
        <f>IF('[1]Hypotheses expl (2)'!$P$139="0j",'[1]Hypotheses expl (2)'!G139,IF('[1]Hypotheses expl (2)'!$P$139="30j",'[1]Hypotheses expl (2)'!F139,'[1]Hypotheses expl (2)'!E139))</f>
        <v>#REF!</v>
      </c>
      <c r="G88" s="390" t="e">
        <f>IF('[1]Hypotheses expl (2)'!$P$139="0j",'[1]Hypotheses expl (2)'!H139,IF('[1]Hypotheses expl (2)'!$P$139="30j",'[1]Hypotheses expl (2)'!G139,'[1]Hypotheses expl (2)'!F139))</f>
        <v>#REF!</v>
      </c>
      <c r="H88" s="390" t="e">
        <f>IF('[1]Hypotheses expl (2)'!$P$139="0j",'[1]Hypotheses expl (2)'!I139,IF('[1]Hypotheses expl (2)'!$P$139="30j",'[1]Hypotheses expl (2)'!H139,'[1]Hypotheses expl (2)'!G139))</f>
        <v>#REF!</v>
      </c>
      <c r="I88" s="390" t="e">
        <f>IF('[1]Hypotheses expl (2)'!$P$139="0j",'[1]Hypotheses expl (2)'!J139,IF('[1]Hypotheses expl (2)'!$P$139="30j",'[1]Hypotheses expl (2)'!I139,'[1]Hypotheses expl (2)'!H139))</f>
        <v>#REF!</v>
      </c>
      <c r="J88" s="390" t="e">
        <f>IF('[1]Hypotheses expl (2)'!$P$139="0j",'[1]Hypotheses expl (2)'!K139,IF('[1]Hypotheses expl (2)'!$P$139="30j",'[1]Hypotheses expl (2)'!J139,'[1]Hypotheses expl (2)'!I139))</f>
        <v>#REF!</v>
      </c>
      <c r="K88" s="390" t="e">
        <f>IF('[1]Hypotheses expl (2)'!$P$139="0j",'[1]Hypotheses expl (2)'!L139,IF('[1]Hypotheses expl (2)'!$P$139="30j",'[1]Hypotheses expl (2)'!K139,'[1]Hypotheses expl (2)'!J139))</f>
        <v>#REF!</v>
      </c>
      <c r="L88" s="390" t="e">
        <f>IF('[1]Hypotheses expl (2)'!$P$139="0j",'[1]Hypotheses expl (2)'!M139,IF('[1]Hypotheses expl (2)'!$P$139="30j",'[1]Hypotheses expl (2)'!L139,'[1]Hypotheses expl (2)'!K139))</f>
        <v>#REF!</v>
      </c>
      <c r="M88" s="390" t="e">
        <f>IF('[1]Hypotheses expl (2)'!$P$139="0j",'[1]Hypotheses expl (2)'!N139,IF('[1]Hypotheses expl (2)'!$P$139="30j",'[1]Hypotheses expl (2)'!M139,'[1]Hypotheses expl (2)'!L139))</f>
        <v>#REF!</v>
      </c>
    </row>
    <row r="89">
      <c r="A89" s="391" t="e">
        <f>'[1]Compte résultat prévi'!A90</f>
        <v>#REF!</v>
      </c>
      <c r="B89" s="388" t="e">
        <f>B90+B91+B92+B100</f>
        <v>#REF!</v>
      </c>
      <c r="C89" s="388" t="e">
        <f t="shared" ref="C89:H89" si="328">SUM(C90:C100)</f>
        <v>#REF!</v>
      </c>
      <c r="D89" s="388" t="e">
        <f t="shared" si="328"/>
        <v>#REF!</v>
      </c>
      <c r="E89" s="388" t="e">
        <f t="shared" si="328"/>
        <v>#REF!</v>
      </c>
      <c r="F89" s="388" t="e">
        <f t="shared" si="328"/>
        <v>#REF!</v>
      </c>
      <c r="G89" s="388" t="e">
        <f t="shared" si="328"/>
        <v>#REF!</v>
      </c>
      <c r="H89" s="388" t="e">
        <f t="shared" si="328"/>
        <v>#REF!</v>
      </c>
      <c r="I89" s="388" t="e">
        <f>SUM(I90:I100)</f>
        <v>#REF!</v>
      </c>
      <c r="J89" s="388" t="e">
        <f>SUM(J90:J101)</f>
        <v>#REF!</v>
      </c>
      <c r="K89" s="388" t="e">
        <f>SUM(K90:K101)</f>
        <v>#REF!</v>
      </c>
      <c r="L89" s="388" t="e">
        <f>SUM(L90:L101)</f>
        <v>#REF!</v>
      </c>
      <c r="M89" s="388" t="e">
        <f>SUM(M90:M101)</f>
        <v>#REF!</v>
      </c>
    </row>
    <row r="90" outlineLevel="1">
      <c r="A90" s="393" t="e">
        <f>'[1]Compte résultat prévi'!A91</f>
        <v>#REF!</v>
      </c>
      <c r="B90" s="390" t="e">
        <f>IF('[1]Hypotheses expl (2)'!$P$143="0j",'[1]Hypotheses expl (2)'!C143,IF('[1]Hypotheses expl (2)'!$P$143="30j",'[1]Hypotheses expl (2)'!B143,'[1]Hypotheses expl (2)'!A143))</f>
        <v>#REF!</v>
      </c>
      <c r="C90" s="390" t="e">
        <f>IF('[1]Hypotheses expl (2)'!$P$143="0j",'[1]Hypotheses expl (2)'!D143,IF('[1]Hypotheses expl (2)'!$P$143="30j",'[1]Hypotheses expl (2)'!C143,'[1]Hypotheses expl (2)'!B143))</f>
        <v>#REF!</v>
      </c>
      <c r="D90" s="390" t="e">
        <f>IF('[1]Hypotheses expl (2)'!$P$143="0j",'[1]Hypotheses expl (2)'!E143,IF('[1]Hypotheses expl (2)'!$P$143="30j",'[1]Hypotheses expl (2)'!D143,'[1]Hypotheses expl (2)'!C143))</f>
        <v>#REF!</v>
      </c>
      <c r="E90" s="390" t="e">
        <f>IF('[1]Hypotheses expl (2)'!$P$143="0j",'[1]Hypotheses expl (2)'!F143,IF('[1]Hypotheses expl (2)'!$P$143="30j",'[1]Hypotheses expl (2)'!E143,'[1]Hypotheses expl (2)'!D143))</f>
        <v>#REF!</v>
      </c>
      <c r="F90" s="390" t="e">
        <f>IF('[1]Hypotheses expl (2)'!$P$143="0j",'[1]Hypotheses expl (2)'!G143,IF('[1]Hypotheses expl (2)'!$P$143="30j",'[1]Hypotheses expl (2)'!F143,'[1]Hypotheses expl (2)'!E143))</f>
        <v>#REF!</v>
      </c>
      <c r="G90" s="390" t="e">
        <f>IF('[1]Hypotheses expl (2)'!$P$143="0j",'[1]Hypotheses expl (2)'!H143,IF('[1]Hypotheses expl (2)'!$P$143="30j",'[1]Hypotheses expl (2)'!G143,'[1]Hypotheses expl (2)'!F143))</f>
        <v>#REF!</v>
      </c>
      <c r="H90" s="390" t="e">
        <f>IF('[1]Hypotheses expl (2)'!$P$143="0j",'[1]Hypotheses expl (2)'!I143,IF('[1]Hypotheses expl (2)'!$P$143="30j",'[1]Hypotheses expl (2)'!H143,'[1]Hypotheses expl (2)'!G143))</f>
        <v>#REF!</v>
      </c>
      <c r="I90" s="390" t="e">
        <f>IF('[1]Hypotheses expl (2)'!$P$143="0j",'[1]Hypotheses expl (2)'!J143,IF('[1]Hypotheses expl (2)'!$P$143="30j",'[1]Hypotheses expl (2)'!I143,'[1]Hypotheses expl (2)'!H143))</f>
        <v>#REF!</v>
      </c>
      <c r="J90" s="390" t="e">
        <f>IF('[1]Hypotheses expl (2)'!$P$143="0j",'[1]Hypotheses expl (2)'!K143,IF('[1]Hypotheses expl (2)'!$P$143="30j",'[1]Hypotheses expl (2)'!J143,'[1]Hypotheses expl (2)'!I143))</f>
        <v>#REF!</v>
      </c>
      <c r="K90" s="390" t="e">
        <f>IF('[1]Hypotheses expl (2)'!$P$143="0j",'[1]Hypotheses expl (2)'!L143,IF('[1]Hypotheses expl (2)'!$P$143="30j",'[1]Hypotheses expl (2)'!K143,'[1]Hypotheses expl (2)'!J143))</f>
        <v>#REF!</v>
      </c>
      <c r="L90" s="390" t="e">
        <f>IF('[1]Hypotheses expl (2)'!$P$143="0j",'[1]Hypotheses expl (2)'!M143,IF('[1]Hypotheses expl (2)'!$P$143="30j",'[1]Hypotheses expl (2)'!L143,'[1]Hypotheses expl (2)'!K143))</f>
        <v>#REF!</v>
      </c>
      <c r="M90" s="390" t="e">
        <f>IF('[1]Hypotheses expl (2)'!$P$143="0j",'[1]Hypotheses expl (2)'!N143,IF('[1]Hypotheses expl (2)'!$P$143="30j",'[1]Hypotheses expl (2)'!M143,'[1]Hypotheses expl (2)'!L143))</f>
        <v>#REF!</v>
      </c>
    </row>
    <row r="91" outlineLevel="1">
      <c r="A91" s="393" t="e">
        <f>'[1]Compte résultat prévi'!A92</f>
        <v>#REF!</v>
      </c>
      <c r="B91" s="390" t="e">
        <f>IF('[1]Hypotheses expl (2)'!$P$144="0j",'[1]Hypotheses expl (2)'!C144,IF('[1]Hypotheses expl (2)'!$P$144="30j",'[1]Hypotheses expl (2)'!B144,'[1]Hypotheses expl (2)'!A144))</f>
        <v>#REF!</v>
      </c>
      <c r="C91" s="390" t="e">
        <f>IF('[1]Hypotheses expl (2)'!$P$144="0j",'[1]Hypotheses expl (2)'!D144,IF('[1]Hypotheses expl (2)'!$P$144="30j",'[1]Hypotheses expl (2)'!C144,'[1]Hypotheses expl (2)'!B144))</f>
        <v>#REF!</v>
      </c>
      <c r="D91" s="390" t="e">
        <f>IF('[1]Hypotheses expl (2)'!$P$144="0j",'[1]Hypotheses expl (2)'!E144,IF('[1]Hypotheses expl (2)'!$P$144="30j",'[1]Hypotheses expl (2)'!D144,'[1]Hypotheses expl (2)'!C144))</f>
        <v>#REF!</v>
      </c>
      <c r="E91" s="390" t="e">
        <f>IF('[1]Hypotheses expl (2)'!$P$144="0j",'[1]Hypotheses expl (2)'!F144,IF('[1]Hypotheses expl (2)'!$P$144="30j",'[1]Hypotheses expl (2)'!E144,'[1]Hypotheses expl (2)'!D144))</f>
        <v>#REF!</v>
      </c>
      <c r="F91" s="390" t="e">
        <f>IF('[1]Hypotheses expl (2)'!$P$144="0j",'[1]Hypotheses expl (2)'!G144,IF('[1]Hypotheses expl (2)'!$P$144="30j",'[1]Hypotheses expl (2)'!F144,'[1]Hypotheses expl (2)'!E144))</f>
        <v>#REF!</v>
      </c>
      <c r="G91" s="390" t="e">
        <f>IF('[1]Hypotheses expl (2)'!$P$144="0j",'[1]Hypotheses expl (2)'!H144,IF('[1]Hypotheses expl (2)'!$P$144="30j",'[1]Hypotheses expl (2)'!G144,'[1]Hypotheses expl (2)'!F144))</f>
        <v>#REF!</v>
      </c>
      <c r="H91" s="390" t="e">
        <f>IF('[1]Hypotheses expl (2)'!$P$144="0j",'[1]Hypotheses expl (2)'!I144,IF('[1]Hypotheses expl (2)'!$P$144="30j",'[1]Hypotheses expl (2)'!H144,'[1]Hypotheses expl (2)'!G144))</f>
        <v>#REF!</v>
      </c>
      <c r="I91" s="390" t="e">
        <f>IF('[1]Hypotheses expl (2)'!$P$144="0j",'[1]Hypotheses expl (2)'!J144,IF('[1]Hypotheses expl (2)'!$P$144="30j",'[1]Hypotheses expl (2)'!I144,'[1]Hypotheses expl (2)'!H144))</f>
        <v>#REF!</v>
      </c>
      <c r="J91" s="390" t="e">
        <f>IF('[1]Hypotheses expl (2)'!$P$144="0j",'[1]Hypotheses expl (2)'!K144,IF('[1]Hypotheses expl (2)'!$P$144="30j",'[1]Hypotheses expl (2)'!J144,'[1]Hypotheses expl (2)'!I144))</f>
        <v>#REF!</v>
      </c>
      <c r="K91" s="390" t="e">
        <f>IF('[1]Hypotheses expl (2)'!$P$144="0j",'[1]Hypotheses expl (2)'!L144,IF('[1]Hypotheses expl (2)'!$P$144="30j",'[1]Hypotheses expl (2)'!K144,'[1]Hypotheses expl (2)'!J144))</f>
        <v>#REF!</v>
      </c>
      <c r="L91" s="390" t="e">
        <f>IF('[1]Hypotheses expl (2)'!$P$144="0j",'[1]Hypotheses expl (2)'!M144,IF('[1]Hypotheses expl (2)'!$P$144="30j",'[1]Hypotheses expl (2)'!L144,'[1]Hypotheses expl (2)'!K144))</f>
        <v>#REF!</v>
      </c>
      <c r="M91" s="390" t="e">
        <f>IF('[1]Hypotheses expl (2)'!$P$144="0j",'[1]Hypotheses expl (2)'!N144,IF('[1]Hypotheses expl (2)'!$P$144="30j",'[1]Hypotheses expl (2)'!M144,'[1]Hypotheses expl (2)'!L144))</f>
        <v>#REF!</v>
      </c>
    </row>
    <row r="92" outlineLevel="1">
      <c r="A92" s="393" t="e">
        <f>'[1]Compte résultat prévi'!A93</f>
        <v>#REF!</v>
      </c>
      <c r="B92" s="390" t="e">
        <f>IF('[1]Hypotheses expl (2)'!$P$145="0j",'[1]Hypotheses expl (2)'!C145,IF('[1]Hypotheses expl (2)'!$P$145="30j",'[1]Hypotheses expl (2)'!B145,'[1]Hypotheses expl (2)'!A145))</f>
        <v>#REF!</v>
      </c>
      <c r="C92" s="390" t="e">
        <f>IF('[1]Hypotheses expl (2)'!$P$145="0j",'[1]Hypotheses expl (2)'!D145,IF('[1]Hypotheses expl (2)'!$P$145="30j",'[1]Hypotheses expl (2)'!C145,'[1]Hypotheses expl (2)'!B145))</f>
        <v>#REF!</v>
      </c>
      <c r="D92" s="390" t="e">
        <f>IF('[1]Hypotheses expl (2)'!$P$145="0j",'[1]Hypotheses expl (2)'!E145,IF('[1]Hypotheses expl (2)'!$P$145="30j",'[1]Hypotheses expl (2)'!D145,'[1]Hypotheses expl (2)'!C145))</f>
        <v>#REF!</v>
      </c>
      <c r="E92" s="390" t="e">
        <f>IF('[1]Hypotheses expl (2)'!$P$145="0j",'[1]Hypotheses expl (2)'!F145,IF('[1]Hypotheses expl (2)'!$P$145="30j",'[1]Hypotheses expl (2)'!E145,'[1]Hypotheses expl (2)'!D145))</f>
        <v>#REF!</v>
      </c>
      <c r="F92" s="390" t="e">
        <f>IF('[1]Hypotheses expl (2)'!$P$145="0j",'[1]Hypotheses expl (2)'!G145,IF('[1]Hypotheses expl (2)'!$P$145="30j",'[1]Hypotheses expl (2)'!F145,'[1]Hypotheses expl (2)'!E145))</f>
        <v>#REF!</v>
      </c>
      <c r="G92" s="390" t="e">
        <f>IF('[1]Hypotheses expl (2)'!$P$145="0j",'[1]Hypotheses expl (2)'!H145,IF('[1]Hypotheses expl (2)'!$P$145="30j",'[1]Hypotheses expl (2)'!G145,'[1]Hypotheses expl (2)'!F145))</f>
        <v>#REF!</v>
      </c>
      <c r="H92" s="390" t="e">
        <f>IF('[1]Hypotheses expl (2)'!$P$145="0j",'[1]Hypotheses expl (2)'!I145,IF('[1]Hypotheses expl (2)'!$P$145="30j",'[1]Hypotheses expl (2)'!H145,'[1]Hypotheses expl (2)'!G145))</f>
        <v>#REF!</v>
      </c>
      <c r="I92" s="390" t="e">
        <f>IF('[1]Hypotheses expl (2)'!$P$145="0j",'[1]Hypotheses expl (2)'!J145,IF('[1]Hypotheses expl (2)'!$P$145="30j",'[1]Hypotheses expl (2)'!I145,'[1]Hypotheses expl (2)'!H145))</f>
        <v>#REF!</v>
      </c>
      <c r="J92" s="390" t="e">
        <f>IF('[1]Hypotheses expl (2)'!$P$145="0j",'[1]Hypotheses expl (2)'!K145,IF('[1]Hypotheses expl (2)'!$P$145="30j",'[1]Hypotheses expl (2)'!J145,'[1]Hypotheses expl (2)'!I145))</f>
        <v>#REF!</v>
      </c>
      <c r="K92" s="390" t="e">
        <f>IF('[1]Hypotheses expl (2)'!$P$145="0j",'[1]Hypotheses expl (2)'!L145,IF('[1]Hypotheses expl (2)'!$P$145="30j",'[1]Hypotheses expl (2)'!K145,'[1]Hypotheses expl (2)'!J145))</f>
        <v>#REF!</v>
      </c>
      <c r="L92" s="390" t="e">
        <f>IF('[1]Hypotheses expl (2)'!$P$145="0j",'[1]Hypotheses expl (2)'!M145,IF('[1]Hypotheses expl (2)'!$P$145="30j",'[1]Hypotheses expl (2)'!L145,'[1]Hypotheses expl (2)'!K145))</f>
        <v>#REF!</v>
      </c>
      <c r="M92" s="390" t="e">
        <f>IF('[1]Hypotheses expl (2)'!$P$145="0j",'[1]Hypotheses expl (2)'!N145,IF('[1]Hypotheses expl (2)'!$P$145="30j",'[1]Hypotheses expl (2)'!M145,'[1]Hypotheses expl (2)'!L145))</f>
        <v>#REF!</v>
      </c>
    </row>
    <row r="93" outlineLevel="1">
      <c r="A93" s="393" t="e">
        <f>'[1]Compte résultat prévi'!A94</f>
        <v>#REF!</v>
      </c>
      <c r="B93" s="408"/>
      <c r="C93" s="390" t="e">
        <f>IF('[1]Hypotheses expl (2)'!$P$146="0j",'[1]Hypotheses expl (2)'!D146,IF('[1]Hypotheses expl (2)'!$P$146="30j",'[1]Hypotheses expl (2)'!C146,'[1]Hypotheses expl (2)'!B146))</f>
        <v>#REF!</v>
      </c>
      <c r="D93" s="390" t="e">
        <f>IF('[1]Hypotheses expl (2)'!$P$146="0j",'[1]Hypotheses expl (2)'!E146,IF('[1]Hypotheses expl (2)'!$P$146="30j",'[1]Hypotheses expl (2)'!D146,'[1]Hypotheses expl (2)'!C146))</f>
        <v>#REF!</v>
      </c>
      <c r="E93" s="390" t="e">
        <f>IF('[1]Hypotheses expl (2)'!$P$146="0j",'[1]Hypotheses expl (2)'!F146,IF('[1]Hypotheses expl (2)'!$P$146="30j",'[1]Hypotheses expl (2)'!E146,'[1]Hypotheses expl (2)'!D146))</f>
        <v>#REF!</v>
      </c>
      <c r="F93" s="390" t="e">
        <f>IF('[1]Hypotheses expl (2)'!$P$146="0j",'[1]Hypotheses expl (2)'!G146,IF('[1]Hypotheses expl (2)'!$P$146="30j",'[1]Hypotheses expl (2)'!F146,'[1]Hypotheses expl (2)'!E146))</f>
        <v>#REF!</v>
      </c>
      <c r="G93" s="390" t="e">
        <f>IF('[1]Hypotheses expl (2)'!$P$146="0j",'[1]Hypotheses expl (2)'!H146,IF('[1]Hypotheses expl (2)'!$P$146="30j",'[1]Hypotheses expl (2)'!G146,'[1]Hypotheses expl (2)'!F146))</f>
        <v>#REF!</v>
      </c>
      <c r="H93" s="390" t="e">
        <f>IF('[1]Hypotheses expl (2)'!$P$146="0j",'[1]Hypotheses expl (2)'!I146,IF('[1]Hypotheses expl (2)'!$P$146="30j",'[1]Hypotheses expl (2)'!H146,'[1]Hypotheses expl (2)'!G146))</f>
        <v>#REF!</v>
      </c>
      <c r="I93" s="390" t="e">
        <f>IF('[1]Hypotheses expl (2)'!$P$146="0j",'[1]Hypotheses expl (2)'!J146,IF('[1]Hypotheses expl (2)'!$P$146="30j",'[1]Hypotheses expl (2)'!I146,'[1]Hypotheses expl (2)'!H146))</f>
        <v>#REF!</v>
      </c>
      <c r="J93" s="390" t="e">
        <f>IF('[1]Hypotheses expl (2)'!$P$146="0j",'[1]Hypotheses expl (2)'!K146,IF('[1]Hypotheses expl (2)'!$P$146="30j",'[1]Hypotheses expl (2)'!J146,'[1]Hypotheses expl (2)'!I146))</f>
        <v>#REF!</v>
      </c>
      <c r="K93" s="390" t="e">
        <f>IF('[1]Hypotheses expl (2)'!$P$146="0j",'[1]Hypotheses expl (2)'!L146,IF('[1]Hypotheses expl (2)'!$P$146="30j",'[1]Hypotheses expl (2)'!K146,'[1]Hypotheses expl (2)'!J146))</f>
        <v>#REF!</v>
      </c>
      <c r="L93" s="390" t="e">
        <f>IF('[1]Hypotheses expl (2)'!$P$146="0j",'[1]Hypotheses expl (2)'!M146,IF('[1]Hypotheses expl (2)'!$P$146="30j",'[1]Hypotheses expl (2)'!L146,'[1]Hypotheses expl (2)'!K146))</f>
        <v>#REF!</v>
      </c>
      <c r="M93" s="390" t="e">
        <f>IF('[1]Hypotheses expl (2)'!$P$146="0j",'[1]Hypotheses expl (2)'!N146,IF('[1]Hypotheses expl (2)'!$P$146="30j",'[1]Hypotheses expl (2)'!M146,'[1]Hypotheses expl (2)'!L146))</f>
        <v>#REF!</v>
      </c>
    </row>
    <row r="94" outlineLevel="1">
      <c r="A94" s="393" t="e">
        <f>'[1]Compte résultat prévi'!A95</f>
        <v>#REF!</v>
      </c>
      <c r="B94" s="408"/>
      <c r="C94" s="390" t="e">
        <f>IF('[1]Hypotheses expl (2)'!$P$147="0j",'[1]Hypotheses expl (2)'!D147,IF('[1]Hypotheses expl (2)'!$P$147="30j",'[1]Hypotheses expl (2)'!C147,'[1]Hypotheses expl (2)'!B147))</f>
        <v>#REF!</v>
      </c>
      <c r="D94" s="390" t="e">
        <f>IF('[1]Hypotheses expl (2)'!$P$147="0j",'[1]Hypotheses expl (2)'!E147,IF('[1]Hypotheses expl (2)'!$P$147="30j",'[1]Hypotheses expl (2)'!D147,'[1]Hypotheses expl (2)'!C147))</f>
        <v>#REF!</v>
      </c>
      <c r="E94" s="390" t="e">
        <f>IF('[1]Hypotheses expl (2)'!$P$147="0j",'[1]Hypotheses expl (2)'!F147,IF('[1]Hypotheses expl (2)'!$P$147="30j",'[1]Hypotheses expl (2)'!E147,'[1]Hypotheses expl (2)'!D147))</f>
        <v>#REF!</v>
      </c>
      <c r="F94" s="390" t="e">
        <f>IF('[1]Hypotheses expl (2)'!$P$147="0j",'[1]Hypotheses expl (2)'!G147,IF('[1]Hypotheses expl (2)'!$P$147="30j",'[1]Hypotheses expl (2)'!F147,'[1]Hypotheses expl (2)'!E147))</f>
        <v>#REF!</v>
      </c>
      <c r="G94" s="390" t="e">
        <f>IF('[1]Hypotheses expl (2)'!$P$147="0j",'[1]Hypotheses expl (2)'!H147,IF('[1]Hypotheses expl (2)'!$P$147="30j",'[1]Hypotheses expl (2)'!G147,'[1]Hypotheses expl (2)'!F147))</f>
        <v>#REF!</v>
      </c>
      <c r="H94" s="390" t="e">
        <f>IF('[1]Hypotheses expl (2)'!$P$147="0j",'[1]Hypotheses expl (2)'!I147,IF('[1]Hypotheses expl (2)'!$P$147="30j",'[1]Hypotheses expl (2)'!H147,'[1]Hypotheses expl (2)'!G147))</f>
        <v>#REF!</v>
      </c>
      <c r="I94" s="390" t="e">
        <f>IF('[1]Hypotheses expl (2)'!$P$147="0j",'[1]Hypotheses expl (2)'!J147,IF('[1]Hypotheses expl (2)'!$P$147="30j",'[1]Hypotheses expl (2)'!I147,'[1]Hypotheses expl (2)'!H147))</f>
        <v>#REF!</v>
      </c>
      <c r="J94" s="390" t="e">
        <f>IF('[1]Hypotheses expl (2)'!$P$147="0j",'[1]Hypotheses expl (2)'!K147,IF('[1]Hypotheses expl (2)'!$P$147="30j",'[1]Hypotheses expl (2)'!J147,'[1]Hypotheses expl (2)'!I147))</f>
        <v>#REF!</v>
      </c>
      <c r="K94" s="390" t="e">
        <f>IF('[1]Hypotheses expl (2)'!$P$147="0j",'[1]Hypotheses expl (2)'!L147,IF('[1]Hypotheses expl (2)'!$P$147="30j",'[1]Hypotheses expl (2)'!K147,'[1]Hypotheses expl (2)'!J147))</f>
        <v>#REF!</v>
      </c>
      <c r="L94" s="390" t="e">
        <f>IF('[1]Hypotheses expl (2)'!$P$147="0j",'[1]Hypotheses expl (2)'!M147,IF('[1]Hypotheses expl (2)'!$P$147="30j",'[1]Hypotheses expl (2)'!L147,'[1]Hypotheses expl (2)'!K147))</f>
        <v>#REF!</v>
      </c>
      <c r="M94" s="390" t="e">
        <f>IF('[1]Hypotheses expl (2)'!$P$147="0j",'[1]Hypotheses expl (2)'!N147,IF('[1]Hypotheses expl (2)'!$P$147="30j",'[1]Hypotheses expl (2)'!M147,'[1]Hypotheses expl (2)'!L147))</f>
        <v>#REF!</v>
      </c>
    </row>
    <row r="95" outlineLevel="1">
      <c r="A95" s="393" t="e">
        <f>'[1]Compte résultat prévi'!A96</f>
        <v>#REF!</v>
      </c>
      <c r="B95" s="408"/>
      <c r="C95" s="390" t="e">
        <f>IF('[1]Hypotheses expl (2)'!$P$148="0j",'[1]Hypotheses expl (2)'!D148,IF('[1]Hypotheses expl (2)'!$P$148="30j",'[1]Hypotheses expl (2)'!C148,'[1]Hypotheses expl (2)'!B148))</f>
        <v>#REF!</v>
      </c>
      <c r="D95" s="390" t="e">
        <f>IF('[1]Hypotheses expl (2)'!$P$148="0j",'[1]Hypotheses expl (2)'!E148,IF('[1]Hypotheses expl (2)'!$P$148="30j",'[1]Hypotheses expl (2)'!D148,'[1]Hypotheses expl (2)'!C148))</f>
        <v>#REF!</v>
      </c>
      <c r="E95" s="390" t="e">
        <f>IF('[1]Hypotheses expl (2)'!$P$148="0j",'[1]Hypotheses expl (2)'!F148,IF('[1]Hypotheses expl (2)'!$P$148="30j",'[1]Hypotheses expl (2)'!E148,'[1]Hypotheses expl (2)'!D148))</f>
        <v>#REF!</v>
      </c>
      <c r="F95" s="390" t="e">
        <f>IF('[1]Hypotheses expl (2)'!$P$148="0j",'[1]Hypotheses expl (2)'!G148,IF('[1]Hypotheses expl (2)'!$P$148="30j",'[1]Hypotheses expl (2)'!F148,'[1]Hypotheses expl (2)'!E148))</f>
        <v>#REF!</v>
      </c>
      <c r="G95" s="390" t="e">
        <f>IF('[1]Hypotheses expl (2)'!$P$148="0j",'[1]Hypotheses expl (2)'!H148,IF('[1]Hypotheses expl (2)'!$P$148="30j",'[1]Hypotheses expl (2)'!G148,'[1]Hypotheses expl (2)'!F148))</f>
        <v>#REF!</v>
      </c>
      <c r="H95" s="390" t="e">
        <f>IF('[1]Hypotheses expl (2)'!$P$148="0j",'[1]Hypotheses expl (2)'!I148,IF('[1]Hypotheses expl (2)'!$P$148="30j",'[1]Hypotheses expl (2)'!H148,'[1]Hypotheses expl (2)'!G148))</f>
        <v>#REF!</v>
      </c>
      <c r="I95" s="390" t="e">
        <f>IF('[1]Hypotheses expl (2)'!$P$148="0j",'[1]Hypotheses expl (2)'!J148,IF('[1]Hypotheses expl (2)'!$P$148="30j",'[1]Hypotheses expl (2)'!I148,'[1]Hypotheses expl (2)'!H148))</f>
        <v>#REF!</v>
      </c>
      <c r="J95" s="390" t="e">
        <f>IF('[1]Hypotheses expl (2)'!$P$148="0j",'[1]Hypotheses expl (2)'!K148,IF('[1]Hypotheses expl (2)'!$P$148="30j",'[1]Hypotheses expl (2)'!J148,'[1]Hypotheses expl (2)'!I148))</f>
        <v>#REF!</v>
      </c>
      <c r="K95" s="390" t="e">
        <f>IF('[1]Hypotheses expl (2)'!$P$148="0j",'[1]Hypotheses expl (2)'!L148,IF('[1]Hypotheses expl (2)'!$P$148="30j",'[1]Hypotheses expl (2)'!K148,'[1]Hypotheses expl (2)'!J148))</f>
        <v>#REF!</v>
      </c>
      <c r="L95" s="390" t="e">
        <f>IF('[1]Hypotheses expl (2)'!$P$148="0j",'[1]Hypotheses expl (2)'!M148,IF('[1]Hypotheses expl (2)'!$P$148="30j",'[1]Hypotheses expl (2)'!L148,'[1]Hypotheses expl (2)'!K148))</f>
        <v>#REF!</v>
      </c>
      <c r="M95" s="390" t="e">
        <f>IF('[1]Hypotheses expl (2)'!$P$148="0j",'[1]Hypotheses expl (2)'!N148,IF('[1]Hypotheses expl (2)'!$P$148="30j",'[1]Hypotheses expl (2)'!M148,'[1]Hypotheses expl (2)'!L148))</f>
        <v>#REF!</v>
      </c>
    </row>
    <row r="96" outlineLevel="1">
      <c r="A96" s="393" t="e">
        <f>'[1]Compte résultat prévi'!A97</f>
        <v>#REF!</v>
      </c>
      <c r="B96" s="390"/>
      <c r="C96" s="390" t="e">
        <f>IF('[1]Hypotheses expl (2)'!$P$149="0j",'[1]Hypotheses expl (2)'!D149,IF('[1]Hypotheses expl (2)'!$P$149="30j",'[1]Hypotheses expl (2)'!C149,'[1]Hypotheses expl (2)'!B149))</f>
        <v>#REF!</v>
      </c>
      <c r="D96" s="390" t="e">
        <f>IF('[1]Hypotheses expl (2)'!$P$149="0j",'[1]Hypotheses expl (2)'!E149,IF('[1]Hypotheses expl (2)'!$P$149="30j",'[1]Hypotheses expl (2)'!D149,'[1]Hypotheses expl (2)'!C149))</f>
        <v>#REF!</v>
      </c>
      <c r="E96" s="390" t="e">
        <f>IF('[1]Hypotheses expl (2)'!$P$149="0j",'[1]Hypotheses expl (2)'!F149,IF('[1]Hypotheses expl (2)'!$P$149="30j",'[1]Hypotheses expl (2)'!E149,'[1]Hypotheses expl (2)'!D149))</f>
        <v>#REF!</v>
      </c>
      <c r="F96" s="390" t="e">
        <f>IF('[1]Hypotheses expl (2)'!$P$149="0j",'[1]Hypotheses expl (2)'!G149,IF('[1]Hypotheses expl (2)'!$P$149="30j",'[1]Hypotheses expl (2)'!F149,'[1]Hypotheses expl (2)'!E149))</f>
        <v>#REF!</v>
      </c>
      <c r="G96" s="390" t="e">
        <f>IF('[1]Hypotheses expl (2)'!$P$149="0j",'[1]Hypotheses expl (2)'!H149,IF('[1]Hypotheses expl (2)'!$P$149="30j",'[1]Hypotheses expl (2)'!G149,'[1]Hypotheses expl (2)'!F149))</f>
        <v>#REF!</v>
      </c>
      <c r="H96" s="390" t="e">
        <f>IF('[1]Hypotheses expl (2)'!$P$149="0j",'[1]Hypotheses expl (2)'!I149,IF('[1]Hypotheses expl (2)'!$P$149="30j",'[1]Hypotheses expl (2)'!H149,'[1]Hypotheses expl (2)'!G149))</f>
        <v>#REF!</v>
      </c>
      <c r="I96" s="390" t="e">
        <f>IF('[1]Hypotheses expl (2)'!$P$149="0j",'[1]Hypotheses expl (2)'!J149,IF('[1]Hypotheses expl (2)'!$P$149="30j",'[1]Hypotheses expl (2)'!I149,'[1]Hypotheses expl (2)'!H149))</f>
        <v>#REF!</v>
      </c>
      <c r="J96" s="390" t="e">
        <f>IF('[1]Hypotheses expl (2)'!$P$149="0j",'[1]Hypotheses expl (2)'!K149,IF('[1]Hypotheses expl (2)'!$P$149="30j",'[1]Hypotheses expl (2)'!J149,'[1]Hypotheses expl (2)'!I149))</f>
        <v>#REF!</v>
      </c>
      <c r="K96" s="390" t="e">
        <f>IF('[1]Hypotheses expl (2)'!$P$149="0j",'[1]Hypotheses expl (2)'!L149,IF('[1]Hypotheses expl (2)'!$P$149="30j",'[1]Hypotheses expl (2)'!K149,'[1]Hypotheses expl (2)'!J149))</f>
        <v>#REF!</v>
      </c>
      <c r="L96" s="390" t="e">
        <f>IF('[1]Hypotheses expl (2)'!$P$149="0j",'[1]Hypotheses expl (2)'!M149,IF('[1]Hypotheses expl (2)'!$P$149="30j",'[1]Hypotheses expl (2)'!L149,'[1]Hypotheses expl (2)'!K149))</f>
        <v>#REF!</v>
      </c>
      <c r="M96" s="390" t="e">
        <f>IF('[1]Hypotheses expl (2)'!$P$149="0j",'[1]Hypotheses expl (2)'!N149,IF('[1]Hypotheses expl (2)'!$P$149="30j",'[1]Hypotheses expl (2)'!M149,'[1]Hypotheses expl (2)'!L149))</f>
        <v>#REF!</v>
      </c>
    </row>
    <row r="97" outlineLevel="1">
      <c r="A97" s="393" t="e">
        <f>'[1]Compte résultat prévi'!A98</f>
        <v>#REF!</v>
      </c>
      <c r="B97" s="390" t="e">
        <f>IF('[1]Hypotheses expl (2)'!$P$150="0j",'[1]Hypotheses expl (2)'!C150,IF('[1]Hypotheses expl (2)'!$P$150="30j",'[1]Hypotheses expl (2)'!B150,'[1]Hypotheses expl (2)'!A150))</f>
        <v>#REF!</v>
      </c>
      <c r="C97" s="390" t="e">
        <f>IF('[1]Hypotheses expl (2)'!$P$150="0j",'[1]Hypotheses expl (2)'!D150,IF('[1]Hypotheses expl (2)'!$P$150="30j",'[1]Hypotheses expl (2)'!C150,'[1]Hypotheses expl (2)'!B150))</f>
        <v>#REF!</v>
      </c>
      <c r="D97" s="390" t="e">
        <f>IF('[1]Hypotheses expl (2)'!$P$150="0j",'[1]Hypotheses expl (2)'!E150,IF('[1]Hypotheses expl (2)'!$P$150="30j",'[1]Hypotheses expl (2)'!D150,'[1]Hypotheses expl (2)'!C150))</f>
        <v>#REF!</v>
      </c>
      <c r="E97" s="390" t="e">
        <f>IF('[1]Hypotheses expl (2)'!$P$150="0j",'[1]Hypotheses expl (2)'!F150,IF('[1]Hypotheses expl (2)'!$P$150="30j",'[1]Hypotheses expl (2)'!E150,'[1]Hypotheses expl (2)'!D150))</f>
        <v>#REF!</v>
      </c>
      <c r="F97" s="390" t="e">
        <f>IF('[1]Hypotheses expl (2)'!$P$150="0j",'[1]Hypotheses expl (2)'!G150,IF('[1]Hypotheses expl (2)'!$P$150="30j",'[1]Hypotheses expl (2)'!F150,'[1]Hypotheses expl (2)'!E150))</f>
        <v>#REF!</v>
      </c>
      <c r="G97" s="390" t="e">
        <f>IF('[1]Hypotheses expl (2)'!$P$150="0j",'[1]Hypotheses expl (2)'!H150,IF('[1]Hypotheses expl (2)'!$P$150="30j",'[1]Hypotheses expl (2)'!G150,'[1]Hypotheses expl (2)'!F150))</f>
        <v>#REF!</v>
      </c>
      <c r="H97" s="390" t="e">
        <f>IF('[1]Hypotheses expl (2)'!$P$150="0j",'[1]Hypotheses expl (2)'!I150,IF('[1]Hypotheses expl (2)'!$P$150="30j",'[1]Hypotheses expl (2)'!H150,'[1]Hypotheses expl (2)'!G150))</f>
        <v>#REF!</v>
      </c>
      <c r="I97" s="390" t="e">
        <f>IF('[1]Hypotheses expl (2)'!$P$150="0j",'[1]Hypotheses expl (2)'!J150,IF('[1]Hypotheses expl (2)'!$P$150="30j",'[1]Hypotheses expl (2)'!I150,'[1]Hypotheses expl (2)'!H150))</f>
        <v>#REF!</v>
      </c>
      <c r="J97" s="390" t="e">
        <f>IF('[1]Hypotheses expl (2)'!$P$150="0j",'[1]Hypotheses expl (2)'!K150,IF('[1]Hypotheses expl (2)'!$P$150="30j",'[1]Hypotheses expl (2)'!J150,'[1]Hypotheses expl (2)'!I150))</f>
        <v>#REF!</v>
      </c>
      <c r="K97" s="390" t="e">
        <f>IF('[1]Hypotheses expl (2)'!$P$150="0j",'[1]Hypotheses expl (2)'!L150,IF('[1]Hypotheses expl (2)'!$P$150="30j",'[1]Hypotheses expl (2)'!K150,'[1]Hypotheses expl (2)'!J150))</f>
        <v>#REF!</v>
      </c>
      <c r="L97" s="390" t="e">
        <f>IF('[1]Hypotheses expl (2)'!$P$150="0j",'[1]Hypotheses expl (2)'!M150,IF('[1]Hypotheses expl (2)'!$P$150="30j",'[1]Hypotheses expl (2)'!L150,'[1]Hypotheses expl (2)'!K150))</f>
        <v>#REF!</v>
      </c>
      <c r="M97" s="390" t="e">
        <f>IF('[1]Hypotheses expl (2)'!$P$150="0j",'[1]Hypotheses expl (2)'!N150,IF('[1]Hypotheses expl (2)'!$P$150="30j",'[1]Hypotheses expl (2)'!M150,'[1]Hypotheses expl (2)'!L150))</f>
        <v>#REF!</v>
      </c>
    </row>
    <row r="98" outlineLevel="1">
      <c r="A98" s="393" t="e">
        <f>'[1]Compte résultat prévi'!A99</f>
        <v>#REF!</v>
      </c>
      <c r="B98" s="390"/>
      <c r="C98" s="390" t="e">
        <f>IF('[1]Hypotheses expl (2)'!$P$151="0j",'[1]Hypotheses expl (2)'!D151,IF('[1]Hypotheses expl (2)'!$P$151="30j",'[1]Hypotheses expl (2)'!C151,'[1]Hypotheses expl (2)'!B151))</f>
        <v>#REF!</v>
      </c>
      <c r="D98" s="390" t="e">
        <f>IF('[1]Hypotheses expl (2)'!$P$151="0j",'[1]Hypotheses expl (2)'!E151,IF('[1]Hypotheses expl (2)'!$P$151="30j",'[1]Hypotheses expl (2)'!D151,'[1]Hypotheses expl (2)'!C151))</f>
        <v>#REF!</v>
      </c>
      <c r="E98" s="390" t="e">
        <f>IF('[1]Hypotheses expl (2)'!$P$151="0j",'[1]Hypotheses expl (2)'!F151,IF('[1]Hypotheses expl (2)'!$P$151="30j",'[1]Hypotheses expl (2)'!E151,'[1]Hypotheses expl (2)'!D151))</f>
        <v>#REF!</v>
      </c>
      <c r="F98" s="390" t="e">
        <f>IF('[1]Hypotheses expl (2)'!$P$151="0j",'[1]Hypotheses expl (2)'!G151,IF('[1]Hypotheses expl (2)'!$P$151="30j",'[1]Hypotheses expl (2)'!F151,'[1]Hypotheses expl (2)'!E151))</f>
        <v>#REF!</v>
      </c>
      <c r="G98" s="390" t="e">
        <f>IF('[1]Hypotheses expl (2)'!$P$151="0j",'[1]Hypotheses expl (2)'!H151,IF('[1]Hypotheses expl (2)'!$P$151="30j",'[1]Hypotheses expl (2)'!G151,'[1]Hypotheses expl (2)'!F151))</f>
        <v>#REF!</v>
      </c>
      <c r="H98" s="390" t="e">
        <f>IF('[1]Hypotheses expl (2)'!$P$151="0j",'[1]Hypotheses expl (2)'!I151,IF('[1]Hypotheses expl (2)'!$P$151="30j",'[1]Hypotheses expl (2)'!H151,'[1]Hypotheses expl (2)'!G151))</f>
        <v>#REF!</v>
      </c>
      <c r="I98" s="390" t="e">
        <f>IF('[1]Hypotheses expl (2)'!$P$151="0j",'[1]Hypotheses expl (2)'!J151,IF('[1]Hypotheses expl (2)'!$P$151="30j",'[1]Hypotheses expl (2)'!I151,'[1]Hypotheses expl (2)'!H151))</f>
        <v>#REF!</v>
      </c>
      <c r="J98" s="390" t="e">
        <f>IF('[1]Hypotheses expl (2)'!$P$151="0j",'[1]Hypotheses expl (2)'!K151,IF('[1]Hypotheses expl (2)'!$P$151="30j",'[1]Hypotheses expl (2)'!J151,'[1]Hypotheses expl (2)'!I151))</f>
        <v>#REF!</v>
      </c>
      <c r="K98" s="390" t="e">
        <f>IF('[1]Hypotheses expl (2)'!$P$151="0j",'[1]Hypotheses expl (2)'!L151,IF('[1]Hypotheses expl (2)'!$P$151="30j",'[1]Hypotheses expl (2)'!K151,'[1]Hypotheses expl (2)'!J151))</f>
        <v>#REF!</v>
      </c>
      <c r="L98" s="390" t="e">
        <f>IF('[1]Hypotheses expl (2)'!$P$151="0j",'[1]Hypotheses expl (2)'!M151,IF('[1]Hypotheses expl (2)'!$P$151="30j",'[1]Hypotheses expl (2)'!L151,'[1]Hypotheses expl (2)'!K151))</f>
        <v>#REF!</v>
      </c>
      <c r="M98" s="390" t="e">
        <f>IF('[1]Hypotheses expl (2)'!$P$151="0j",'[1]Hypotheses expl (2)'!N151,IF('[1]Hypotheses expl (2)'!$P$151="30j",'[1]Hypotheses expl (2)'!M151,'[1]Hypotheses expl (2)'!L151))</f>
        <v>#REF!</v>
      </c>
    </row>
    <row r="99" outlineLevel="1">
      <c r="A99" s="393" t="e">
        <f>'[1]Compte résultat prévi'!A100</f>
        <v>#REF!</v>
      </c>
      <c r="B99" s="390" t="e">
        <f>IF('[1]Hypotheses expl (2)'!$P$152="0j",'[1]Hypotheses expl (2)'!C152,IF('[1]Hypotheses expl (2)'!$P$152="30j",'[1]Hypotheses expl (2)'!B152,'[1]Hypotheses expl (2)'!A152))</f>
        <v>#REF!</v>
      </c>
      <c r="C99" s="390" t="e">
        <f>IF('[1]Hypotheses expl (2)'!$P$152="0j",'[1]Hypotheses expl (2)'!D152,IF('[1]Hypotheses expl (2)'!$P$152="30j",'[1]Hypotheses expl (2)'!C152,'[1]Hypotheses expl (2)'!B152))</f>
        <v>#REF!</v>
      </c>
      <c r="D99" s="390" t="e">
        <f>IF('[1]Hypotheses expl (2)'!$P$152="0j",'[1]Hypotheses expl (2)'!E152,IF('[1]Hypotheses expl (2)'!$P$152="30j",'[1]Hypotheses expl (2)'!D152,'[1]Hypotheses expl (2)'!C152))</f>
        <v>#REF!</v>
      </c>
      <c r="E99" s="390" t="e">
        <f>IF('[1]Hypotheses expl (2)'!$P$152="0j",'[1]Hypotheses expl (2)'!F152,IF('[1]Hypotheses expl (2)'!$P$152="30j",'[1]Hypotheses expl (2)'!E152,'[1]Hypotheses expl (2)'!D152))</f>
        <v>#REF!</v>
      </c>
      <c r="F99" s="390" t="e">
        <f>IF('[1]Hypotheses expl (2)'!$P$152="0j",'[1]Hypotheses expl (2)'!G152,IF('[1]Hypotheses expl (2)'!$P$152="30j",'[1]Hypotheses expl (2)'!F152,'[1]Hypotheses expl (2)'!E152))</f>
        <v>#REF!</v>
      </c>
      <c r="G99" s="390" t="e">
        <f>IF('[1]Hypotheses expl (2)'!$P$152="0j",'[1]Hypotheses expl (2)'!H152,IF('[1]Hypotheses expl (2)'!$P$152="30j",'[1]Hypotheses expl (2)'!G152,'[1]Hypotheses expl (2)'!F152))</f>
        <v>#REF!</v>
      </c>
      <c r="H99" s="390" t="e">
        <f>IF('[1]Hypotheses expl (2)'!$P$152="0j",'[1]Hypotheses expl (2)'!I152,IF('[1]Hypotheses expl (2)'!$P$152="30j",'[1]Hypotheses expl (2)'!H152,'[1]Hypotheses expl (2)'!G152))</f>
        <v>#REF!</v>
      </c>
      <c r="I99" s="390" t="e">
        <f>IF('[1]Hypotheses expl (2)'!$P$152="0j",'[1]Hypotheses expl (2)'!J152,IF('[1]Hypotheses expl (2)'!$P$152="30j",'[1]Hypotheses expl (2)'!I152,'[1]Hypotheses expl (2)'!H152))</f>
        <v>#REF!</v>
      </c>
      <c r="J99" s="390" t="e">
        <f>IF('[1]Hypotheses expl (2)'!$P$152="0j",'[1]Hypotheses expl (2)'!K152,IF('[1]Hypotheses expl (2)'!$P$152="30j",'[1]Hypotheses expl (2)'!J152,'[1]Hypotheses expl (2)'!I152))</f>
        <v>#REF!</v>
      </c>
      <c r="K99" s="390" t="e">
        <f>IF('[1]Hypotheses expl (2)'!$P$152="0j",'[1]Hypotheses expl (2)'!L152,IF('[1]Hypotheses expl (2)'!$P$152="30j",'[1]Hypotheses expl (2)'!K152,'[1]Hypotheses expl (2)'!J152))</f>
        <v>#REF!</v>
      </c>
      <c r="L99" s="390" t="e">
        <f>IF('[1]Hypotheses expl (2)'!$P$152="0j",'[1]Hypotheses expl (2)'!M152,IF('[1]Hypotheses expl (2)'!$P$152="30j",'[1]Hypotheses expl (2)'!L152,'[1]Hypotheses expl (2)'!K152))</f>
        <v>#REF!</v>
      </c>
      <c r="M99" s="390" t="e">
        <f>IF('[1]Hypotheses expl (2)'!$P$152="0j",'[1]Hypotheses expl (2)'!N152,IF('[1]Hypotheses expl (2)'!$P$152="30j",'[1]Hypotheses expl (2)'!M152,'[1]Hypotheses expl (2)'!L152))</f>
        <v>#REF!</v>
      </c>
    </row>
    <row r="100" outlineLevel="1">
      <c r="A100" s="393" t="e">
        <f>'[1]Compte résultat prévi'!A101</f>
        <v>#REF!</v>
      </c>
      <c r="B100" s="390" t="e">
        <f>IF('[1]Hypotheses expl (2)'!$P$153="0j",'[1]Hypotheses expl (2)'!C153,IF('[1]Hypotheses expl (2)'!$P$153="30j",'[1]Hypotheses expl (2)'!B153,'[1]Hypotheses expl (2)'!A153))</f>
        <v>#REF!</v>
      </c>
      <c r="C100" s="390" t="e">
        <f>IF('[1]Hypotheses expl (2)'!$P$153="0j",'[1]Hypotheses expl (2)'!D153,IF('[1]Hypotheses expl (2)'!$P$153="30j",'[1]Hypotheses expl (2)'!C153,'[1]Hypotheses expl (2)'!B153))</f>
        <v>#REF!</v>
      </c>
      <c r="D100" s="390" t="e">
        <f>IF('[1]Hypotheses expl (2)'!$P$153="0j",'[1]Hypotheses expl (2)'!E153,IF('[1]Hypotheses expl (2)'!$P$153="30j",'[1]Hypotheses expl (2)'!D153,'[1]Hypotheses expl (2)'!C153))</f>
        <v>#REF!</v>
      </c>
      <c r="E100" s="390" t="e">
        <f>IF('[1]Hypotheses expl (2)'!$P$153="0j",'[1]Hypotheses expl (2)'!F153,IF('[1]Hypotheses expl (2)'!$P$153="30j",'[1]Hypotheses expl (2)'!E153,'[1]Hypotheses expl (2)'!D153))</f>
        <v>#REF!</v>
      </c>
      <c r="F100" s="390" t="e">
        <f>IF('[1]Hypotheses expl (2)'!$P$153="0j",'[1]Hypotheses expl (2)'!G153,IF('[1]Hypotheses expl (2)'!$P$153="30j",'[1]Hypotheses expl (2)'!F153,'[1]Hypotheses expl (2)'!E153))</f>
        <v>#REF!</v>
      </c>
      <c r="G100" s="390" t="e">
        <f>IF('[1]Hypotheses expl (2)'!$P$153="0j",'[1]Hypotheses expl (2)'!H153,IF('[1]Hypotheses expl (2)'!$P$153="30j",'[1]Hypotheses expl (2)'!G153,'[1]Hypotheses expl (2)'!F153))</f>
        <v>#REF!</v>
      </c>
      <c r="H100" s="390" t="e">
        <f>IF('[1]Hypotheses expl (2)'!$P$153="0j",'[1]Hypotheses expl (2)'!I153,IF('[1]Hypotheses expl (2)'!$P$153="30j",'[1]Hypotheses expl (2)'!H153,'[1]Hypotheses expl (2)'!G153))</f>
        <v>#REF!</v>
      </c>
      <c r="I100" s="390" t="e">
        <f>IF('[1]Hypotheses expl (2)'!$P$153="0j",'[1]Hypotheses expl (2)'!J153,IF('[1]Hypotheses expl (2)'!$P$153="30j",'[1]Hypotheses expl (2)'!I153,'[1]Hypotheses expl (2)'!H153))</f>
        <v>#REF!</v>
      </c>
      <c r="J100" s="390" t="e">
        <f>IF('[1]Hypotheses expl (2)'!$P$153="0j",'[1]Hypotheses expl (2)'!K153,IF('[1]Hypotheses expl (2)'!$P$153="30j",'[1]Hypotheses expl (2)'!J153,'[1]Hypotheses expl (2)'!I153))</f>
        <v>#REF!</v>
      </c>
      <c r="K100" s="390" t="e">
        <f>IF('[1]Hypotheses expl (2)'!$P$153="0j",'[1]Hypotheses expl (2)'!L153,IF('[1]Hypotheses expl (2)'!$P$153="30j",'[1]Hypotheses expl (2)'!K153,'[1]Hypotheses expl (2)'!J153))</f>
        <v>#REF!</v>
      </c>
      <c r="L100" s="390" t="e">
        <f>IF('[1]Hypotheses expl (2)'!$P$153="0j",'[1]Hypotheses expl (2)'!M153,IF('[1]Hypotheses expl (2)'!$P$153="30j",'[1]Hypotheses expl (2)'!L153,'[1]Hypotheses expl (2)'!K153))</f>
        <v>#REF!</v>
      </c>
      <c r="M100" s="390" t="e">
        <f>IF('[1]Hypotheses expl (2)'!$P$153="0j",'[1]Hypotheses expl (2)'!N153,IF('[1]Hypotheses expl (2)'!$P$153="30j",'[1]Hypotheses expl (2)'!M153,'[1]Hypotheses expl (2)'!L153))</f>
        <v>#REF!</v>
      </c>
    </row>
    <row r="101" outlineLevel="1">
      <c r="A101" s="393" t="s">
        <v>390</v>
      </c>
      <c r="B101" s="390"/>
      <c r="C101" s="390"/>
      <c r="D101" s="390"/>
      <c r="E101" s="390"/>
      <c r="F101" s="390"/>
      <c r="G101" s="390"/>
      <c r="H101" s="390"/>
      <c r="I101" s="390"/>
      <c r="J101" s="390">
        <v>27155</v>
      </c>
      <c r="K101" s="390">
        <v>5215</v>
      </c>
      <c r="L101" s="390">
        <v>5215</v>
      </c>
      <c r="M101" s="390">
        <v>27155</v>
      </c>
    </row>
    <row r="102">
      <c r="A102" s="391" t="e">
        <f>'[1]Compte résultat prévi'!A102</f>
        <v>#REF!</v>
      </c>
      <c r="B102" s="388" t="e">
        <f>SUM(B103:B105)</f>
        <v>#REF!</v>
      </c>
      <c r="C102" s="388" t="e">
        <f t="shared" ref="C102:M102" si="329">SUM(C103:C105)</f>
        <v>#REF!</v>
      </c>
      <c r="D102" s="388" t="e">
        <f t="shared" si="329"/>
        <v>#REF!</v>
      </c>
      <c r="E102" s="388" t="e">
        <f t="shared" si="329"/>
        <v>#REF!</v>
      </c>
      <c r="F102" s="388" t="e">
        <f t="shared" si="329"/>
        <v>#REF!</v>
      </c>
      <c r="G102" s="388" t="e">
        <f t="shared" si="329"/>
        <v>#REF!</v>
      </c>
      <c r="H102" s="388" t="e">
        <f t="shared" si="329"/>
        <v>#REF!</v>
      </c>
      <c r="I102" s="388" t="e">
        <f t="shared" si="329"/>
        <v>#REF!</v>
      </c>
      <c r="J102" s="388" t="e">
        <f t="shared" si="329"/>
        <v>#REF!</v>
      </c>
      <c r="K102" s="388" t="e">
        <f t="shared" si="329"/>
        <v>#REF!</v>
      </c>
      <c r="L102" s="388" t="e">
        <f t="shared" si="329"/>
        <v>#REF!</v>
      </c>
      <c r="M102" s="388" t="e">
        <f t="shared" si="329"/>
        <v>#REF!</v>
      </c>
    </row>
    <row r="103" outlineLevel="1">
      <c r="A103" s="393" t="e">
        <f>'[1]Compte résultat prévi'!A103</f>
        <v>#REF!</v>
      </c>
      <c r="B103" s="390" t="e">
        <f>IF('[1]Hypotheses expl (2)'!$P$154="0j",'[1]Hypotheses expl (2)'!C154,IF('[1]Hypotheses expl (2)'!$P$154="30j",'[1]Hypotheses expl (2)'!B154,'[1]Hypotheses expl (2)'!A154))</f>
        <v>#REF!</v>
      </c>
      <c r="C103" s="390" t="e">
        <f>IF('[1]Hypotheses expl (2)'!$P$154="0j",'[1]Hypotheses expl (2)'!D154,IF('[1]Hypotheses expl (2)'!$P$154="30j",'[1]Hypotheses expl (2)'!C154,'[1]Hypotheses expl (2)'!B154))</f>
        <v>#REF!</v>
      </c>
      <c r="D103" s="390" t="e">
        <f>IF('[1]Hypotheses expl (2)'!$P$154="0j",'[1]Hypotheses expl (2)'!E154,IF('[1]Hypotheses expl (2)'!$P$154="30j",'[1]Hypotheses expl (2)'!D154,'[1]Hypotheses expl (2)'!C154))</f>
        <v>#REF!</v>
      </c>
      <c r="E103" s="390" t="e">
        <f>IF('[1]Hypotheses expl (2)'!$P$154="0j",'[1]Hypotheses expl (2)'!F154,IF('[1]Hypotheses expl (2)'!$P$154="30j",'[1]Hypotheses expl (2)'!E154,'[1]Hypotheses expl (2)'!D154))</f>
        <v>#REF!</v>
      </c>
      <c r="F103" s="390" t="e">
        <f>IF('[1]Hypotheses expl (2)'!$P$154="0j",'[1]Hypotheses expl (2)'!G154,IF('[1]Hypotheses expl (2)'!$P$154="30j",'[1]Hypotheses expl (2)'!F154,'[1]Hypotheses expl (2)'!E154))</f>
        <v>#REF!</v>
      </c>
      <c r="G103" s="390" t="e">
        <f>IF('[1]Hypotheses expl (2)'!$P$154="0j",'[1]Hypotheses expl (2)'!H154,IF('[1]Hypotheses expl (2)'!$P$154="30j",'[1]Hypotheses expl (2)'!G154,'[1]Hypotheses expl (2)'!F154))</f>
        <v>#REF!</v>
      </c>
      <c r="H103" s="390" t="e">
        <f>IF('[1]Hypotheses expl (2)'!$P$154="0j",'[1]Hypotheses expl (2)'!I154,IF('[1]Hypotheses expl (2)'!$P$154="30j",'[1]Hypotheses expl (2)'!H154,'[1]Hypotheses expl (2)'!G154))</f>
        <v>#REF!</v>
      </c>
      <c r="I103" s="390" t="e">
        <f>IF('[1]Hypotheses expl (2)'!$P$154="0j",'[1]Hypotheses expl (2)'!J154,IF('[1]Hypotheses expl (2)'!$P$154="30j",'[1]Hypotheses expl (2)'!I154,'[1]Hypotheses expl (2)'!H154))</f>
        <v>#REF!</v>
      </c>
      <c r="J103" s="390" t="e">
        <f>IF('[1]Hypotheses expl (2)'!$P$154="0j",'[1]Hypotheses expl (2)'!K154,IF('[1]Hypotheses expl (2)'!$P$154="30j",'[1]Hypotheses expl (2)'!J154,'[1]Hypotheses expl (2)'!I154))</f>
        <v>#REF!</v>
      </c>
      <c r="K103" s="390" t="e">
        <f>IF('[1]Hypotheses expl (2)'!$P$154="0j",'[1]Hypotheses expl (2)'!L154,IF('[1]Hypotheses expl (2)'!$P$154="30j",'[1]Hypotheses expl (2)'!K154,'[1]Hypotheses expl (2)'!J154))</f>
        <v>#REF!</v>
      </c>
      <c r="L103" s="390" t="e">
        <f>IF('[1]Hypotheses expl (2)'!$P$154="0j",'[1]Hypotheses expl (2)'!M154,IF('[1]Hypotheses expl (2)'!$P$154="30j",'[1]Hypotheses expl (2)'!L154,'[1]Hypotheses expl (2)'!K154))</f>
        <v>#REF!</v>
      </c>
      <c r="M103" s="390" t="e">
        <f>IF('[1]Hypotheses expl (2)'!$P$154="0j",'[1]Hypotheses expl (2)'!N154,IF('[1]Hypotheses expl (2)'!$P$154="30j",'[1]Hypotheses expl (2)'!M154,'[1]Hypotheses expl (2)'!L154))</f>
        <v>#REF!</v>
      </c>
    </row>
    <row r="104" outlineLevel="1">
      <c r="A104" s="393" t="e">
        <f>'[1]Compte résultat prévi'!A104</f>
        <v>#REF!</v>
      </c>
      <c r="B104" s="390" t="e">
        <f>IF('[1]Hypotheses expl (2)'!$P$155="0j",'[1]Hypotheses expl (2)'!C155,IF('[1]Hypotheses expl (2)'!$P$155="30j",'[1]Hypotheses expl (2)'!B155,'[1]Hypotheses expl (2)'!A155))</f>
        <v>#REF!</v>
      </c>
      <c r="C104" s="390" t="e">
        <f>IF('[1]Hypotheses expl (2)'!$P$155="0j",'[1]Hypotheses expl (2)'!D155,IF('[1]Hypotheses expl (2)'!$P$155="30j",'[1]Hypotheses expl (2)'!C155,'[1]Hypotheses expl (2)'!B155))</f>
        <v>#REF!</v>
      </c>
      <c r="D104" s="390" t="e">
        <f>IF('[1]Hypotheses expl (2)'!$P$155="0j",'[1]Hypotheses expl (2)'!E155,IF('[1]Hypotheses expl (2)'!$P$155="30j",'[1]Hypotheses expl (2)'!D155,'[1]Hypotheses expl (2)'!C155))</f>
        <v>#REF!</v>
      </c>
      <c r="E104" s="390" t="e">
        <f>IF('[1]Hypotheses expl (2)'!$P$155="0j",'[1]Hypotheses expl (2)'!F155,IF('[1]Hypotheses expl (2)'!$P$155="30j",'[1]Hypotheses expl (2)'!E155,'[1]Hypotheses expl (2)'!D155))</f>
        <v>#REF!</v>
      </c>
      <c r="F104" s="390" t="e">
        <f>IF('[1]Hypotheses expl (2)'!$P$155="0j",'[1]Hypotheses expl (2)'!G155,IF('[1]Hypotheses expl (2)'!$P$155="30j",'[1]Hypotheses expl (2)'!F155,'[1]Hypotheses expl (2)'!E155))</f>
        <v>#REF!</v>
      </c>
      <c r="G104" s="390" t="e">
        <f>IF('[1]Hypotheses expl (2)'!$P$155="0j",'[1]Hypotheses expl (2)'!H155,IF('[1]Hypotheses expl (2)'!$P$155="30j",'[1]Hypotheses expl (2)'!G155,'[1]Hypotheses expl (2)'!F155))</f>
        <v>#REF!</v>
      </c>
      <c r="H104" s="390" t="e">
        <f>IF('[1]Hypotheses expl (2)'!$P$155="0j",'[1]Hypotheses expl (2)'!I155,IF('[1]Hypotheses expl (2)'!$P$155="30j",'[1]Hypotheses expl (2)'!H155,'[1]Hypotheses expl (2)'!G155))</f>
        <v>#REF!</v>
      </c>
      <c r="I104" s="390" t="e">
        <f>IF('[1]Hypotheses expl (2)'!$P$155="0j",'[1]Hypotheses expl (2)'!J155,IF('[1]Hypotheses expl (2)'!$P$155="30j",'[1]Hypotheses expl (2)'!I155,'[1]Hypotheses expl (2)'!H155))</f>
        <v>#REF!</v>
      </c>
      <c r="J104" s="390" t="e">
        <f>IF('[1]Hypotheses expl (2)'!$P$155="0j",'[1]Hypotheses expl (2)'!K155,IF('[1]Hypotheses expl (2)'!$P$155="30j",'[1]Hypotheses expl (2)'!J155,'[1]Hypotheses expl (2)'!I155))</f>
        <v>#REF!</v>
      </c>
      <c r="K104" s="390" t="e">
        <f>IF('[1]Hypotheses expl (2)'!$P$155="0j",'[1]Hypotheses expl (2)'!L155,IF('[1]Hypotheses expl (2)'!$P$155="30j",'[1]Hypotheses expl (2)'!K155,'[1]Hypotheses expl (2)'!J155))</f>
        <v>#REF!</v>
      </c>
      <c r="L104" s="390" t="e">
        <f>IF('[1]Hypotheses expl (2)'!$P$155="0j",'[1]Hypotheses expl (2)'!M155,IF('[1]Hypotheses expl (2)'!$P$155="30j",'[1]Hypotheses expl (2)'!L155,'[1]Hypotheses expl (2)'!K155))</f>
        <v>#REF!</v>
      </c>
      <c r="M104" s="390" t="e">
        <f>IF('[1]Hypotheses expl (2)'!$P$155="0j",'[1]Hypotheses expl (2)'!N155,IF('[1]Hypotheses expl (2)'!$P$155="30j",'[1]Hypotheses expl (2)'!M155,'[1]Hypotheses expl (2)'!L155))</f>
        <v>#REF!</v>
      </c>
    </row>
    <row r="105" outlineLevel="1">
      <c r="A105" s="393" t="e">
        <f>'[1]Compte résultat prévi'!A105</f>
        <v>#REF!</v>
      </c>
      <c r="B105" s="390" t="e">
        <f>IF('[1]Hypotheses expl (2)'!$P$156="0j",'[1]Hypotheses expl (2)'!C156,IF('[1]Hypotheses expl (2)'!$P$156="30j",'[1]Hypotheses expl (2)'!B156,'[1]Hypotheses expl (2)'!A156))</f>
        <v>#REF!</v>
      </c>
      <c r="C105" s="390" t="e">
        <f>IF('[1]Hypotheses expl (2)'!$P$156="0j",'[1]Hypotheses expl (2)'!D156,IF('[1]Hypotheses expl (2)'!$P$156="30j",'[1]Hypotheses expl (2)'!C156,'[1]Hypotheses expl (2)'!B156))</f>
        <v>#REF!</v>
      </c>
      <c r="D105" s="390" t="e">
        <f>IF('[1]Hypotheses expl (2)'!$P$156="0j",'[1]Hypotheses expl (2)'!E156,IF('[1]Hypotheses expl (2)'!$P$156="30j",'[1]Hypotheses expl (2)'!D156,'[1]Hypotheses expl (2)'!C156))</f>
        <v>#REF!</v>
      </c>
      <c r="E105" s="390" t="e">
        <f>IF('[1]Hypotheses expl (2)'!$P$156="0j",'[1]Hypotheses expl (2)'!F156,IF('[1]Hypotheses expl (2)'!$P$156="30j",'[1]Hypotheses expl (2)'!E156,'[1]Hypotheses expl (2)'!D156))</f>
        <v>#REF!</v>
      </c>
      <c r="F105" s="390" t="e">
        <f>IF('[1]Hypotheses expl (2)'!$P$156="0j",'[1]Hypotheses expl (2)'!G156,IF('[1]Hypotheses expl (2)'!$P$156="30j",'[1]Hypotheses expl (2)'!F156,'[1]Hypotheses expl (2)'!E156))</f>
        <v>#REF!</v>
      </c>
      <c r="G105" s="390" t="e">
        <f>IF('[1]Hypotheses expl (2)'!$P$156="0j",'[1]Hypotheses expl (2)'!H156,IF('[1]Hypotheses expl (2)'!$P$156="30j",'[1]Hypotheses expl (2)'!G156,'[1]Hypotheses expl (2)'!F156))</f>
        <v>#REF!</v>
      </c>
      <c r="H105" s="390" t="e">
        <f>IF('[1]Hypotheses expl (2)'!$P$156="0j",'[1]Hypotheses expl (2)'!I156,IF('[1]Hypotheses expl (2)'!$P$156="30j",'[1]Hypotheses expl (2)'!H156,'[1]Hypotheses expl (2)'!G156))</f>
        <v>#REF!</v>
      </c>
      <c r="I105" s="390" t="e">
        <f>IF('[1]Hypotheses expl (2)'!$P$156="0j",'[1]Hypotheses expl (2)'!J156,IF('[1]Hypotheses expl (2)'!$P$156="30j",'[1]Hypotheses expl (2)'!I156,'[1]Hypotheses expl (2)'!H156))</f>
        <v>#REF!</v>
      </c>
      <c r="J105" s="390" t="e">
        <f>IF('[1]Hypotheses expl (2)'!$P$156="0j",'[1]Hypotheses expl (2)'!K156,IF('[1]Hypotheses expl (2)'!$P$156="30j",'[1]Hypotheses expl (2)'!J156,'[1]Hypotheses expl (2)'!I156))</f>
        <v>#REF!</v>
      </c>
      <c r="K105" s="390" t="e">
        <f>IF('[1]Hypotheses expl (2)'!$P$156="0j",'[1]Hypotheses expl (2)'!L156,IF('[1]Hypotheses expl (2)'!$P$156="30j",'[1]Hypotheses expl (2)'!K156,'[1]Hypotheses expl (2)'!J156))</f>
        <v>#REF!</v>
      </c>
      <c r="L105" s="390" t="e">
        <f>IF('[1]Hypotheses expl (2)'!$P$156="0j",'[1]Hypotheses expl (2)'!M156,IF('[1]Hypotheses expl (2)'!$P$156="30j",'[1]Hypotheses expl (2)'!L156,'[1]Hypotheses expl (2)'!K156))</f>
        <v>#REF!</v>
      </c>
      <c r="M105" s="390" t="e">
        <f>IF('[1]Hypotheses expl (2)'!$P$156="0j",'[1]Hypotheses expl (2)'!N156,IF('[1]Hypotheses expl (2)'!$P$156="30j",'[1]Hypotheses expl (2)'!M156,'[1]Hypotheses expl (2)'!L156))</f>
        <v>#REF!</v>
      </c>
    </row>
    <row r="106">
      <c r="A106" s="391" t="e">
        <f>'[1]Compte résultat prévi'!A113</f>
        <v>#REF!</v>
      </c>
      <c r="B106" s="388" t="e">
        <f t="shared" ref="B106:M106" si="330">SUM(B107:B107)</f>
        <v>#REF!</v>
      </c>
      <c r="C106" s="388" t="e">
        <f t="shared" si="330"/>
        <v>#REF!</v>
      </c>
      <c r="D106" s="388" t="e">
        <f t="shared" si="330"/>
        <v>#REF!</v>
      </c>
      <c r="E106" s="388" t="e">
        <f t="shared" si="330"/>
        <v>#REF!</v>
      </c>
      <c r="F106" s="388" t="e">
        <f t="shared" si="330"/>
        <v>#REF!</v>
      </c>
      <c r="G106" s="388" t="e">
        <f t="shared" si="330"/>
        <v>#REF!</v>
      </c>
      <c r="H106" s="388" t="e">
        <f t="shared" si="330"/>
        <v>#REF!</v>
      </c>
      <c r="I106" s="388" t="e">
        <f t="shared" si="330"/>
        <v>#REF!</v>
      </c>
      <c r="J106" s="388" t="e">
        <f t="shared" si="330"/>
        <v>#REF!</v>
      </c>
      <c r="K106" s="388" t="e">
        <f t="shared" si="330"/>
        <v>#REF!</v>
      </c>
      <c r="L106" s="388" t="e">
        <f t="shared" si="330"/>
        <v>#REF!</v>
      </c>
      <c r="M106" s="388" t="e">
        <f t="shared" si="330"/>
        <v>#REF!</v>
      </c>
    </row>
    <row r="107" outlineLevel="1">
      <c r="A107" s="393" t="e">
        <f>'[1]Compte résultat prévi'!A114</f>
        <v>#REF!</v>
      </c>
      <c r="B107" s="390" t="e">
        <f>IF('[1]Hypotheses expl (2)'!$P$157="0j",'[1]Hypotheses expl (2)'!C157,IF('[1]Hypotheses expl (2)'!$P$157="30j",'[1]Hypotheses expl (2)'!B157,'[1]Hypotheses expl (2)'!A157))</f>
        <v>#REF!</v>
      </c>
      <c r="C107" s="390" t="e">
        <f>IF('[1]Hypotheses expl (2)'!$P$157="0j",'[1]Hypotheses expl (2)'!D157,IF('[1]Hypotheses expl (2)'!$P$157="30j",'[1]Hypotheses expl (2)'!C157,'[1]Hypotheses expl (2)'!B157))</f>
        <v>#REF!</v>
      </c>
      <c r="D107" s="390" t="e">
        <f>IF('[1]Hypotheses expl (2)'!$P$157="0j",'[1]Hypotheses expl (2)'!E157,IF('[1]Hypotheses expl (2)'!$P$157="30j",'[1]Hypotheses expl (2)'!D157,'[1]Hypotheses expl (2)'!C157))</f>
        <v>#REF!</v>
      </c>
      <c r="E107" s="390" t="e">
        <f>IF('[1]Hypotheses expl (2)'!$P$157="0j",'[1]Hypotheses expl (2)'!F157,IF('[1]Hypotheses expl (2)'!$P$157="30j",'[1]Hypotheses expl (2)'!E157,'[1]Hypotheses expl (2)'!D157))</f>
        <v>#REF!</v>
      </c>
      <c r="F107" s="390" t="e">
        <f>IF('[1]Hypotheses expl (2)'!$P$157="0j",'[1]Hypotheses expl (2)'!G157,IF('[1]Hypotheses expl (2)'!$P$157="30j",'[1]Hypotheses expl (2)'!F157,'[1]Hypotheses expl (2)'!E157))</f>
        <v>#REF!</v>
      </c>
      <c r="G107" s="390" t="e">
        <f>IF('[1]Hypotheses expl (2)'!$P$157="0j",'[1]Hypotheses expl (2)'!H157,IF('[1]Hypotheses expl (2)'!$P$157="30j",'[1]Hypotheses expl (2)'!G157,'[1]Hypotheses expl (2)'!F157))</f>
        <v>#REF!</v>
      </c>
      <c r="H107" s="390" t="e">
        <f>IF('[1]Hypotheses expl (2)'!$P$157="0j",'[1]Hypotheses expl (2)'!I157,IF('[1]Hypotheses expl (2)'!$P$157="30j",'[1]Hypotheses expl (2)'!H157,'[1]Hypotheses expl (2)'!G157))</f>
        <v>#REF!</v>
      </c>
      <c r="I107" s="390" t="e">
        <f>IF('[1]Hypotheses expl (2)'!$P$157="0j",'[1]Hypotheses expl (2)'!J157,IF('[1]Hypotheses expl (2)'!$P$157="30j",'[1]Hypotheses expl (2)'!I157,'[1]Hypotheses expl (2)'!H157))</f>
        <v>#REF!</v>
      </c>
      <c r="J107" s="390" t="e">
        <f>IF('[1]Hypotheses expl (2)'!$P$157="0j",'[1]Hypotheses expl (2)'!K157,IF('[1]Hypotheses expl (2)'!$P$157="30j",'[1]Hypotheses expl (2)'!J157,'[1]Hypotheses expl (2)'!I157))</f>
        <v>#REF!</v>
      </c>
      <c r="K107" s="390" t="e">
        <f>IF('[1]Hypotheses expl (2)'!$P$157="0j",'[1]Hypotheses expl (2)'!L157,IF('[1]Hypotheses expl (2)'!$P$157="30j",'[1]Hypotheses expl (2)'!K157,'[1]Hypotheses expl (2)'!J157))</f>
        <v>#REF!</v>
      </c>
      <c r="L107" s="390" t="e">
        <f>IF('[1]Hypotheses expl (2)'!$P$157="0j",'[1]Hypotheses expl (2)'!M157,IF('[1]Hypotheses expl (2)'!$P$157="30j",'[1]Hypotheses expl (2)'!L157,'[1]Hypotheses expl (2)'!K157))</f>
        <v>#REF!</v>
      </c>
      <c r="M107" s="390" t="e">
        <f>IF('[1]Hypotheses expl (2)'!$P$157="0j",'[1]Hypotheses expl (2)'!N157,IF('[1]Hypotheses expl (2)'!$P$157="30j",'[1]Hypotheses expl (2)'!M157,'[1]Hypotheses expl (2)'!L157))</f>
        <v>#REF!</v>
      </c>
    </row>
    <row r="108">
      <c r="A108" s="391" t="e">
        <f>'[1]Compte résultat prévi'!A120</f>
        <v>#REF!</v>
      </c>
      <c r="B108" s="388" t="e">
        <f>SUM(B109:B110)</f>
        <v>#REF!</v>
      </c>
      <c r="C108" s="388" t="e">
        <f t="shared" ref="C108:M108" si="331">SUM(C109:C110)</f>
        <v>#REF!</v>
      </c>
      <c r="D108" s="388" t="e">
        <f t="shared" si="331"/>
        <v>#REF!</v>
      </c>
      <c r="E108" s="388" t="e">
        <f t="shared" si="331"/>
        <v>#REF!</v>
      </c>
      <c r="F108" s="388" t="e">
        <f t="shared" si="331"/>
        <v>#REF!</v>
      </c>
      <c r="G108" s="388" t="e">
        <f t="shared" si="331"/>
        <v>#REF!</v>
      </c>
      <c r="H108" s="388" t="e">
        <f t="shared" si="331"/>
        <v>#REF!</v>
      </c>
      <c r="I108" s="388" t="e">
        <f t="shared" si="331"/>
        <v>#REF!</v>
      </c>
      <c r="J108" s="388" t="e">
        <f t="shared" si="331"/>
        <v>#REF!</v>
      </c>
      <c r="K108" s="388" t="e">
        <f t="shared" si="331"/>
        <v>#REF!</v>
      </c>
      <c r="L108" s="388" t="e">
        <f t="shared" si="331"/>
        <v>#REF!</v>
      </c>
      <c r="M108" s="388" t="e">
        <f t="shared" si="331"/>
        <v>#REF!</v>
      </c>
    </row>
    <row r="109" outlineLevel="1">
      <c r="A109" s="393" t="e">
        <f>'[1]Compte résultat prévi'!A121</f>
        <v>#REF!</v>
      </c>
      <c r="B109" s="390" t="e">
        <f>IF('[1]Hypotheses expl (2)'!$P$159="0j",'[1]Hypotheses expl (2)'!C159,IF('[1]Hypotheses expl (2)'!$P$159="30j",'[1]Hypotheses expl (2)'!B159,'[1]Hypotheses expl (2)'!A159))</f>
        <v>#REF!</v>
      </c>
      <c r="C109" s="390" t="e">
        <f>IF('[1]Hypotheses expl (2)'!$P$159="0j",'[1]Hypotheses expl (2)'!D159,IF('[1]Hypotheses expl (2)'!$P$159="30j",'[1]Hypotheses expl (2)'!C159,'[1]Hypotheses expl (2)'!B159))</f>
        <v>#REF!</v>
      </c>
      <c r="D109" s="390" t="e">
        <f>IF('[1]Hypotheses expl (2)'!$P$159="0j",'[1]Hypotheses expl (2)'!E159,IF('[1]Hypotheses expl (2)'!$P$159="30j",'[1]Hypotheses expl (2)'!D159,'[1]Hypotheses expl (2)'!C159))</f>
        <v>#REF!</v>
      </c>
      <c r="E109" s="390" t="e">
        <f>IF('[1]Hypotheses expl (2)'!$P$159="0j",'[1]Hypotheses expl (2)'!F159,IF('[1]Hypotheses expl (2)'!$P$159="30j",'[1]Hypotheses expl (2)'!E159,'[1]Hypotheses expl (2)'!D159))</f>
        <v>#REF!</v>
      </c>
      <c r="F109" s="390" t="e">
        <f>IF('[1]Hypotheses expl (2)'!$P$159="0j",'[1]Hypotheses expl (2)'!G159,IF('[1]Hypotheses expl (2)'!$P$159="30j",'[1]Hypotheses expl (2)'!F159,'[1]Hypotheses expl (2)'!E159))</f>
        <v>#REF!</v>
      </c>
      <c r="G109" s="390" t="e">
        <f>IF('[1]Hypotheses expl (2)'!$P$159="0j",'[1]Hypotheses expl (2)'!H159,IF('[1]Hypotheses expl (2)'!$P$159="30j",'[1]Hypotheses expl (2)'!G159,'[1]Hypotheses expl (2)'!F159))</f>
        <v>#REF!</v>
      </c>
      <c r="H109" s="390" t="e">
        <f>IF('[1]Hypotheses expl (2)'!$P$159="0j",'[1]Hypotheses expl (2)'!I159,IF('[1]Hypotheses expl (2)'!$P$159="30j",'[1]Hypotheses expl (2)'!H159,'[1]Hypotheses expl (2)'!G159))</f>
        <v>#REF!</v>
      </c>
      <c r="I109" s="390" t="e">
        <f>IF('[1]Hypotheses expl (2)'!$P$159="0j",'[1]Hypotheses expl (2)'!J159,IF('[1]Hypotheses expl (2)'!$P$159="30j",'[1]Hypotheses expl (2)'!I159,'[1]Hypotheses expl (2)'!H159))</f>
        <v>#REF!</v>
      </c>
      <c r="J109" s="390" t="e">
        <f>IF('[1]Hypotheses expl (2)'!$P$159="0j",'[1]Hypotheses expl (2)'!K159,IF('[1]Hypotheses expl (2)'!$P$159="30j",'[1]Hypotheses expl (2)'!J159,'[1]Hypotheses expl (2)'!I159))</f>
        <v>#REF!</v>
      </c>
      <c r="K109" s="390" t="e">
        <f>IF('[1]Hypotheses expl (2)'!$P$159="0j",'[1]Hypotheses expl (2)'!L159,IF('[1]Hypotheses expl (2)'!$P$159="30j",'[1]Hypotheses expl (2)'!K159,'[1]Hypotheses expl (2)'!J159))</f>
        <v>#REF!</v>
      </c>
      <c r="L109" s="390" t="e">
        <f>IF('[1]Hypotheses expl (2)'!$P$159="0j",'[1]Hypotheses expl (2)'!M159,IF('[1]Hypotheses expl (2)'!$P$159="30j",'[1]Hypotheses expl (2)'!L159,'[1]Hypotheses expl (2)'!K159))</f>
        <v>#REF!</v>
      </c>
      <c r="M109" s="390" t="e">
        <f>IF('[1]Hypotheses expl (2)'!$P$159="0j",'[1]Hypotheses expl (2)'!N159,IF('[1]Hypotheses expl (2)'!$P$159="30j",'[1]Hypotheses expl (2)'!M159,'[1]Hypotheses expl (2)'!L159))</f>
        <v>#REF!</v>
      </c>
    </row>
    <row r="110" outlineLevel="1">
      <c r="A110" s="393" t="e">
        <f>'[1]Compte résultat prévi'!A122</f>
        <v>#REF!</v>
      </c>
      <c r="B110" s="390" t="e">
        <f>IF('[1]Hypotheses expl (2)'!$P$160="0j",'[1]Hypotheses expl (2)'!C160,IF('[1]Hypotheses expl (2)'!$P$160="30j",'[1]Hypotheses expl (2)'!B160,'[1]Hypotheses expl (2)'!A160))</f>
        <v>#REF!</v>
      </c>
      <c r="C110" s="390" t="e">
        <f>IF('[1]Hypotheses expl (2)'!$P$160="0j",'[1]Hypotheses expl (2)'!D160,IF('[1]Hypotheses expl (2)'!$P$160="30j",'[1]Hypotheses expl (2)'!C160,'[1]Hypotheses expl (2)'!B160))</f>
        <v>#REF!</v>
      </c>
      <c r="D110" s="390" t="e">
        <f>IF('[1]Hypotheses expl (2)'!$P$160="0j",'[1]Hypotheses expl (2)'!E160,IF('[1]Hypotheses expl (2)'!$P$160="30j",'[1]Hypotheses expl (2)'!D160,'[1]Hypotheses expl (2)'!C160))</f>
        <v>#REF!</v>
      </c>
      <c r="E110" s="390" t="e">
        <f>IF('[1]Hypotheses expl (2)'!$P$160="0j",'[1]Hypotheses expl (2)'!F160,IF('[1]Hypotheses expl (2)'!$P$160="30j",'[1]Hypotheses expl (2)'!E160,'[1]Hypotheses expl (2)'!D160))</f>
        <v>#REF!</v>
      </c>
      <c r="F110" s="390" t="e">
        <f>IF('[1]Hypotheses expl (2)'!$P$160="0j",'[1]Hypotheses expl (2)'!G160,IF('[1]Hypotheses expl (2)'!$P$160="30j",'[1]Hypotheses expl (2)'!F160,'[1]Hypotheses expl (2)'!E160))</f>
        <v>#REF!</v>
      </c>
      <c r="G110" s="390" t="e">
        <f>IF('[1]Hypotheses expl (2)'!$P$160="0j",'[1]Hypotheses expl (2)'!H160,IF('[1]Hypotheses expl (2)'!$P$160="30j",'[1]Hypotheses expl (2)'!G160,'[1]Hypotheses expl (2)'!F160))</f>
        <v>#REF!</v>
      </c>
      <c r="H110" s="390" t="e">
        <f>IF('[1]Hypotheses expl (2)'!$P$160="0j",'[1]Hypotheses expl (2)'!I160,IF('[1]Hypotheses expl (2)'!$P$160="30j",'[1]Hypotheses expl (2)'!H160,'[1]Hypotheses expl (2)'!G160))</f>
        <v>#REF!</v>
      </c>
      <c r="I110" s="390" t="e">
        <f>IF('[1]Hypotheses expl (2)'!$P$160="0j",'[1]Hypotheses expl (2)'!J160,IF('[1]Hypotheses expl (2)'!$P$160="30j",'[1]Hypotheses expl (2)'!I160,'[1]Hypotheses expl (2)'!H160))</f>
        <v>#REF!</v>
      </c>
      <c r="J110" s="390" t="e">
        <f>IF('[1]Hypotheses expl (2)'!$P$160="0j",'[1]Hypotheses expl (2)'!K160,IF('[1]Hypotheses expl (2)'!$P$160="30j",'[1]Hypotheses expl (2)'!J160,'[1]Hypotheses expl (2)'!I160))</f>
        <v>#REF!</v>
      </c>
      <c r="K110" s="390" t="e">
        <f>IF('[1]Hypotheses expl (2)'!$P$160="0j",'[1]Hypotheses expl (2)'!L160,IF('[1]Hypotheses expl (2)'!$P$160="30j",'[1]Hypotheses expl (2)'!K160,'[1]Hypotheses expl (2)'!J160))</f>
        <v>#REF!</v>
      </c>
      <c r="L110" s="390" t="e">
        <f>IF('[1]Hypotheses expl (2)'!$P$160="0j",'[1]Hypotheses expl (2)'!M160,IF('[1]Hypotheses expl (2)'!$P$160="30j",'[1]Hypotheses expl (2)'!L160,'[1]Hypotheses expl (2)'!K160))</f>
        <v>#REF!</v>
      </c>
      <c r="M110" s="390" t="e">
        <f>IF('[1]Hypotheses expl (2)'!$P$160="0j",'[1]Hypotheses expl (2)'!N160,IF('[1]Hypotheses expl (2)'!$P$160="30j",'[1]Hypotheses expl (2)'!M160,'[1]Hypotheses expl (2)'!L160))</f>
        <v>#REF!</v>
      </c>
    </row>
    <row r="111" s="36" customFormat="1">
      <c r="B111" s="375"/>
      <c r="C111" s="375"/>
      <c r="D111" s="375"/>
      <c r="E111" s="375"/>
      <c r="F111" s="375"/>
      <c r="G111" s="375"/>
      <c r="H111" s="375"/>
      <c r="I111" s="381"/>
      <c r="J111" s="381"/>
      <c r="K111" s="381"/>
      <c r="L111" s="381"/>
      <c r="M111" s="381"/>
    </row>
    <row r="112" s="383" customFormat="1">
      <c r="A112" s="384" t="s">
        <v>367</v>
      </c>
      <c r="B112" s="385" t="e">
        <f>SUM(B113:B116)</f>
        <v>#REF!</v>
      </c>
      <c r="C112" s="385" t="e">
        <f t="shared" ref="C112:H112" si="332">SUM(C113:C116)</f>
        <v>#REF!</v>
      </c>
      <c r="D112" s="385" t="e">
        <f t="shared" si="332"/>
        <v>#REF!</v>
      </c>
      <c r="E112" s="385" t="e">
        <f t="shared" si="332"/>
        <v>#REF!</v>
      </c>
      <c r="F112" s="385" t="e">
        <f t="shared" si="332"/>
        <v>#REF!</v>
      </c>
      <c r="G112" s="385" t="e">
        <f t="shared" si="332"/>
        <v>#REF!</v>
      </c>
      <c r="H112" s="385" t="e">
        <f t="shared" si="332"/>
        <v>#REF!</v>
      </c>
      <c r="I112" s="385" t="e">
        <f>SUM(I113:I116)</f>
        <v>#REF!</v>
      </c>
      <c r="J112" s="385" t="e">
        <f t="shared" ref="J112:M112" si="333">SUM(J113:J116)</f>
        <v>#REF!</v>
      </c>
      <c r="K112" s="385" t="e">
        <f t="shared" si="333"/>
        <v>#REF!</v>
      </c>
      <c r="L112" s="385" t="e">
        <f t="shared" si="333"/>
        <v>#REF!</v>
      </c>
      <c r="M112" s="385" t="e">
        <f t="shared" si="333"/>
        <v>#REF!</v>
      </c>
      <c r="N112" s="36"/>
      <c r="O112" s="36"/>
      <c r="P112" s="36"/>
      <c r="Q112" s="36"/>
      <c r="R112" s="36"/>
      <c r="S112" s="36"/>
      <c r="T112" s="36"/>
      <c r="U112" s="36"/>
      <c r="V112" s="36"/>
      <c r="W112" s="36"/>
      <c r="X112" s="36"/>
      <c r="Y112" s="36"/>
      <c r="Z112" s="36"/>
      <c r="AA112" s="36"/>
      <c r="AB112" s="36"/>
      <c r="AC112" s="36"/>
      <c r="AD112" s="36"/>
      <c r="AE112" s="36"/>
      <c r="AF112" s="36"/>
      <c r="AG112" s="36"/>
      <c r="AH112" s="36"/>
      <c r="AI112" s="36"/>
      <c r="AJ112" s="36"/>
      <c r="AK112" s="36"/>
      <c r="AL112" s="36"/>
      <c r="AM112" s="36"/>
      <c r="AN112" s="36"/>
    </row>
    <row r="113">
      <c r="A113" s="393" t="s">
        <v>302</v>
      </c>
      <c r="B113" s="394" t="e">
        <f>'[1]Hypotheses hors expl (2)'!C10</f>
        <v>#REF!</v>
      </c>
      <c r="C113" s="394" t="e">
        <f>'[1]Hypotheses hors expl (2)'!D10</f>
        <v>#REF!</v>
      </c>
      <c r="D113" s="394" t="e">
        <f>'[1]Hypotheses hors expl (2)'!E10</f>
        <v>#REF!</v>
      </c>
      <c r="E113" s="394" t="e">
        <f>'[1]Hypotheses hors expl (2)'!F10</f>
        <v>#REF!</v>
      </c>
      <c r="F113" s="394" t="e">
        <f>'[1]Hypotheses hors expl (2)'!G10</f>
        <v>#REF!</v>
      </c>
      <c r="G113" s="394" t="e">
        <f>'[1]Hypotheses hors expl (2)'!H10</f>
        <v>#REF!</v>
      </c>
      <c r="H113" s="394" t="e">
        <f>'[1]Hypotheses hors expl (2)'!I10</f>
        <v>#REF!</v>
      </c>
      <c r="I113" s="394" t="e">
        <f>'[1]Hypotheses hors expl (2)'!J10</f>
        <v>#REF!</v>
      </c>
      <c r="J113" s="394" t="e">
        <f>'[1]Hypotheses hors expl (2)'!K10</f>
        <v>#REF!</v>
      </c>
      <c r="K113" s="394" t="e">
        <f>'[1]Hypotheses hors expl (2)'!L10</f>
        <v>#REF!</v>
      </c>
      <c r="L113" s="394" t="e">
        <f>'[1]Hypotheses hors expl (2)'!M10</f>
        <v>#REF!</v>
      </c>
      <c r="M113" s="394" t="e">
        <f>'[1]Hypotheses hors expl (2)'!N10</f>
        <v>#REF!</v>
      </c>
    </row>
    <row r="114">
      <c r="A114" s="393" t="s">
        <v>303</v>
      </c>
      <c r="B114" s="394" t="e">
        <f>'[1]Hypotheses hors expl (2)'!C11</f>
        <v>#REF!</v>
      </c>
      <c r="C114" s="394" t="e">
        <f>'[1]Hypotheses hors expl (2)'!D11</f>
        <v>#REF!</v>
      </c>
      <c r="D114" s="394" t="e">
        <f>'[1]Hypotheses hors expl (2)'!E11</f>
        <v>#REF!</v>
      </c>
      <c r="E114" s="394" t="e">
        <f>'[1]Hypotheses hors expl (2)'!F11</f>
        <v>#REF!</v>
      </c>
      <c r="F114" s="394" t="e">
        <f>'[1]Hypotheses hors expl (2)'!G11</f>
        <v>#REF!</v>
      </c>
      <c r="G114" s="394" t="e">
        <f>'[1]Hypotheses hors expl (2)'!H11</f>
        <v>#REF!</v>
      </c>
      <c r="H114" s="394" t="e">
        <f>'[1]Hypotheses hors expl (2)'!I11</f>
        <v>#REF!</v>
      </c>
      <c r="I114" s="394" t="e">
        <f>'[1]Hypotheses hors expl (2)'!J11</f>
        <v>#REF!</v>
      </c>
      <c r="J114" s="394" t="e">
        <f>'[1]Hypotheses hors expl (2)'!K11</f>
        <v>#REF!</v>
      </c>
      <c r="K114" s="394" t="e">
        <f>'[1]Hypotheses hors expl (2)'!L11</f>
        <v>#REF!</v>
      </c>
      <c r="L114" s="394" t="e">
        <f>'[1]Hypotheses hors expl (2)'!M11</f>
        <v>#REF!</v>
      </c>
      <c r="M114" s="394" t="e">
        <f>'[1]Hypotheses hors expl (2)'!N11</f>
        <v>#REF!</v>
      </c>
    </row>
    <row r="115">
      <c r="A115" s="393" t="s">
        <v>304</v>
      </c>
      <c r="B115" s="394" t="e">
        <f>'[1]Hypotheses hors expl (2)'!C12</f>
        <v>#REF!</v>
      </c>
      <c r="C115" s="394" t="e">
        <f>'[1]Hypotheses hors expl (2)'!D12</f>
        <v>#REF!</v>
      </c>
      <c r="D115" s="394" t="e">
        <f>'[1]Hypotheses hors expl (2)'!E12</f>
        <v>#REF!</v>
      </c>
      <c r="E115" s="394" t="e">
        <f>'[1]Hypotheses hors expl (2)'!F12</f>
        <v>#REF!</v>
      </c>
      <c r="F115" s="394" t="e">
        <f>'[1]Hypotheses hors expl (2)'!G12</f>
        <v>#REF!</v>
      </c>
      <c r="G115" s="394" t="e">
        <f>'[1]Hypotheses hors expl (2)'!H12</f>
        <v>#REF!</v>
      </c>
      <c r="H115" s="394" t="e">
        <f>'[1]Hypotheses hors expl (2)'!I12</f>
        <v>#REF!</v>
      </c>
      <c r="I115" s="394" t="e">
        <f>'[1]Hypotheses hors expl (2)'!J12</f>
        <v>#REF!</v>
      </c>
      <c r="J115" s="394" t="e">
        <f>'[1]Hypotheses hors expl (2)'!K12</f>
        <v>#REF!</v>
      </c>
      <c r="K115" s="394" t="e">
        <f>'[1]Hypotheses hors expl (2)'!L12</f>
        <v>#REF!</v>
      </c>
      <c r="L115" s="394" t="e">
        <f>'[1]Hypotheses hors expl (2)'!M12</f>
        <v>#REF!</v>
      </c>
      <c r="M115" s="394" t="e">
        <f>'[1]Hypotheses hors expl (2)'!N12</f>
        <v>#REF!</v>
      </c>
    </row>
    <row r="116">
      <c r="A116" s="393" t="s">
        <v>300</v>
      </c>
      <c r="B116" s="394" t="e">
        <f>'[1]Hypotheses hors expl (2)'!C13</f>
        <v>#REF!</v>
      </c>
      <c r="C116" s="394" t="e">
        <f>'[1]Hypotheses hors expl (2)'!D13</f>
        <v>#REF!</v>
      </c>
      <c r="D116" s="394" t="e">
        <f>'[1]Hypotheses hors expl (2)'!E13</f>
        <v>#REF!</v>
      </c>
      <c r="E116" s="394" t="e">
        <f>'[1]Hypotheses hors expl (2)'!F13</f>
        <v>#REF!</v>
      </c>
      <c r="F116" s="394" t="e">
        <f>'[1]Hypotheses hors expl (2)'!G13</f>
        <v>#REF!</v>
      </c>
      <c r="G116" s="394" t="e">
        <f>'[1]Hypotheses hors expl (2)'!H13</f>
        <v>#REF!</v>
      </c>
      <c r="H116" s="394" t="e">
        <f>'[1]Hypotheses hors expl (2)'!I13</f>
        <v>#REF!</v>
      </c>
      <c r="I116" s="394" t="e">
        <f>'[1]Hypotheses hors expl (2)'!J13</f>
        <v>#REF!</v>
      </c>
      <c r="J116" s="394" t="e">
        <f>'[1]Hypotheses hors expl (2)'!K13</f>
        <v>#REF!</v>
      </c>
      <c r="K116" s="394" t="e">
        <f>'[1]Hypotheses hors expl (2)'!L13</f>
        <v>#REF!</v>
      </c>
      <c r="L116" s="394" t="e">
        <f>'[1]Hypotheses hors expl (2)'!M13</f>
        <v>#REF!</v>
      </c>
      <c r="M116" s="394" t="e">
        <f>'[1]Hypotheses hors expl (2)'!N13</f>
        <v>#REF!</v>
      </c>
    </row>
    <row r="117" s="36" customFormat="1">
      <c r="B117" s="375"/>
      <c r="C117" s="375"/>
      <c r="D117" s="375"/>
      <c r="E117" s="375"/>
      <c r="F117" s="375"/>
      <c r="G117" s="375"/>
      <c r="H117" s="375"/>
      <c r="I117" s="381"/>
      <c r="J117" s="381"/>
      <c r="K117" s="381"/>
      <c r="L117" s="381"/>
      <c r="M117" s="381"/>
    </row>
    <row r="118" s="383" customFormat="1">
      <c r="A118" s="384" t="s">
        <v>368</v>
      </c>
      <c r="B118" s="364">
        <f>51723+31445</f>
        <v>83168</v>
      </c>
      <c r="C118" s="364">
        <f>103446+37151+40000</f>
        <v>180597</v>
      </c>
      <c r="D118" s="364"/>
      <c r="E118" s="364"/>
      <c r="F118" s="364"/>
      <c r="G118" s="364"/>
      <c r="H118" s="364"/>
      <c r="I118" s="364"/>
      <c r="J118" s="364"/>
      <c r="K118" s="364"/>
      <c r="L118" s="364"/>
      <c r="M118" s="364"/>
      <c r="N118" s="36"/>
      <c r="O118" s="36"/>
      <c r="P118" s="36"/>
      <c r="Q118" s="36"/>
      <c r="R118" s="36"/>
      <c r="S118" s="36"/>
      <c r="T118" s="36"/>
      <c r="U118" s="36"/>
      <c r="V118" s="36"/>
      <c r="W118" s="36"/>
      <c r="X118" s="36"/>
      <c r="Y118" s="36"/>
      <c r="Z118" s="36"/>
      <c r="AA118" s="36"/>
      <c r="AB118" s="36"/>
      <c r="AC118" s="36"/>
      <c r="AD118" s="36"/>
      <c r="AE118" s="36"/>
      <c r="AF118" s="36"/>
      <c r="AG118" s="36"/>
      <c r="AH118" s="36"/>
      <c r="AI118" s="36"/>
      <c r="AJ118" s="36"/>
      <c r="AK118" s="36"/>
      <c r="AL118" s="36"/>
      <c r="AM118" s="36"/>
      <c r="AN118" s="36"/>
    </row>
    <row r="119" s="383" customFormat="1">
      <c r="A119" s="384" t="s">
        <v>369</v>
      </c>
      <c r="B119" s="364"/>
      <c r="C119" s="364"/>
      <c r="D119" s="364"/>
      <c r="E119" s="364"/>
      <c r="F119" s="364"/>
      <c r="G119" s="364"/>
      <c r="H119" s="364"/>
      <c r="I119" s="364"/>
      <c r="J119" s="364"/>
      <c r="K119" s="364"/>
      <c r="L119" s="364"/>
      <c r="M119" s="364"/>
      <c r="N119" s="36"/>
      <c r="O119" s="36"/>
      <c r="P119" s="36"/>
      <c r="Q119" s="36"/>
      <c r="R119" s="36"/>
      <c r="S119" s="36"/>
      <c r="T119" s="36"/>
      <c r="U119" s="36"/>
      <c r="V119" s="36"/>
      <c r="W119" s="36"/>
      <c r="X119" s="36"/>
      <c r="Y119" s="36"/>
      <c r="Z119" s="36"/>
      <c r="AA119" s="36"/>
      <c r="AB119" s="36"/>
      <c r="AC119" s="36"/>
      <c r="AD119" s="36"/>
      <c r="AE119" s="36"/>
      <c r="AF119" s="36"/>
      <c r="AG119" s="36"/>
      <c r="AH119" s="36"/>
      <c r="AI119" s="36"/>
      <c r="AJ119" s="36"/>
      <c r="AK119" s="36"/>
      <c r="AL119" s="36"/>
      <c r="AM119" s="36"/>
      <c r="AN119" s="36"/>
    </row>
    <row r="120" s="36" customFormat="1" ht="15">
      <c r="B120" s="375"/>
      <c r="C120" s="375"/>
      <c r="D120" s="375"/>
      <c r="E120" s="375"/>
      <c r="F120" s="375"/>
      <c r="G120" s="375"/>
      <c r="H120" s="375"/>
      <c r="I120" s="381"/>
      <c r="J120" s="381"/>
      <c r="K120" s="381"/>
      <c r="L120" s="381"/>
      <c r="M120" s="381"/>
    </row>
    <row r="121" ht="15">
      <c r="A121" s="405" t="s">
        <v>370</v>
      </c>
      <c r="B121" s="406" t="e">
        <f>+B6+B42-B47-B112+B118-B119</f>
        <v>#REF!</v>
      </c>
      <c r="C121" s="406" t="e">
        <f>C4+C6-C47-C118</f>
        <v>#REF!</v>
      </c>
      <c r="D121" s="406" t="e">
        <f t="shared" ref="D121:M121" si="334">+D6+D42-D47-D112+D118-D119</f>
        <v>#REF!</v>
      </c>
      <c r="E121" s="406" t="e">
        <f t="shared" si="334"/>
        <v>#REF!</v>
      </c>
      <c r="F121" s="406" t="e">
        <f t="shared" si="334"/>
        <v>#REF!</v>
      </c>
      <c r="G121" s="406" t="e">
        <f t="shared" si="334"/>
        <v>#REF!</v>
      </c>
      <c r="H121" s="406" t="e">
        <f t="shared" si="334"/>
        <v>#REF!</v>
      </c>
      <c r="I121" s="406" t="e">
        <f t="shared" si="334"/>
        <v>#REF!</v>
      </c>
      <c r="J121" s="406" t="e">
        <f>+J6+J42-J47-J112+J118-J119</f>
        <v>#REF!</v>
      </c>
      <c r="K121" s="406" t="e">
        <f t="shared" si="334"/>
        <v>#REF!</v>
      </c>
      <c r="L121" s="406" t="e">
        <f t="shared" si="334"/>
        <v>#REF!</v>
      </c>
      <c r="M121" s="406" t="e">
        <f t="shared" si="334"/>
        <v>#REF!</v>
      </c>
    </row>
    <row r="122" s="36" customFormat="1" ht="15">
      <c r="B122" s="375"/>
      <c r="C122" s="375"/>
      <c r="D122" s="375"/>
      <c r="E122" s="375"/>
      <c r="F122" s="375"/>
      <c r="G122" s="375"/>
      <c r="H122" s="375"/>
      <c r="I122" s="381"/>
      <c r="J122" s="381"/>
      <c r="K122" s="381"/>
      <c r="L122" s="381"/>
      <c r="M122" s="381"/>
    </row>
    <row r="123" ht="15">
      <c r="A123" s="405" t="s">
        <v>391</v>
      </c>
      <c r="B123" s="406">
        <v>150000</v>
      </c>
      <c r="C123" s="406">
        <v>-150000</v>
      </c>
      <c r="D123" s="406"/>
      <c r="E123" s="406"/>
      <c r="F123" s="406"/>
      <c r="G123" s="406">
        <v>129600</v>
      </c>
      <c r="H123" s="406"/>
      <c r="I123" s="406"/>
      <c r="J123" s="406"/>
      <c r="K123" s="406"/>
      <c r="L123" s="406"/>
      <c r="M123" s="406"/>
    </row>
    <row r="124" s="36" customFormat="1" ht="15">
      <c r="B124" s="375"/>
      <c r="C124" s="375"/>
      <c r="D124" s="375"/>
      <c r="E124" s="375"/>
      <c r="F124" s="375"/>
      <c r="G124" s="375"/>
      <c r="H124" s="375"/>
      <c r="I124" s="381"/>
      <c r="J124" s="381"/>
      <c r="K124" s="381"/>
      <c r="L124" s="381"/>
      <c r="M124" s="381"/>
    </row>
    <row r="125" ht="15">
      <c r="A125" s="379" t="s">
        <v>371</v>
      </c>
      <c r="B125" s="407" t="e">
        <f>B121+B123</f>
        <v>#REF!</v>
      </c>
      <c r="C125" s="407" t="e">
        <f>C121+C123</f>
        <v>#REF!</v>
      </c>
      <c r="D125" s="407" t="e">
        <f>D4+D121+D123</f>
        <v>#REF!</v>
      </c>
      <c r="E125" s="407" t="e">
        <f t="shared" ref="E125:M125" si="335">E4+E121</f>
        <v>#REF!</v>
      </c>
      <c r="F125" s="407" t="e">
        <f t="shared" si="335"/>
        <v>#REF!</v>
      </c>
      <c r="G125" s="407" t="e">
        <f t="shared" si="335"/>
        <v>#REF!</v>
      </c>
      <c r="H125" s="407" t="e">
        <f t="shared" si="335"/>
        <v>#REF!</v>
      </c>
      <c r="I125" s="407" t="e">
        <f t="shared" si="335"/>
        <v>#REF!</v>
      </c>
      <c r="J125" s="407" t="e">
        <f t="shared" si="335"/>
        <v>#REF!</v>
      </c>
      <c r="K125" s="407" t="e">
        <f>K4+K121+K123</f>
        <v>#REF!</v>
      </c>
      <c r="L125" s="407" t="e">
        <f t="shared" si="335"/>
        <v>#REF!</v>
      </c>
      <c r="M125" s="407" t="e">
        <f t="shared" si="335"/>
        <v>#REF!</v>
      </c>
    </row>
    <row r="126" s="36" customFormat="1">
      <c r="B126" s="375"/>
      <c r="C126" s="375"/>
      <c r="D126" s="375"/>
      <c r="E126" s="375"/>
      <c r="F126" s="375"/>
      <c r="G126" s="375"/>
      <c r="H126" s="375"/>
      <c r="I126" s="381"/>
      <c r="J126" s="381"/>
      <c r="K126" s="381"/>
      <c r="L126" s="381"/>
      <c r="M126" s="381"/>
    </row>
    <row r="127" s="36" customFormat="1">
      <c r="B127" s="375"/>
      <c r="C127" s="375"/>
      <c r="D127" s="375"/>
      <c r="E127" s="375"/>
      <c r="F127" s="375"/>
      <c r="G127" s="375"/>
      <c r="H127" s="375"/>
      <c r="I127" s="381"/>
      <c r="J127" s="381"/>
      <c r="K127" s="381"/>
      <c r="L127" s="381"/>
    </row>
    <row r="128" s="36" customFormat="1">
      <c r="B128" s="375"/>
      <c r="C128" s="375"/>
      <c r="D128" s="375"/>
      <c r="E128" s="375"/>
      <c r="F128" s="375"/>
      <c r="G128" s="375"/>
      <c r="H128" s="375"/>
      <c r="I128" s="375"/>
      <c r="J128" s="375"/>
      <c r="K128" s="375"/>
      <c r="L128" s="375"/>
      <c r="M128" s="375"/>
    </row>
    <row r="129" s="36" customFormat="1">
      <c r="B129" s="375"/>
      <c r="C129" s="409"/>
      <c r="D129" s="375"/>
      <c r="E129" s="375"/>
      <c r="F129" s="375"/>
      <c r="G129" s="375"/>
      <c r="H129" s="375"/>
      <c r="I129" s="375"/>
      <c r="J129" s="375"/>
      <c r="K129" s="375"/>
      <c r="L129" s="375"/>
      <c r="M129" s="375"/>
    </row>
    <row r="130" s="36" customFormat="1">
      <c r="B130" s="375"/>
      <c r="C130" s="375"/>
      <c r="D130" s="375"/>
      <c r="E130" s="375"/>
      <c r="F130" s="375"/>
      <c r="G130" s="375"/>
      <c r="H130" s="375"/>
      <c r="I130" s="375"/>
      <c r="J130" s="375"/>
      <c r="K130" s="375"/>
      <c r="L130" s="375"/>
      <c r="M130" s="375"/>
    </row>
    <row r="131" s="36" customFormat="1">
      <c r="B131" s="375"/>
      <c r="C131" s="375"/>
      <c r="D131" s="375"/>
      <c r="E131" s="375"/>
      <c r="F131" s="375"/>
      <c r="G131" s="375"/>
      <c r="H131" s="375"/>
      <c r="I131" s="375"/>
      <c r="J131" s="375"/>
      <c r="K131" s="375"/>
      <c r="L131" s="375"/>
      <c r="M131" s="375"/>
    </row>
    <row r="132" s="36" customFormat="1">
      <c r="B132" s="375"/>
      <c r="C132" s="375"/>
      <c r="D132" s="375"/>
      <c r="E132" s="375"/>
      <c r="F132" s="375"/>
      <c r="G132" s="375"/>
      <c r="H132" s="375"/>
      <c r="I132" s="375"/>
      <c r="J132" s="375"/>
      <c r="K132" s="375"/>
      <c r="L132" s="375"/>
      <c r="M132" s="375"/>
    </row>
    <row r="133" s="36" customFormat="1">
      <c r="B133" s="375"/>
      <c r="C133" s="375"/>
      <c r="D133" s="375"/>
      <c r="E133" s="375"/>
      <c r="F133" s="375"/>
      <c r="G133" s="375"/>
      <c r="H133" s="375"/>
      <c r="I133" s="375"/>
      <c r="J133" s="375"/>
      <c r="K133" s="375"/>
      <c r="L133" s="375"/>
      <c r="M133" s="375"/>
    </row>
    <row r="134" s="36" customFormat="1">
      <c r="B134" s="375"/>
      <c r="C134" s="375"/>
      <c r="D134" s="375"/>
      <c r="E134" s="375"/>
      <c r="F134" s="375"/>
      <c r="G134" s="375"/>
      <c r="H134" s="375"/>
      <c r="I134" s="375"/>
      <c r="J134" s="375"/>
      <c r="K134" s="375"/>
      <c r="L134" s="375"/>
      <c r="M134" s="375"/>
    </row>
    <row r="135" s="36" customFormat="1">
      <c r="B135" s="375"/>
      <c r="C135" s="375"/>
      <c r="D135" s="375"/>
      <c r="E135" s="375"/>
      <c r="F135" s="375"/>
      <c r="G135" s="375"/>
      <c r="H135" s="375"/>
      <c r="I135" s="375"/>
      <c r="J135" s="375"/>
      <c r="K135" s="375"/>
      <c r="L135" s="375"/>
      <c r="M135" s="375"/>
    </row>
    <row r="136" s="36" customFormat="1">
      <c r="B136" s="375"/>
      <c r="C136" s="375"/>
      <c r="D136" s="375"/>
      <c r="E136" s="375"/>
      <c r="F136" s="375"/>
      <c r="G136" s="375"/>
      <c r="H136" s="375"/>
      <c r="I136" s="375"/>
      <c r="J136" s="375"/>
      <c r="K136" s="375"/>
      <c r="L136" s="375"/>
      <c r="M136" s="375"/>
    </row>
    <row r="137" s="36" customFormat="1">
      <c r="B137" s="375"/>
      <c r="C137" s="375"/>
      <c r="D137" s="375"/>
      <c r="E137" s="375"/>
      <c r="F137" s="375"/>
      <c r="G137" s="375"/>
      <c r="H137" s="375"/>
      <c r="I137" s="375"/>
      <c r="J137" s="375"/>
      <c r="K137" s="375"/>
      <c r="L137" s="375"/>
      <c r="M137" s="375"/>
    </row>
    <row r="138" s="36" customFormat="1">
      <c r="B138" s="375"/>
      <c r="C138" s="375"/>
      <c r="D138" s="375"/>
      <c r="E138" s="375"/>
      <c r="F138" s="375"/>
      <c r="G138" s="375"/>
      <c r="H138" s="375"/>
      <c r="I138" s="375"/>
      <c r="J138" s="375"/>
      <c r="K138" s="375"/>
      <c r="L138" s="375"/>
      <c r="M138" s="375"/>
    </row>
    <row r="139" s="36" customFormat="1">
      <c r="B139" s="375"/>
      <c r="C139" s="375"/>
      <c r="D139" s="375"/>
      <c r="E139" s="375"/>
      <c r="F139" s="375"/>
      <c r="G139" s="375"/>
      <c r="H139" s="375"/>
      <c r="I139" s="375"/>
      <c r="J139" s="375"/>
      <c r="K139" s="375"/>
      <c r="L139" s="375"/>
      <c r="M139" s="375"/>
    </row>
    <row r="140" s="36" customFormat="1">
      <c r="B140" s="375"/>
      <c r="C140" s="375"/>
      <c r="D140" s="375"/>
      <c r="E140" s="375"/>
      <c r="F140" s="375"/>
      <c r="G140" s="375"/>
      <c r="H140" s="375"/>
      <c r="I140" s="375"/>
      <c r="J140" s="375"/>
      <c r="K140" s="375"/>
      <c r="L140" s="375"/>
      <c r="M140" s="375"/>
    </row>
    <row r="141" s="36" customFormat="1">
      <c r="B141" s="375"/>
      <c r="C141" s="375"/>
      <c r="D141" s="375"/>
      <c r="E141" s="375"/>
      <c r="F141" s="375"/>
      <c r="G141" s="375"/>
      <c r="H141" s="375"/>
      <c r="I141" s="375"/>
      <c r="J141" s="375"/>
      <c r="K141" s="375"/>
      <c r="L141" s="375"/>
      <c r="M141" s="375"/>
    </row>
    <row r="142" s="36" customFormat="1">
      <c r="B142" s="375"/>
      <c r="C142" s="375"/>
      <c r="D142" s="375"/>
      <c r="E142" s="375"/>
      <c r="F142" s="375"/>
      <c r="G142" s="375"/>
      <c r="H142" s="375"/>
      <c r="I142" s="375"/>
      <c r="J142" s="375"/>
      <c r="K142" s="375"/>
      <c r="L142" s="375"/>
      <c r="M142" s="375"/>
    </row>
    <row r="143" s="36" customFormat="1">
      <c r="B143" s="375"/>
      <c r="C143" s="375"/>
      <c r="D143" s="375"/>
      <c r="E143" s="375"/>
      <c r="F143" s="375"/>
      <c r="G143" s="375"/>
      <c r="H143" s="375"/>
      <c r="I143" s="375"/>
      <c r="J143" s="375"/>
      <c r="K143" s="375"/>
      <c r="L143" s="375"/>
      <c r="M143" s="375"/>
    </row>
    <row r="144" s="36" customFormat="1">
      <c r="B144" s="375"/>
      <c r="C144" s="375"/>
      <c r="D144" s="375"/>
      <c r="E144" s="375"/>
      <c r="F144" s="375"/>
      <c r="G144" s="375"/>
      <c r="H144" s="375"/>
      <c r="I144" s="375"/>
      <c r="J144" s="375"/>
      <c r="K144" s="375"/>
      <c r="L144" s="375"/>
      <c r="M144" s="375"/>
    </row>
    <row r="145" s="36" customFormat="1">
      <c r="B145" s="375"/>
      <c r="C145" s="375"/>
      <c r="D145" s="375"/>
      <c r="E145" s="375"/>
      <c r="F145" s="375"/>
      <c r="G145" s="375"/>
      <c r="H145" s="375"/>
      <c r="I145" s="375"/>
      <c r="J145" s="375"/>
      <c r="K145" s="375"/>
      <c r="L145" s="375"/>
      <c r="M145" s="375"/>
    </row>
    <row r="146" s="36" customFormat="1">
      <c r="B146" s="375"/>
      <c r="C146" s="375"/>
      <c r="D146" s="375"/>
      <c r="E146" s="375"/>
      <c r="F146" s="375"/>
      <c r="G146" s="375"/>
      <c r="H146" s="375"/>
      <c r="I146" s="375"/>
      <c r="J146" s="375"/>
      <c r="K146" s="375"/>
      <c r="L146" s="375"/>
      <c r="M146" s="375"/>
    </row>
    <row r="147" s="36" customFormat="1">
      <c r="B147" s="375"/>
      <c r="C147" s="375"/>
      <c r="D147" s="375"/>
      <c r="E147" s="375"/>
      <c r="F147" s="375"/>
      <c r="G147" s="375"/>
      <c r="H147" s="375"/>
      <c r="I147" s="375"/>
      <c r="J147" s="375"/>
      <c r="K147" s="375"/>
      <c r="L147" s="375"/>
      <c r="M147" s="375"/>
    </row>
    <row r="148" s="36" customFormat="1">
      <c r="B148" s="375"/>
      <c r="C148" s="375"/>
      <c r="D148" s="375"/>
      <c r="E148" s="375"/>
      <c r="F148" s="375"/>
      <c r="G148" s="375"/>
      <c r="H148" s="375"/>
      <c r="I148" s="375"/>
      <c r="J148" s="375"/>
      <c r="K148" s="375"/>
      <c r="L148" s="375"/>
      <c r="M148" s="375"/>
    </row>
    <row r="149" s="36" customFormat="1">
      <c r="B149" s="375"/>
      <c r="C149" s="375"/>
      <c r="D149" s="375"/>
      <c r="E149" s="375"/>
      <c r="F149" s="375"/>
      <c r="G149" s="375"/>
      <c r="H149" s="375"/>
      <c r="I149" s="375"/>
      <c r="J149" s="375"/>
      <c r="K149" s="375"/>
      <c r="L149" s="375"/>
      <c r="M149" s="375"/>
    </row>
    <row r="150" s="36" customFormat="1">
      <c r="B150" s="375"/>
      <c r="C150" s="375"/>
      <c r="D150" s="375"/>
      <c r="E150" s="375"/>
      <c r="F150" s="375"/>
      <c r="G150" s="375"/>
      <c r="H150" s="375"/>
      <c r="I150" s="375"/>
      <c r="J150" s="375"/>
      <c r="K150" s="375"/>
      <c r="L150" s="375"/>
      <c r="M150" s="375"/>
    </row>
    <row r="151" s="36" customFormat="1">
      <c r="B151" s="375"/>
      <c r="C151" s="375"/>
      <c r="D151" s="375"/>
      <c r="E151" s="375"/>
      <c r="F151" s="375"/>
      <c r="G151" s="375"/>
      <c r="H151" s="375"/>
      <c r="I151" s="375"/>
      <c r="J151" s="375"/>
      <c r="K151" s="375"/>
      <c r="L151" s="375"/>
      <c r="M151" s="375"/>
    </row>
    <row r="152" s="36" customFormat="1">
      <c r="B152" s="375"/>
      <c r="C152" s="375"/>
      <c r="D152" s="375"/>
      <c r="E152" s="375"/>
      <c r="F152" s="375"/>
      <c r="G152" s="375"/>
      <c r="H152" s="375"/>
      <c r="I152" s="375"/>
      <c r="J152" s="375"/>
      <c r="K152" s="375"/>
      <c r="L152" s="375"/>
      <c r="M152" s="375"/>
    </row>
    <row r="153" s="36" customFormat="1">
      <c r="B153" s="375"/>
      <c r="C153" s="375"/>
      <c r="D153" s="375"/>
      <c r="E153" s="375"/>
      <c r="F153" s="375"/>
      <c r="G153" s="375"/>
      <c r="H153" s="375"/>
      <c r="I153" s="375"/>
      <c r="J153" s="375"/>
      <c r="K153" s="375"/>
      <c r="L153" s="375"/>
      <c r="M153" s="375"/>
    </row>
    <row r="154" s="36" customFormat="1">
      <c r="B154" s="375"/>
      <c r="C154" s="375"/>
      <c r="D154" s="375"/>
      <c r="E154" s="375"/>
      <c r="F154" s="375"/>
      <c r="G154" s="375"/>
      <c r="H154" s="375"/>
      <c r="I154" s="375"/>
      <c r="J154" s="375"/>
      <c r="K154" s="375"/>
      <c r="L154" s="375"/>
      <c r="M154" s="375"/>
    </row>
    <row r="155" s="36" customFormat="1">
      <c r="B155" s="375"/>
      <c r="C155" s="375"/>
      <c r="D155" s="375"/>
      <c r="E155" s="375"/>
      <c r="F155" s="375"/>
      <c r="G155" s="375"/>
      <c r="H155" s="375"/>
      <c r="I155" s="375"/>
      <c r="J155" s="375"/>
      <c r="K155" s="375"/>
      <c r="L155" s="375"/>
      <c r="M155" s="375"/>
    </row>
    <row r="156" s="36" customFormat="1">
      <c r="B156" s="375"/>
      <c r="C156" s="375"/>
      <c r="D156" s="375"/>
      <c r="E156" s="375"/>
      <c r="F156" s="375"/>
      <c r="G156" s="375"/>
      <c r="H156" s="375"/>
      <c r="I156" s="375"/>
      <c r="J156" s="375"/>
      <c r="K156" s="375"/>
      <c r="L156" s="375"/>
      <c r="M156" s="375"/>
    </row>
    <row r="157" s="36" customFormat="1">
      <c r="B157" s="375"/>
      <c r="C157" s="375"/>
      <c r="D157" s="375"/>
      <c r="E157" s="375"/>
      <c r="F157" s="375"/>
      <c r="G157" s="375"/>
      <c r="H157" s="375"/>
      <c r="I157" s="375"/>
      <c r="J157" s="375"/>
      <c r="K157" s="375"/>
      <c r="L157" s="375"/>
      <c r="M157" s="375"/>
    </row>
    <row r="158" s="36" customFormat="1">
      <c r="B158" s="375"/>
      <c r="C158" s="375"/>
      <c r="D158" s="375"/>
      <c r="E158" s="375"/>
      <c r="F158" s="375"/>
      <c r="G158" s="375"/>
      <c r="H158" s="375"/>
      <c r="I158" s="375"/>
      <c r="J158" s="375"/>
      <c r="K158" s="375"/>
      <c r="L158" s="375"/>
      <c r="M158" s="375"/>
    </row>
    <row r="159" s="36" customFormat="1">
      <c r="B159" s="375"/>
      <c r="C159" s="375"/>
      <c r="D159" s="375"/>
      <c r="E159" s="375"/>
      <c r="F159" s="375"/>
      <c r="G159" s="375"/>
      <c r="H159" s="375"/>
      <c r="I159" s="375"/>
      <c r="J159" s="375"/>
      <c r="K159" s="375"/>
      <c r="L159" s="375"/>
      <c r="M159" s="375"/>
    </row>
    <row r="160" s="36" customFormat="1">
      <c r="B160" s="375"/>
      <c r="C160" s="375"/>
      <c r="D160" s="375"/>
      <c r="E160" s="375"/>
      <c r="F160" s="375"/>
      <c r="G160" s="375"/>
      <c r="H160" s="375"/>
      <c r="I160" s="375"/>
      <c r="J160" s="375"/>
      <c r="K160" s="375"/>
      <c r="L160" s="375"/>
      <c r="M160" s="375"/>
    </row>
    <row r="161" s="36" customFormat="1">
      <c r="B161" s="375"/>
      <c r="C161" s="375"/>
      <c r="D161" s="375"/>
      <c r="E161" s="375"/>
      <c r="F161" s="375"/>
      <c r="G161" s="375"/>
      <c r="H161" s="375"/>
      <c r="I161" s="375"/>
      <c r="J161" s="375"/>
      <c r="K161" s="375"/>
      <c r="L161" s="375"/>
      <c r="M161" s="375"/>
    </row>
    <row r="162" s="36" customFormat="1">
      <c r="B162" s="375"/>
      <c r="C162" s="375"/>
      <c r="D162" s="375"/>
      <c r="E162" s="375"/>
      <c r="F162" s="375"/>
      <c r="G162" s="375"/>
      <c r="H162" s="375"/>
      <c r="I162" s="375"/>
      <c r="J162" s="375"/>
      <c r="K162" s="375"/>
      <c r="L162" s="375"/>
      <c r="M162" s="375"/>
    </row>
    <row r="163" s="36" customFormat="1">
      <c r="B163" s="375"/>
      <c r="C163" s="375"/>
      <c r="D163" s="375"/>
      <c r="E163" s="375"/>
      <c r="F163" s="375"/>
      <c r="G163" s="375"/>
      <c r="H163" s="375"/>
      <c r="I163" s="375"/>
      <c r="J163" s="375"/>
      <c r="K163" s="375"/>
      <c r="L163" s="375"/>
      <c r="M163" s="375"/>
    </row>
    <row r="164" s="36" customFormat="1">
      <c r="B164" s="375"/>
      <c r="C164" s="375"/>
      <c r="D164" s="375"/>
      <c r="E164" s="375"/>
      <c r="F164" s="375"/>
      <c r="G164" s="375"/>
      <c r="H164" s="375"/>
      <c r="I164" s="375"/>
      <c r="J164" s="375"/>
      <c r="K164" s="375"/>
      <c r="L164" s="375"/>
      <c r="M164" s="375"/>
    </row>
    <row r="165" s="36" customFormat="1">
      <c r="B165" s="375"/>
      <c r="C165" s="375"/>
      <c r="D165" s="375"/>
      <c r="E165" s="375"/>
      <c r="F165" s="375"/>
      <c r="G165" s="375"/>
      <c r="H165" s="375"/>
      <c r="I165" s="375"/>
      <c r="J165" s="375"/>
      <c r="K165" s="375"/>
      <c r="L165" s="375"/>
      <c r="M165" s="375"/>
    </row>
    <row r="166" s="36" customFormat="1">
      <c r="B166" s="375"/>
      <c r="C166" s="375"/>
      <c r="D166" s="375"/>
      <c r="E166" s="375"/>
      <c r="F166" s="375"/>
      <c r="G166" s="375"/>
      <c r="H166" s="375"/>
      <c r="I166" s="375"/>
      <c r="J166" s="375"/>
      <c r="K166" s="375"/>
      <c r="L166" s="375"/>
      <c r="M166" s="375"/>
    </row>
    <row r="167" s="36" customFormat="1">
      <c r="B167" s="375"/>
      <c r="C167" s="375"/>
      <c r="D167" s="375"/>
      <c r="E167" s="375"/>
      <c r="F167" s="375"/>
      <c r="G167" s="375"/>
      <c r="H167" s="375"/>
      <c r="I167" s="375"/>
      <c r="J167" s="375"/>
      <c r="K167" s="375"/>
      <c r="L167" s="375"/>
      <c r="M167" s="375"/>
    </row>
    <row r="168" s="36" customFormat="1">
      <c r="B168" s="375"/>
      <c r="C168" s="375"/>
      <c r="D168" s="375"/>
      <c r="E168" s="375"/>
      <c r="F168" s="375"/>
      <c r="G168" s="375"/>
      <c r="H168" s="375"/>
      <c r="I168" s="375"/>
      <c r="J168" s="375"/>
      <c r="K168" s="375"/>
      <c r="L168" s="375"/>
      <c r="M168" s="375"/>
    </row>
    <row r="169" s="36" customFormat="1">
      <c r="B169" s="375"/>
      <c r="C169" s="375"/>
      <c r="D169" s="375"/>
      <c r="E169" s="375"/>
      <c r="F169" s="375"/>
      <c r="G169" s="375"/>
      <c r="H169" s="375"/>
      <c r="I169" s="375"/>
      <c r="J169" s="375"/>
      <c r="K169" s="375"/>
      <c r="L169" s="375"/>
      <c r="M169" s="375"/>
    </row>
    <row r="170" s="36" customFormat="1">
      <c r="B170" s="375"/>
      <c r="C170" s="375"/>
      <c r="D170" s="375"/>
      <c r="E170" s="375"/>
      <c r="F170" s="375"/>
      <c r="G170" s="375"/>
      <c r="H170" s="375"/>
      <c r="I170" s="375"/>
      <c r="J170" s="375"/>
      <c r="K170" s="375"/>
      <c r="L170" s="375"/>
      <c r="M170" s="375"/>
    </row>
    <row r="171" s="36" customFormat="1">
      <c r="B171" s="375"/>
      <c r="C171" s="375"/>
      <c r="D171" s="375"/>
      <c r="E171" s="375"/>
      <c r="F171" s="375"/>
      <c r="G171" s="375"/>
      <c r="H171" s="375"/>
      <c r="I171" s="375"/>
      <c r="J171" s="375"/>
      <c r="K171" s="375"/>
      <c r="L171" s="375"/>
      <c r="M171" s="375"/>
    </row>
    <row r="172" s="36" customFormat="1">
      <c r="B172" s="375"/>
      <c r="C172" s="375"/>
      <c r="D172" s="375"/>
      <c r="E172" s="375"/>
      <c r="F172" s="375"/>
      <c r="G172" s="375"/>
      <c r="H172" s="375"/>
      <c r="I172" s="375"/>
      <c r="J172" s="375"/>
      <c r="K172" s="375"/>
      <c r="L172" s="375"/>
      <c r="M172" s="375"/>
    </row>
    <row r="173" s="36" customFormat="1">
      <c r="B173" s="375"/>
      <c r="C173" s="375"/>
      <c r="D173" s="375"/>
      <c r="E173" s="375"/>
      <c r="F173" s="375"/>
      <c r="G173" s="375"/>
      <c r="H173" s="375"/>
      <c r="I173" s="375"/>
      <c r="J173" s="375"/>
      <c r="K173" s="375"/>
      <c r="L173" s="375"/>
      <c r="M173" s="375"/>
    </row>
    <row r="174" s="36" customFormat="1">
      <c r="B174" s="375"/>
      <c r="C174" s="375"/>
      <c r="D174" s="375"/>
      <c r="E174" s="375"/>
      <c r="F174" s="375"/>
      <c r="G174" s="375"/>
      <c r="H174" s="375"/>
      <c r="I174" s="375"/>
      <c r="J174" s="375"/>
      <c r="K174" s="375"/>
      <c r="L174" s="375"/>
      <c r="M174" s="375"/>
    </row>
    <row r="175" s="36" customFormat="1">
      <c r="B175" s="375"/>
      <c r="C175" s="375"/>
      <c r="D175" s="375"/>
      <c r="E175" s="375"/>
      <c r="F175" s="375"/>
      <c r="G175" s="375"/>
      <c r="H175" s="375"/>
      <c r="I175" s="375"/>
      <c r="J175" s="375"/>
      <c r="K175" s="375"/>
      <c r="L175" s="375"/>
      <c r="M175" s="375"/>
    </row>
  </sheetData>
  <printOptions headings="0" gridLines="0"/>
  <pageMargins left="0.25" right="0.25" top="0.75" bottom="0.75" header="0.29999999999999999" footer="0.29999999999999999"/>
  <pageSetup paperSize="9" scale="55" fitToWidth="1" fitToHeight="2" pageOrder="downThenOver" orientation="landscape" usePrinterDefaults="1" blackAndWhite="0" draft="0" cellComments="none" useFirstPageNumber="0" errors="displayed" horizontalDpi="300" verticalDpi="300" copies="1"/>
  <headerFooter/>
  <drawing r:id="rId1"/>
</worksheet>
</file>

<file path=xl/worksheets/sheet1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sheetPr>
    <outlinePr applyStyles="0" summaryBelow="1" summaryRight="1" showOutlineSymbols="1"/>
    <pageSetUpPr autoPageBreaks="1" fitToPage="1"/>
  </sheetPr>
  <sheetViews>
    <sheetView topLeftCell="F1" zoomScale="100" workbookViewId="0">
      <pane ySplit="4" topLeftCell="A5" activePane="bottomLeft" state="frozen"/>
      <selection activeCell="B61" activeCellId="0" sqref="B61"/>
    </sheetView>
  </sheetViews>
  <sheetFormatPr baseColWidth="10" defaultColWidth="10.6640625" defaultRowHeight="14.25" outlineLevelRow="1"/>
  <cols>
    <col customWidth="1" min="1" max="1" width="68"/>
    <col customWidth="1" min="2" max="2" style="374" width="21"/>
    <col customWidth="1" min="3" max="9" style="374" width="12.44140625"/>
    <col bestFit="1" customWidth="1" min="10" max="10" style="374" width="13.44140625"/>
    <col customWidth="1" min="11" max="11" style="374" width="12.44140625"/>
    <col bestFit="1" customWidth="1" min="12" max="12" style="374" width="12.88671875"/>
    <col customWidth="1" min="13" max="13" style="374" width="16.6640625"/>
    <col bestFit="1" min="14" max="14" style="410" width="12.90234375"/>
    <col min="15" max="38" style="36" width="10.6640625"/>
  </cols>
  <sheetData>
    <row r="1" s="36" customFormat="1" ht="21">
      <c r="A1" s="171" t="s">
        <v>372</v>
      </c>
      <c r="B1" s="375"/>
      <c r="C1" s="375"/>
      <c r="D1" s="375"/>
      <c r="E1" s="375"/>
      <c r="F1" s="375"/>
      <c r="G1" s="375"/>
      <c r="H1" s="375"/>
      <c r="I1" s="375"/>
      <c r="J1" s="375"/>
      <c r="K1" s="375"/>
      <c r="L1" s="375"/>
      <c r="M1" s="375"/>
      <c r="N1" s="410"/>
    </row>
    <row r="2" s="36" customFormat="1" ht="15">
      <c r="B2" s="375"/>
      <c r="C2" s="375"/>
      <c r="D2" s="375"/>
      <c r="E2" s="375"/>
      <c r="F2" s="375"/>
      <c r="G2" s="375"/>
      <c r="H2" s="375"/>
      <c r="I2" s="375"/>
      <c r="J2" s="375"/>
      <c r="K2" s="375"/>
      <c r="L2" s="375"/>
      <c r="M2" s="375"/>
      <c r="N2" s="410"/>
    </row>
    <row r="3" ht="15">
      <c r="A3" s="377"/>
      <c r="B3" s="378">
        <v>46023</v>
      </c>
      <c r="C3" s="378">
        <v>46054</v>
      </c>
      <c r="D3" s="378">
        <v>46082</v>
      </c>
      <c r="E3" s="378">
        <v>46113</v>
      </c>
      <c r="F3" s="378">
        <v>46143</v>
      </c>
      <c r="G3" s="378">
        <v>46174</v>
      </c>
      <c r="H3" s="378">
        <v>46204</v>
      </c>
      <c r="I3" s="378" t="s">
        <v>392</v>
      </c>
      <c r="J3" s="378">
        <v>46266</v>
      </c>
      <c r="K3" s="378">
        <v>46296</v>
      </c>
      <c r="L3" s="378">
        <v>46327</v>
      </c>
      <c r="M3" s="378" t="s">
        <v>393</v>
      </c>
      <c r="AM3" s="36"/>
      <c r="AN3" s="36"/>
    </row>
    <row r="4" ht="15">
      <c r="A4" s="379" t="s">
        <v>394</v>
      </c>
      <c r="B4" s="380">
        <v>0</v>
      </c>
      <c r="C4" s="380">
        <f>B128</f>
        <v>131482.28600000002</v>
      </c>
      <c r="D4" s="380">
        <f>C128</f>
        <v>-24839.413651926559</v>
      </c>
      <c r="E4" s="380">
        <f>D128</f>
        <v>133886.5371224565</v>
      </c>
      <c r="F4" s="380">
        <f>E128</f>
        <v>22841.77448083958</v>
      </c>
      <c r="G4" s="380">
        <f>F128</f>
        <v>306307.1021612226</v>
      </c>
      <c r="H4" s="380">
        <f t="shared" ref="H4:L4" si="336">+G128</f>
        <v>89176.195225605625</v>
      </c>
      <c r="I4" s="380">
        <f t="shared" si="336"/>
        <v>143044.29179598868</v>
      </c>
      <c r="J4" s="380">
        <f t="shared" si="336"/>
        <v>48932.737893646117</v>
      </c>
      <c r="K4" s="380">
        <f>+J128</f>
        <v>31841.738231303549</v>
      </c>
      <c r="L4" s="380">
        <f t="shared" si="336"/>
        <v>40564.382686696888</v>
      </c>
      <c r="M4" s="380">
        <f>+L128</f>
        <v>-1085.4302059097681</v>
      </c>
    </row>
    <row r="5" s="36" customFormat="1">
      <c r="B5" s="375"/>
      <c r="C5" s="375"/>
      <c r="D5" s="375"/>
      <c r="E5" s="375"/>
      <c r="F5" s="375"/>
      <c r="G5" s="375"/>
      <c r="H5" s="375"/>
      <c r="I5" s="381"/>
      <c r="J5" s="381"/>
      <c r="K5" s="382">
        <v>138000</v>
      </c>
      <c r="L5" s="381"/>
      <c r="M5" s="381"/>
      <c r="N5" s="410"/>
    </row>
    <row r="6" s="383" customFormat="1">
      <c r="A6" s="384" t="s">
        <v>363</v>
      </c>
      <c r="B6" s="385">
        <f>B7+B21+B37+B38+B39+B40</f>
        <v>688648.65000000002</v>
      </c>
      <c r="C6" s="385">
        <f>C7+C21+C37+C38+C39+C40</f>
        <v>104007</v>
      </c>
      <c r="D6" s="385">
        <f>D7+D21+D37+D38+D39+D40</f>
        <v>85909</v>
      </c>
      <c r="E6" s="385">
        <f>E7+E21+E37+E38+E39+E40</f>
        <v>93033</v>
      </c>
      <c r="F6" s="385">
        <f>F7+F21+F37+F38+F39+F40</f>
        <v>882302</v>
      </c>
      <c r="G6" s="385">
        <f t="shared" ref="G6:M6" si="337">G7+G21+G37+G38+G39+G40</f>
        <v>47967</v>
      </c>
      <c r="H6" s="385">
        <f>H7+H21+H37+H38+H39+H40</f>
        <v>237008</v>
      </c>
      <c r="I6" s="385">
        <f>I7+I21+I37+I38+I39+I40</f>
        <v>82649</v>
      </c>
      <c r="J6" s="385">
        <f>J7+J21+J37+J38+J39+J40</f>
        <v>144774</v>
      </c>
      <c r="K6" s="385">
        <f>K7+K21+K37+K38+K39+K40</f>
        <v>147871</v>
      </c>
      <c r="L6" s="385">
        <f>L7+L21+L37+L38+L39+L40</f>
        <v>147196</v>
      </c>
      <c r="M6" s="385">
        <f t="shared" si="337"/>
        <v>257230</v>
      </c>
      <c r="N6" s="410"/>
      <c r="O6" s="36"/>
      <c r="P6" s="36"/>
      <c r="Q6" s="36"/>
      <c r="R6" s="36"/>
      <c r="S6" s="36"/>
      <c r="T6" s="36"/>
      <c r="U6" s="36"/>
      <c r="V6" s="36"/>
      <c r="W6" s="36"/>
      <c r="X6" s="36"/>
      <c r="Y6" s="36"/>
      <c r="Z6" s="36"/>
      <c r="AA6" s="36"/>
      <c r="AB6" s="36"/>
      <c r="AC6" s="36"/>
      <c r="AD6" s="36"/>
      <c r="AE6" s="36"/>
      <c r="AF6" s="36"/>
      <c r="AG6" s="36"/>
      <c r="AH6" s="36"/>
      <c r="AI6" s="36"/>
      <c r="AJ6" s="36"/>
      <c r="AK6" s="36"/>
      <c r="AL6" s="36"/>
    </row>
    <row r="7" s="386" customFormat="1">
      <c r="A7" s="387" t="s">
        <v>364</v>
      </c>
      <c r="B7" s="388">
        <f>SUM(B8:B20)</f>
        <v>70000</v>
      </c>
      <c r="C7" s="388">
        <f>SUM(C8:C20)</f>
        <v>103507</v>
      </c>
      <c r="D7" s="388">
        <f>SUM(D8:D39)</f>
        <v>85409</v>
      </c>
      <c r="E7" s="388">
        <f>SUM(E8:E20)</f>
        <v>92533</v>
      </c>
      <c r="F7" s="388">
        <f>SUM(F8:F20)</f>
        <v>29967</v>
      </c>
      <c r="G7" s="388">
        <f>SUM(G8:G39)</f>
        <v>47467</v>
      </c>
      <c r="H7" s="388">
        <f>SUM(H8:H19)</f>
        <v>87276</v>
      </c>
      <c r="I7" s="388">
        <f>SUM(I8:I20)</f>
        <v>58217</v>
      </c>
      <c r="J7" s="388">
        <f>SUM(J8:J20)</f>
        <v>108860</v>
      </c>
      <c r="K7" s="388">
        <f>SUM(K8:K20)</f>
        <v>112839</v>
      </c>
      <c r="L7" s="388">
        <f>SUM(L8:L20)</f>
        <v>66964</v>
      </c>
      <c r="M7" s="388">
        <f>SUM(M8:M20)</f>
        <v>241998</v>
      </c>
      <c r="N7" s="411"/>
      <c r="O7" s="63"/>
      <c r="P7" s="63"/>
      <c r="Q7" s="63"/>
      <c r="R7" s="63"/>
      <c r="S7" s="63"/>
      <c r="T7" s="63"/>
      <c r="U7" s="63"/>
      <c r="V7" s="63"/>
      <c r="W7" s="63"/>
      <c r="X7" s="63"/>
      <c r="Y7" s="63"/>
      <c r="Z7" s="63"/>
      <c r="AA7" s="63"/>
      <c r="AB7" s="63"/>
      <c r="AC7" s="63"/>
      <c r="AD7" s="63"/>
      <c r="AE7" s="63"/>
      <c r="AF7" s="63"/>
      <c r="AG7" s="63"/>
      <c r="AH7" s="63"/>
      <c r="AI7" s="63"/>
      <c r="AJ7" s="63"/>
      <c r="AK7" s="63"/>
      <c r="AL7" s="63"/>
    </row>
    <row r="8" outlineLevel="1">
      <c r="A8" s="389" t="str">
        <f>'Compte résultat prévi'!A7</f>
        <v xml:space="preserve">Droits d'inscription</v>
      </c>
      <c r="B8" s="390">
        <f>IF('Hypotheses expl (2)'!$P$10="0j",'Hypotheses expl (2)'!C10,IF('Hypotheses expl (2)'!$P$10="30j",'Hypotheses expl (2)'!B10,'Hypotheses expl (2)'!A10))</f>
        <v>0</v>
      </c>
      <c r="C8" s="390">
        <v>4040</v>
      </c>
      <c r="D8" s="390">
        <f>IF('Hypotheses expl (2)'!$P$10="0j",'Hypotheses expl (2)'!E10,IF('Hypotheses expl (2)'!$P$10="30j",'Hypotheses expl (2)'!D10,'Hypotheses expl (2)'!C10))</f>
        <v>0</v>
      </c>
      <c r="E8" s="390">
        <f>IF('Hypotheses expl (2)'!$P$10="0j",'Hypotheses expl (2)'!F10,IF('Hypotheses expl (2)'!$P$10="30j",'Hypotheses expl (2)'!E10,'Hypotheses expl (2)'!D10))</f>
        <v>0</v>
      </c>
      <c r="F8" s="390">
        <f>IF('Hypotheses expl (2)'!$P$10="0j",'Hypotheses expl (2)'!G10,IF('Hypotheses expl (2)'!$P$10="30j",'Hypotheses expl (2)'!F10,'Hypotheses expl (2)'!E10))</f>
        <v>0</v>
      </c>
      <c r="G8" s="390">
        <f>IF('Hypotheses expl (2)'!$P$10="0j",'Hypotheses expl (2)'!H10,IF('Hypotheses expl (2)'!$P$10="30j",'Hypotheses expl (2)'!G10,'Hypotheses expl (2)'!F10))</f>
        <v>0</v>
      </c>
      <c r="H8" s="390">
        <f>IF('Hypotheses expl (2)'!$P$10="0j",'Hypotheses expl (2)'!I10,IF('Hypotheses expl (2)'!$P$10="30j",'Hypotheses expl (2)'!H10,'Hypotheses expl (2)'!G10))</f>
        <v>0</v>
      </c>
      <c r="I8" s="390">
        <v>28050</v>
      </c>
      <c r="J8" s="390">
        <v>29260</v>
      </c>
      <c r="K8" s="390">
        <v>13505</v>
      </c>
      <c r="L8" s="390">
        <f>IF('Hypotheses expl (2)'!$P$10="0j",'Hypotheses expl (2)'!M10,IF('Hypotheses expl (2)'!$P$10="30j",'Hypotheses expl (2)'!L10,'Hypotheses expl (2)'!K10))</f>
        <v>14630</v>
      </c>
      <c r="M8" s="390">
        <f>IF('Hypotheses expl (2)'!$P$10="0j",'Hypotheses expl (2)'!N10,IF('Hypotheses expl (2)'!$P$10="30j",'Hypotheses expl (2)'!M10,'Hypotheses expl (2)'!L10))</f>
        <v>0</v>
      </c>
      <c r="N8" s="410">
        <f>SUM(B8:M8)/12</f>
        <v>7457.083333333333</v>
      </c>
    </row>
    <row r="9" outlineLevel="1">
      <c r="A9" s="389" t="str">
        <f>'Compte résultat prévi'!A8</f>
        <v xml:space="preserve">Frais de selection</v>
      </c>
      <c r="B9" s="390">
        <f>IF('Hypotheses expl (2)'!$P$14="0j",'Hypotheses expl (2)'!C14,IF('Hypotheses expl (2)'!$P$14="30j",'Hypotheses expl (2)'!B14,'Hypotheses expl (2)'!A14))</f>
        <v>0</v>
      </c>
      <c r="C9" s="390">
        <f>IF('Hypotheses expl (2)'!$P$14="0j",'Hypotheses expl (2)'!D14,IF('Hypotheses expl (2)'!$P$14="30j",'Hypotheses expl (2)'!C14,'Hypotheses expl (2)'!B14))</f>
        <v>0</v>
      </c>
      <c r="D9" s="390">
        <f>IF('Hypotheses expl (2)'!$P$14="0j",'Hypotheses expl (2)'!E14,IF('Hypotheses expl (2)'!$P$14="30j",'Hypotheses expl (2)'!D14,'Hypotheses expl (2)'!C14))</f>
        <v>0</v>
      </c>
      <c r="E9" s="390">
        <v>26000</v>
      </c>
      <c r="F9" s="390">
        <v>4000</v>
      </c>
      <c r="G9" s="390">
        <v>3000</v>
      </c>
      <c r="H9" s="390">
        <f>IF('Hypotheses expl (2)'!$P$14="0j",'Hypotheses expl (2)'!I14,IF('Hypotheses expl (2)'!$P$14="30j",'Hypotheses expl (2)'!H14,'Hypotheses expl (2)'!G14))</f>
        <v>0</v>
      </c>
      <c r="I9" s="390">
        <f>IF('Hypotheses expl (2)'!$P$14="0j",'Hypotheses expl (2)'!J14,IF('Hypotheses expl (2)'!$P$14="30j",'Hypotheses expl (2)'!I14,'Hypotheses expl (2)'!H14))</f>
        <v>0</v>
      </c>
      <c r="J9" s="390">
        <f>IF('Hypotheses expl (2)'!$P$14="0j",'Hypotheses expl (2)'!K14,IF('Hypotheses expl (2)'!$P$14="30j",'Hypotheses expl (2)'!J14,'Hypotheses expl (2)'!I14))</f>
        <v>0</v>
      </c>
      <c r="K9" s="390">
        <f>IF('Hypotheses expl (2)'!$P$14="0j",'Hypotheses expl (2)'!L14,IF('Hypotheses expl (2)'!$P$14="30j",'Hypotheses expl (2)'!K14,'Hypotheses expl (2)'!J14))</f>
        <v>0</v>
      </c>
      <c r="L9" s="390">
        <f>IF('Hypotheses expl (2)'!$P$14="0j",'Hypotheses expl (2)'!M14,IF('Hypotheses expl (2)'!$P$14="30j",'Hypotheses expl (2)'!L14,'Hypotheses expl (2)'!K14))</f>
        <v>0</v>
      </c>
      <c r="M9" s="390">
        <f>IF('Hypotheses expl (2)'!$P$14="0j",'Hypotheses expl (2)'!N14,IF('Hypotheses expl (2)'!$P$14="30j",'Hypotheses expl (2)'!M14,'Hypotheses expl (2)'!L14))</f>
        <v>0</v>
      </c>
      <c r="N9" s="410">
        <f>SUM(B9:M9)/12</f>
        <v>2750</v>
      </c>
    </row>
    <row r="10" outlineLevel="1">
      <c r="A10" s="389" t="str">
        <f>'Compte résultat prévi'!A9</f>
        <v xml:space="preserve">Conventions formation (CAFERUIS, ALEFPA, Prepa, CNFPT, GAP, Formation perm)</v>
      </c>
      <c r="B10" s="390">
        <v>0</v>
      </c>
      <c r="C10" s="390">
        <v>42500</v>
      </c>
      <c r="D10" s="390">
        <v>51000</v>
      </c>
      <c r="E10" s="390">
        <v>10000</v>
      </c>
      <c r="F10" s="390">
        <v>10000</v>
      </c>
      <c r="G10" s="390">
        <v>10000</v>
      </c>
      <c r="H10" s="390">
        <v>46000</v>
      </c>
      <c r="I10" s="390">
        <v>19200</v>
      </c>
      <c r="J10" s="390">
        <v>0</v>
      </c>
      <c r="K10" s="390">
        <v>50000</v>
      </c>
      <c r="L10" s="390">
        <v>14000</v>
      </c>
      <c r="M10" s="390">
        <v>55000</v>
      </c>
      <c r="N10" s="410">
        <f>SUM(B10:M10)/12</f>
        <v>25641.666666666668</v>
      </c>
    </row>
    <row r="11" outlineLevel="1">
      <c r="A11" s="389" t="s">
        <v>395</v>
      </c>
      <c r="B11" s="390">
        <v>5000</v>
      </c>
      <c r="C11" s="390">
        <v>4167</v>
      </c>
      <c r="D11" s="390">
        <v>10134</v>
      </c>
      <c r="E11" s="390">
        <v>7167</v>
      </c>
      <c r="F11" s="390">
        <v>4167</v>
      </c>
      <c r="G11" s="390">
        <v>4167</v>
      </c>
      <c r="H11" s="390">
        <v>4167</v>
      </c>
      <c r="I11" s="390">
        <v>4167</v>
      </c>
      <c r="J11" s="390">
        <v>9600</v>
      </c>
      <c r="K11" s="390">
        <v>8334</v>
      </c>
      <c r="L11" s="390">
        <v>8334</v>
      </c>
      <c r="M11" s="390">
        <v>14334</v>
      </c>
      <c r="N11" s="410">
        <f>SUM(B11:M11)/12</f>
        <v>6978.166666666667</v>
      </c>
    </row>
    <row r="12" outlineLevel="1">
      <c r="A12" s="389" t="str">
        <f>'Compte résultat prévi'!A11</f>
        <v>Apprentissage</v>
      </c>
      <c r="B12" s="390"/>
      <c r="C12" s="390"/>
      <c r="D12" s="390">
        <v>8275</v>
      </c>
      <c r="E12" s="390">
        <v>43966</v>
      </c>
      <c r="F12" s="390">
        <f>IF('Hypotheses expl (2)'!$P$26="0j",'Hypotheses expl (2)'!G26,IF('Hypotheses expl (2)'!$P$26="30j",'Hypotheses expl (2)'!F26,'Hypotheses expl (2)'!E26))</f>
        <v>0</v>
      </c>
      <c r="G12" s="390">
        <v>0</v>
      </c>
      <c r="H12" s="390">
        <v>23459</v>
      </c>
      <c r="I12" s="390">
        <f>IF('Hypotheses expl (2)'!$P$26="0j",'Hypotheses expl (2)'!J26,IF('Hypotheses expl (2)'!$P$26="30j",'Hypotheses expl (2)'!I26,'Hypotheses expl (2)'!H26))</f>
        <v>0</v>
      </c>
      <c r="J12" s="390">
        <v>60000</v>
      </c>
      <c r="K12" s="390">
        <v>36000</v>
      </c>
      <c r="L12" s="390">
        <f>IF('Hypotheses expl (2)'!$P$26="0j",'Hypotheses expl (2)'!M26,IF('Hypotheses expl (2)'!$P$26="30j",'Hypotheses expl (2)'!L26,'Hypotheses expl (2)'!K26))</f>
        <v>0</v>
      </c>
      <c r="M12" s="390">
        <v>60000</v>
      </c>
      <c r="N12" s="410">
        <f>SUM(B12:M12)/12</f>
        <v>19308.333333333332</v>
      </c>
    </row>
    <row r="13" outlineLevel="1">
      <c r="A13" s="389" t="str">
        <f>'Compte résultat prévi'!A12</f>
        <v>VAE</v>
      </c>
      <c r="B13" s="390">
        <v>13000</v>
      </c>
      <c r="C13" s="390">
        <v>10000</v>
      </c>
      <c r="D13" s="390">
        <f>IF('Hypotheses expl (2)'!$P$30="0j",'Hypotheses expl (2)'!E30,IF('Hypotheses expl (2)'!$P$30="30j",'Hypotheses expl (2)'!D30,'Hypotheses expl (2)'!C30))</f>
        <v>0</v>
      </c>
      <c r="E13" s="390">
        <f>IF('Hypotheses expl (2)'!$P$30="0j",'Hypotheses expl (2)'!F30,IF('Hypotheses expl (2)'!$P$30="30j",'Hypotheses expl (2)'!E30,'Hypotheses expl (2)'!D30))</f>
        <v>0</v>
      </c>
      <c r="F13" s="390">
        <f>IF('Hypotheses expl (2)'!$P$30="0j",'Hypotheses expl (2)'!G30,IF('Hypotheses expl (2)'!$P$30="30j",'Hypotheses expl (2)'!F30,'Hypotheses expl (2)'!E30))</f>
        <v>0</v>
      </c>
      <c r="G13" s="390">
        <f>IF('Hypotheses expl (2)'!$P$30="0j",'Hypotheses expl (2)'!H30,IF('Hypotheses expl (2)'!$P$30="30j",'Hypotheses expl (2)'!G30,'Hypotheses expl (2)'!F30))</f>
        <v>0</v>
      </c>
      <c r="H13" s="390">
        <f>IF('Hypotheses expl (2)'!$P$30="0j",'Hypotheses expl (2)'!I30,IF('Hypotheses expl (2)'!$P$30="30j",'Hypotheses expl (2)'!H30,'Hypotheses expl (2)'!G30))</f>
        <v>0</v>
      </c>
      <c r="I13" s="390">
        <f>IF('Hypotheses expl (2)'!$P$30="0j",'Hypotheses expl (2)'!J30,IF('Hypotheses expl (2)'!$P$30="30j",'Hypotheses expl (2)'!I30,'Hypotheses expl (2)'!H30))</f>
        <v>0</v>
      </c>
      <c r="J13" s="390">
        <f>IF('Hypotheses expl (2)'!$P$30="0j",'Hypotheses expl (2)'!K30,IF('Hypotheses expl (2)'!$P$30="30j",'Hypotheses expl (2)'!J30,'Hypotheses expl (2)'!I30))</f>
        <v>0</v>
      </c>
      <c r="K13" s="390">
        <f>IF('Hypotheses expl (2)'!$P$30="0j",'Hypotheses expl (2)'!L30,IF('Hypotheses expl (2)'!$P$30="30j",'Hypotheses expl (2)'!K30,'Hypotheses expl (2)'!J30))</f>
        <v>0</v>
      </c>
      <c r="L13" s="390">
        <v>20000</v>
      </c>
      <c r="M13" s="390">
        <v>48864</v>
      </c>
      <c r="N13" s="410">
        <f>SUM(B13:M13)/12</f>
        <v>7655.333333333333</v>
      </c>
    </row>
    <row r="14" outlineLevel="1">
      <c r="A14" s="389" t="str">
        <f>'Compte résultat prévi'!A13</f>
        <v xml:space="preserve">Formation continue - micro formation</v>
      </c>
      <c r="B14" s="390">
        <v>52000</v>
      </c>
      <c r="C14" s="390">
        <v>30000</v>
      </c>
      <c r="D14" s="390">
        <v>15000</v>
      </c>
      <c r="E14" s="390">
        <v>3000</v>
      </c>
      <c r="F14" s="390">
        <v>10000</v>
      </c>
      <c r="G14" s="390">
        <v>9000</v>
      </c>
      <c r="H14" s="390">
        <v>13650</v>
      </c>
      <c r="I14" s="390"/>
      <c r="J14" s="390">
        <v>5000</v>
      </c>
      <c r="K14" s="390">
        <v>0</v>
      </c>
      <c r="L14" s="390">
        <v>5000</v>
      </c>
      <c r="M14" s="390">
        <v>57000</v>
      </c>
      <c r="N14" s="410">
        <f>SUM(B14:M14)/12</f>
        <v>16637.5</v>
      </c>
    </row>
    <row r="15" outlineLevel="1">
      <c r="A15" s="389" t="str">
        <f>'Compte résultat prévi'!A14</f>
        <v>DSB</v>
      </c>
      <c r="B15" s="390">
        <f>IF('Hypotheses expl (2)'!$P$38="0j",'Hypotheses expl (2)'!C38,IF('Hypotheses expl (2)'!$P$38="30j",'Hypotheses expl (2)'!B38,'Hypotheses expl (2)'!A38))</f>
        <v>0</v>
      </c>
      <c r="C15" s="390">
        <f>IF('Hypotheses expl (2)'!$P$38="0j",'Hypotheses expl (2)'!D38,IF('Hypotheses expl (2)'!$P$38="30j",'Hypotheses expl (2)'!C38,'Hypotheses expl (2)'!B38))</f>
        <v>0</v>
      </c>
      <c r="D15" s="390">
        <f>IF('Hypotheses expl (2)'!$P$38="0j",'Hypotheses expl (2)'!E38,IF('Hypotheses expl (2)'!$P$38="30j",'Hypotheses expl (2)'!D38,'Hypotheses expl (2)'!C38))</f>
        <v>0</v>
      </c>
      <c r="E15" s="390">
        <f>IF('Hypotheses expl (2)'!$P$38="0j",'Hypotheses expl (2)'!F38,IF('Hypotheses expl (2)'!$P$38="30j",'Hypotheses expl (2)'!E38,'Hypotheses expl (2)'!D38))</f>
        <v>0</v>
      </c>
      <c r="F15" s="390">
        <f>IF('Hypotheses expl (2)'!$P$38="0j",'Hypotheses expl (2)'!G38,IF('Hypotheses expl (2)'!$P$38="30j",'Hypotheses expl (2)'!F38,'Hypotheses expl (2)'!E38))</f>
        <v>0</v>
      </c>
      <c r="G15" s="390">
        <f>IF('Hypotheses expl (2)'!$P$38="0j",'Hypotheses expl (2)'!H38,IF('Hypotheses expl (2)'!$P$38="30j",'Hypotheses expl (2)'!G38,'Hypotheses expl (2)'!F38))</f>
        <v>0</v>
      </c>
      <c r="H15" s="390">
        <f>IF('Hypotheses expl (2)'!$P$38="0j",'Hypotheses expl (2)'!I38,IF('Hypotheses expl (2)'!$P$38="30j",'Hypotheses expl (2)'!H38,'Hypotheses expl (2)'!G38))</f>
        <v>0</v>
      </c>
      <c r="I15" s="390">
        <f>IF('Hypotheses expl (2)'!$P$38="0j",'Hypotheses expl (2)'!J38,IF('Hypotheses expl (2)'!$P$38="30j",'Hypotheses expl (2)'!I38,'Hypotheses expl (2)'!H38))</f>
        <v>0</v>
      </c>
      <c r="J15" s="390">
        <f>IF('Hypotheses expl (2)'!$P$38="0j",'Hypotheses expl (2)'!K38,IF('Hypotheses expl (2)'!$P$38="30j",'Hypotheses expl (2)'!J38,'Hypotheses expl (2)'!I38))</f>
        <v>0</v>
      </c>
      <c r="K15" s="390">
        <f>IF('Hypotheses expl (2)'!$P$38="0j",'Hypotheses expl (2)'!L38,IF('Hypotheses expl (2)'!$P$38="30j",'Hypotheses expl (2)'!K38,'Hypotheses expl (2)'!J38))</f>
        <v>0</v>
      </c>
      <c r="L15" s="390">
        <f>IF('Hypotheses expl (2)'!$P$38="0j",'Hypotheses expl (2)'!M38,IF('Hypotheses expl (2)'!$P$38="30j",'Hypotheses expl (2)'!L38,'Hypotheses expl (2)'!K38))</f>
        <v>0</v>
      </c>
      <c r="M15" s="390">
        <f>IF('Hypotheses expl (2)'!$P$38="0j",'Hypotheses expl (2)'!N38,IF('Hypotheses expl (2)'!$P$38="30j",'Hypotheses expl (2)'!M38,'Hypotheses expl (2)'!L38))</f>
        <v>0</v>
      </c>
      <c r="N15" s="410">
        <f>SUM(B15:M15)/12</f>
        <v>0</v>
      </c>
    </row>
    <row r="16" outlineLevel="1">
      <c r="A16" s="389" t="str">
        <f>'Compte résultat prévi'!A15</f>
        <v xml:space="preserve">Autres segments de CA</v>
      </c>
      <c r="B16" s="390"/>
      <c r="C16" s="390">
        <f>IF('Hypotheses expl (2)'!$P$42="0j",'Hypotheses expl (2)'!D42,IF('Hypotheses expl (2)'!$P$42="30j",'Hypotheses expl (2)'!C42,'Hypotheses expl (2)'!B42))</f>
        <v>0</v>
      </c>
      <c r="D16" s="390">
        <f>IF('Hypotheses expl (2)'!$P$42="0j",'Hypotheses expl (2)'!E42,IF('Hypotheses expl (2)'!$P$42="30j",'Hypotheses expl (2)'!D42,'Hypotheses expl (2)'!C42))</f>
        <v>0</v>
      </c>
      <c r="E16" s="390">
        <f>IF('Hypotheses expl (2)'!$P$42="0j",'Hypotheses expl (2)'!F42,IF('Hypotheses expl (2)'!$P$42="30j",'Hypotheses expl (2)'!E42,'Hypotheses expl (2)'!D42))</f>
        <v>0</v>
      </c>
      <c r="F16" s="390">
        <f>IF('Hypotheses expl (2)'!$P$42="0j",'Hypotheses expl (2)'!G42,IF('Hypotheses expl (2)'!$P$42="30j",'Hypotheses expl (2)'!F42,'Hypotheses expl (2)'!E42))</f>
        <v>0</v>
      </c>
      <c r="G16" s="390">
        <f>IF('Hypotheses expl (2)'!$P$42="0j",'Hypotheses expl (2)'!H42,IF('Hypotheses expl (2)'!$P$42="30j",'Hypotheses expl (2)'!G42,'Hypotheses expl (2)'!F42))</f>
        <v>0</v>
      </c>
      <c r="H16" s="390">
        <f>IF('Hypotheses expl (2)'!$P$42="0j",'Hypotheses expl (2)'!I42,IF('Hypotheses expl (2)'!$P$42="30j",'Hypotheses expl (2)'!H42,'Hypotheses expl (2)'!G42))</f>
        <v>0</v>
      </c>
      <c r="I16" s="390">
        <f>IF('Hypotheses expl (2)'!$P$42="0j",'Hypotheses expl (2)'!J42,IF('Hypotheses expl (2)'!$P$42="30j",'Hypotheses expl (2)'!I42,'Hypotheses expl (2)'!H42))</f>
        <v>0</v>
      </c>
      <c r="J16" s="390">
        <f>IF('Hypotheses expl (2)'!$P$42="0j",'Hypotheses expl (2)'!K42,IF('Hypotheses expl (2)'!$P$42="30j",'Hypotheses expl (2)'!J42,'Hypotheses expl (2)'!I42))</f>
        <v>0</v>
      </c>
      <c r="K16" s="390">
        <f>IF('Hypotheses expl (2)'!$P$42="0j",'Hypotheses expl (2)'!L42,IF('Hypotheses expl (2)'!$P$42="30j",'Hypotheses expl (2)'!K42,'Hypotheses expl (2)'!J42))</f>
        <v>0</v>
      </c>
      <c r="L16" s="390">
        <f>IF('Hypotheses expl (2)'!$P$42="0j",'Hypotheses expl (2)'!M42,IF('Hypotheses expl (2)'!$P$42="30j",'Hypotheses expl (2)'!L42,'Hypotheses expl (2)'!K42))</f>
        <v>0</v>
      </c>
      <c r="M16" s="390">
        <f>IF('Hypotheses expl (2)'!$P$42="0j",'Hypotheses expl (2)'!N42,IF('Hypotheses expl (2)'!$P$42="30j",'Hypotheses expl (2)'!M42,'Hypotheses expl (2)'!L42))</f>
        <v>0</v>
      </c>
      <c r="N16" s="410">
        <f>SUM(B16:M16)/12</f>
        <v>0</v>
      </c>
    </row>
    <row r="17" outlineLevel="1">
      <c r="A17" s="389" t="str">
        <f>'Compte résultat prévi'!A16</f>
        <v>Cotisations</v>
      </c>
      <c r="B17" s="390">
        <f>IF('Hypotheses expl (2)'!$P$46="0j",'Hypotheses expl (2)'!C46,IF('Hypotheses expl (2)'!$P$46="30j",'Hypotheses expl (2)'!B46,'Hypotheses expl (2)'!A46))</f>
        <v>0</v>
      </c>
      <c r="C17" s="390">
        <f>IF('Hypotheses expl (2)'!$P$46="0j",'Hypotheses expl (2)'!D46,IF('Hypotheses expl (2)'!$P$46="30j",'Hypotheses expl (2)'!C46,'Hypotheses expl (2)'!B46))</f>
        <v>0</v>
      </c>
      <c r="D17" s="390">
        <f>IF('Hypotheses expl (2)'!$P$46="0j",'Hypotheses expl (2)'!E46,IF('Hypotheses expl (2)'!$P$46="30j",'Hypotheses expl (2)'!D46,'Hypotheses expl (2)'!C46))</f>
        <v>0</v>
      </c>
      <c r="E17" s="390">
        <f>IF('Hypotheses expl (2)'!$P$46="0j",'Hypotheses expl (2)'!F46,IF('Hypotheses expl (2)'!$P$46="30j",'Hypotheses expl (2)'!E46,'Hypotheses expl (2)'!D46))</f>
        <v>0</v>
      </c>
      <c r="F17" s="390">
        <f>IF('Hypotheses expl (2)'!$P$46="0j",'Hypotheses expl (2)'!G46,IF('Hypotheses expl (2)'!$P$46="30j",'Hypotheses expl (2)'!F46,'Hypotheses expl (2)'!E46))</f>
        <v>0</v>
      </c>
      <c r="G17" s="390">
        <v>300</v>
      </c>
      <c r="H17" s="390">
        <f>IF('Hypotheses expl (2)'!$P$46="0j",'Hypotheses expl (2)'!I46,IF('Hypotheses expl (2)'!$P$46="30j",'Hypotheses expl (2)'!H46,'Hypotheses expl (2)'!G46))</f>
        <v>0</v>
      </c>
      <c r="I17" s="390">
        <f>IF('Hypotheses expl (2)'!$P$46="0j",'Hypotheses expl (2)'!J46,IF('Hypotheses expl (2)'!$P$46="30j",'Hypotheses expl (2)'!I46,'Hypotheses expl (2)'!H46))</f>
        <v>0</v>
      </c>
      <c r="J17" s="390">
        <f>IF('Hypotheses expl (2)'!$P$46="0j",'Hypotheses expl (2)'!K46,IF('Hypotheses expl (2)'!$P$46="30j",'Hypotheses expl (2)'!J46,'Hypotheses expl (2)'!I46))</f>
        <v>0</v>
      </c>
      <c r="K17" s="390">
        <f>IF('Hypotheses expl (2)'!$P$46="0j",'Hypotheses expl (2)'!L46,IF('Hypotheses expl (2)'!$P$46="30j",'Hypotheses expl (2)'!K46,'Hypotheses expl (2)'!J46))</f>
        <v>0</v>
      </c>
      <c r="L17" s="390">
        <f>IF('Hypotheses expl (2)'!$P$46="0j",'Hypotheses expl (2)'!M46,IF('Hypotheses expl (2)'!$P$46="30j",'Hypotheses expl (2)'!L46,'Hypotheses expl (2)'!K46))</f>
        <v>0</v>
      </c>
      <c r="M17" s="390">
        <f>IF('Hypotheses expl (2)'!$P$46="0j",'Hypotheses expl (2)'!N46,IF('Hypotheses expl (2)'!$P$46="30j",'Hypotheses expl (2)'!M46,'Hypotheses expl (2)'!L46))</f>
        <v>0</v>
      </c>
      <c r="N17" s="410">
        <f>SUM(B17:M17)/12</f>
        <v>25</v>
      </c>
    </row>
    <row r="18" outlineLevel="1">
      <c r="A18" s="389" t="str">
        <f>'Compte résultat prévi'!A17</f>
        <v xml:space="preserve">Remboursement frais site Avion</v>
      </c>
      <c r="B18" s="390">
        <f>IF('Hypotheses expl (2)'!$P$50="0j",'Hypotheses expl (2)'!C50,IF('Hypotheses expl (2)'!$P$50="30j",'Hypotheses expl (2)'!B50,'Hypotheses expl (2)'!A50))</f>
        <v>0</v>
      </c>
      <c r="C18" s="390"/>
      <c r="D18" s="390"/>
      <c r="E18" s="390">
        <f>IF('Hypotheses expl (2)'!$P$50="0j",'Hypotheses expl (2)'!F50,IF('Hypotheses expl (2)'!$P$50="30j",'Hypotheses expl (2)'!E50,'Hypotheses expl (2)'!D50))</f>
        <v>0</v>
      </c>
      <c r="F18" s="390">
        <f>IF('Hypotheses expl (2)'!$P$50="0j",'Hypotheses expl (2)'!G50,IF('Hypotheses expl (2)'!$P$50="30j",'Hypotheses expl (2)'!F50,'Hypotheses expl (2)'!E50))</f>
        <v>0</v>
      </c>
      <c r="G18" s="390"/>
      <c r="H18" s="390"/>
      <c r="I18" s="390">
        <f>IF('Hypotheses expl (2)'!$P$50="0j",'Hypotheses expl (2)'!J50,IF('Hypotheses expl (2)'!$P$50="30j",'Hypotheses expl (2)'!I50,'Hypotheses expl (2)'!H50))</f>
        <v>0</v>
      </c>
      <c r="J18" s="390">
        <f>IF('Hypotheses expl (2)'!$P$50="0j",'Hypotheses expl (2)'!K50,IF('Hypotheses expl (2)'!$P$50="30j",'Hypotheses expl (2)'!J50,'Hypotheses expl (2)'!I50))</f>
        <v>0</v>
      </c>
      <c r="K18" s="390">
        <v>0</v>
      </c>
      <c r="L18" s="390"/>
      <c r="M18" s="390">
        <v>0</v>
      </c>
      <c r="N18" s="410">
        <f>SUM(B18:M18)/12</f>
        <v>0</v>
      </c>
    </row>
    <row r="19" outlineLevel="1">
      <c r="A19" s="389" t="s">
        <v>386</v>
      </c>
      <c r="B19" s="390"/>
      <c r="C19" s="390">
        <v>7800</v>
      </c>
      <c r="D19" s="390"/>
      <c r="E19" s="390">
        <v>2400</v>
      </c>
      <c r="F19" s="390">
        <v>1800</v>
      </c>
      <c r="G19" s="390"/>
      <c r="H19" s="390"/>
      <c r="I19" s="390">
        <v>1800</v>
      </c>
      <c r="J19" s="390"/>
      <c r="K19" s="390"/>
      <c r="L19" s="390"/>
      <c r="M19" s="390">
        <v>1800</v>
      </c>
      <c r="N19" s="410">
        <f>SUM(B19:M19)/12</f>
        <v>1300</v>
      </c>
    </row>
    <row r="20" outlineLevel="1">
      <c r="A20" s="389" t="s">
        <v>387</v>
      </c>
      <c r="B20" s="390"/>
      <c r="C20" s="390">
        <v>5000</v>
      </c>
      <c r="D20" s="390"/>
      <c r="E20" s="390"/>
      <c r="F20" s="390"/>
      <c r="G20" s="390">
        <v>20000</v>
      </c>
      <c r="H20" s="390">
        <v>5200</v>
      </c>
      <c r="I20" s="390">
        <v>5000</v>
      </c>
      <c r="J20" s="390">
        <v>5000</v>
      </c>
      <c r="K20" s="390">
        <v>5000</v>
      </c>
      <c r="L20" s="390">
        <v>5000</v>
      </c>
      <c r="M20" s="390">
        <v>5000</v>
      </c>
      <c r="N20" s="410">
        <f>SUM(B20:M20)/12</f>
        <v>4600</v>
      </c>
    </row>
    <row r="21" s="386" customFormat="1">
      <c r="A21" s="387" t="str">
        <f>'Compte résultat prévi'!A18</f>
        <v xml:space="preserve">Subventions d'exploitation</v>
      </c>
      <c r="B21" s="388">
        <f>SUM(B22:B27)</f>
        <v>615500</v>
      </c>
      <c r="C21" s="388">
        <f t="shared" ref="C21:G21" si="338">SUM(C22:C36)</f>
        <v>500</v>
      </c>
      <c r="D21" s="388">
        <f>SUM(D22:D36)</f>
        <v>500</v>
      </c>
      <c r="E21" s="388">
        <f t="shared" si="338"/>
        <v>500</v>
      </c>
      <c r="F21" s="388">
        <f t="shared" si="338"/>
        <v>852335</v>
      </c>
      <c r="G21" s="388">
        <f t="shared" si="338"/>
        <v>500</v>
      </c>
      <c r="H21" s="388">
        <f>SUM(H24:H35)</f>
        <v>149732</v>
      </c>
      <c r="I21" s="388">
        <f>SUM(I22:I36)</f>
        <v>24432</v>
      </c>
      <c r="J21" s="388">
        <f>SUM(J22:J36)</f>
        <v>35914</v>
      </c>
      <c r="K21" s="388">
        <f>SUM(K22:K36)</f>
        <v>35032</v>
      </c>
      <c r="L21" s="388">
        <f>SUM(L22:L36)</f>
        <v>80232</v>
      </c>
      <c r="M21" s="388">
        <f>SUM(M22:M36)</f>
        <v>15232</v>
      </c>
      <c r="N21" s="411"/>
      <c r="O21" s="63"/>
      <c r="P21" s="63"/>
      <c r="Q21" s="63"/>
      <c r="R21" s="63"/>
      <c r="S21" s="63"/>
      <c r="T21" s="63"/>
      <c r="U21" s="63"/>
      <c r="V21" s="63"/>
      <c r="W21" s="63"/>
      <c r="X21" s="63"/>
      <c r="Y21" s="63"/>
      <c r="Z21" s="63"/>
      <c r="AA21" s="63"/>
      <c r="AB21" s="63"/>
      <c r="AC21" s="63"/>
      <c r="AD21" s="63"/>
      <c r="AE21" s="63"/>
      <c r="AF21" s="63"/>
      <c r="AG21" s="63"/>
      <c r="AH21" s="63"/>
      <c r="AI21" s="63"/>
      <c r="AJ21" s="63"/>
      <c r="AK21" s="63"/>
      <c r="AL21" s="63"/>
    </row>
    <row r="22" outlineLevel="1">
      <c r="A22" s="389" t="str">
        <f>'Compte résultat prévi'!A19</f>
        <v>Région</v>
      </c>
      <c r="B22" s="390">
        <v>604000</v>
      </c>
      <c r="C22" s="390">
        <v>0</v>
      </c>
      <c r="D22" s="390"/>
      <c r="E22" s="390"/>
      <c r="F22" s="390">
        <v>851835</v>
      </c>
      <c r="G22" s="390">
        <f>'Hypotheses expl (2)'!H70</f>
        <v>0</v>
      </c>
      <c r="H22" s="390"/>
      <c r="I22" s="390">
        <f>'Hypotheses expl (2)'!J70</f>
        <v>0</v>
      </c>
      <c r="J22" s="390"/>
      <c r="K22" s="390">
        <v>0</v>
      </c>
      <c r="L22" s="390"/>
      <c r="M22" s="390">
        <v>0</v>
      </c>
      <c r="N22" s="410">
        <f>SUM(B22:M22)/12</f>
        <v>121319.58333333333</v>
      </c>
    </row>
    <row r="23" outlineLevel="1">
      <c r="A23" s="389" t="str">
        <f>'Compte résultat prévi'!A20</f>
        <v>Département</v>
      </c>
      <c r="B23" s="390">
        <f>'Hypotheses expl (2)'!C71</f>
        <v>0</v>
      </c>
      <c r="C23" s="390">
        <f>'Hypotheses expl (2)'!D71</f>
        <v>0</v>
      </c>
      <c r="D23" s="390">
        <f>'Hypotheses expl (2)'!E71</f>
        <v>0</v>
      </c>
      <c r="E23" s="390">
        <f>'Hypotheses expl (2)'!F71</f>
        <v>0</v>
      </c>
      <c r="F23" s="390">
        <f>'Hypotheses expl (2)'!G71</f>
        <v>0</v>
      </c>
      <c r="G23" s="390">
        <f>'Hypotheses expl (2)'!H71</f>
        <v>0</v>
      </c>
      <c r="H23" s="390">
        <f>'Hypotheses expl (2)'!I71</f>
        <v>0</v>
      </c>
      <c r="I23" s="390">
        <f>'Hypotheses expl (2)'!J71</f>
        <v>0</v>
      </c>
      <c r="J23" s="390">
        <f>'Hypotheses expl (2)'!K71</f>
        <v>0</v>
      </c>
      <c r="K23" s="390">
        <f>'Hypotheses expl (2)'!L71</f>
        <v>0</v>
      </c>
      <c r="L23" s="390">
        <f>'Hypotheses expl (2)'!M71</f>
        <v>0</v>
      </c>
      <c r="M23" s="390">
        <f>'Hypotheses expl (2)'!N71</f>
        <v>0</v>
      </c>
      <c r="N23" s="410">
        <f>SUM(B23:M23)/12</f>
        <v>0</v>
      </c>
    </row>
    <row r="24" outlineLevel="1">
      <c r="A24" s="389" t="str">
        <f>'Compte résultat prévi'!A21</f>
        <v>Communes</v>
      </c>
      <c r="B24" s="390">
        <f>'Hypotheses expl (2)'!C72</f>
        <v>0</v>
      </c>
      <c r="C24" s="390">
        <f>'Hypotheses expl (2)'!D72</f>
        <v>0</v>
      </c>
      <c r="D24" s="390">
        <f>'Hypotheses expl (2)'!E72</f>
        <v>0</v>
      </c>
      <c r="E24" s="390">
        <f>'Hypotheses expl (2)'!F72</f>
        <v>0</v>
      </c>
      <c r="F24" s="390">
        <f>'Hypotheses expl (2)'!G72</f>
        <v>0</v>
      </c>
      <c r="G24" s="390">
        <f>'Hypotheses expl (2)'!H72</f>
        <v>0</v>
      </c>
      <c r="H24" s="390">
        <v>16000</v>
      </c>
      <c r="I24" s="390">
        <f>'Hypotheses expl (2)'!J72</f>
        <v>0</v>
      </c>
      <c r="J24" s="390">
        <v>15000</v>
      </c>
      <c r="K24" s="390">
        <f>'Hypotheses expl (2)'!L72</f>
        <v>0</v>
      </c>
      <c r="L24" s="390">
        <f>'Hypotheses expl (2)'!M72</f>
        <v>0</v>
      </c>
      <c r="M24" s="390">
        <f>'Hypotheses expl (2)'!N72</f>
        <v>0</v>
      </c>
      <c r="N24" s="410">
        <f>SUM(B24:M24)/12</f>
        <v>2583.3333333333335</v>
      </c>
    </row>
    <row r="25" outlineLevel="1">
      <c r="A25" s="389" t="str">
        <f>'Compte résultat prévi'!A22</f>
        <v xml:space="preserve">Autres financeurs</v>
      </c>
      <c r="B25" s="390">
        <v>11000</v>
      </c>
      <c r="C25" s="390">
        <f>'Hypotheses expl (2)'!D73</f>
        <v>0</v>
      </c>
      <c r="D25" s="390">
        <f>'Hypotheses expl (2)'!E73</f>
        <v>0</v>
      </c>
      <c r="E25" s="390">
        <f>'Hypotheses expl (2)'!F73</f>
        <v>0</v>
      </c>
      <c r="F25" s="390">
        <f>'Hypotheses expl (2)'!G73</f>
        <v>0</v>
      </c>
      <c r="G25" s="390">
        <f>'Hypotheses expl (2)'!H73</f>
        <v>0</v>
      </c>
      <c r="H25" s="390">
        <f>'Hypotheses expl (2)'!I73</f>
        <v>11000</v>
      </c>
      <c r="I25" s="390">
        <f>'Hypotheses expl (2)'!J73</f>
        <v>0</v>
      </c>
      <c r="J25" s="390">
        <f>'Hypotheses expl (2)'!K73</f>
        <v>0</v>
      </c>
      <c r="K25" s="390">
        <f>'Hypotheses expl (2)'!L73</f>
        <v>0</v>
      </c>
      <c r="L25" s="390">
        <f>'Hypotheses expl (2)'!M73</f>
        <v>5000</v>
      </c>
      <c r="M25" s="390">
        <f>'Hypotheses expl (2)'!N73</f>
        <v>0</v>
      </c>
      <c r="N25" s="410">
        <f>SUM(B25:M25)/12</f>
        <v>2250</v>
      </c>
      <c r="O25" s="274"/>
    </row>
    <row r="26" outlineLevel="1">
      <c r="A26" s="389" t="str">
        <f>'Compte résultat prévi'!A23</f>
        <v xml:space="preserve">Aides à l'emploi</v>
      </c>
      <c r="B26" s="390">
        <f>'Hypotheses expl (2)'!C74</f>
        <v>0</v>
      </c>
      <c r="C26" s="390">
        <f>'Hypotheses expl (2)'!D74</f>
        <v>0</v>
      </c>
      <c r="D26" s="390">
        <f>'Hypotheses expl (2)'!E74</f>
        <v>0</v>
      </c>
      <c r="E26" s="390">
        <f>'Hypotheses expl (2)'!F74</f>
        <v>0</v>
      </c>
      <c r="F26" s="390">
        <f>'Hypotheses expl (2)'!G74</f>
        <v>0</v>
      </c>
      <c r="G26" s="390">
        <f>'Hypotheses expl (2)'!H74</f>
        <v>0</v>
      </c>
      <c r="H26" s="390">
        <f>'Hypotheses expl (2)'!I74</f>
        <v>0</v>
      </c>
      <c r="I26" s="390">
        <f>'Hypotheses expl (2)'!J74</f>
        <v>0</v>
      </c>
      <c r="J26" s="390">
        <f>'Hypotheses expl (2)'!K74</f>
        <v>0</v>
      </c>
      <c r="K26" s="390">
        <f>'Hypotheses expl (2)'!L74</f>
        <v>0</v>
      </c>
      <c r="L26" s="390">
        <f>'Hypotheses expl (2)'!M74</f>
        <v>0</v>
      </c>
      <c r="M26" s="390">
        <f>'Hypotheses expl (2)'!N74</f>
        <v>0</v>
      </c>
      <c r="N26" s="410">
        <f>SUM(B26:M26)/12</f>
        <v>0</v>
      </c>
    </row>
    <row r="27" outlineLevel="1">
      <c r="A27" s="389" t="str">
        <f>'Compte résultat prévi'!A24</f>
        <v xml:space="preserve">Aide apprentissage</v>
      </c>
      <c r="B27" s="390">
        <f>'Hypotheses expl (2)'!C75</f>
        <v>500</v>
      </c>
      <c r="C27" s="390">
        <f>'Hypotheses expl (2)'!D75</f>
        <v>500</v>
      </c>
      <c r="D27" s="390">
        <f>'Hypotheses expl (2)'!E75</f>
        <v>500</v>
      </c>
      <c r="E27" s="390">
        <f>'Hypotheses expl (2)'!F75</f>
        <v>500</v>
      </c>
      <c r="F27" s="390">
        <f>'Hypotheses expl (2)'!G75</f>
        <v>500</v>
      </c>
      <c r="G27" s="390">
        <f>'Hypotheses expl (2)'!H75</f>
        <v>500</v>
      </c>
      <c r="H27" s="390">
        <f>'Hypotheses expl (2)'!I75</f>
        <v>500</v>
      </c>
      <c r="I27" s="390">
        <f>'Hypotheses expl (2)'!J75</f>
        <v>500</v>
      </c>
      <c r="J27" s="390">
        <f>'Hypotheses expl (2)'!K75</f>
        <v>500</v>
      </c>
      <c r="K27" s="390">
        <f>'Hypotheses expl (2)'!L75</f>
        <v>500</v>
      </c>
      <c r="L27" s="390">
        <f>'Hypotheses expl (2)'!M75</f>
        <v>500</v>
      </c>
      <c r="M27" s="390">
        <f>'Hypotheses expl (2)'!N75</f>
        <v>500</v>
      </c>
      <c r="N27" s="410">
        <f>SUM(B27:M27)/12</f>
        <v>500</v>
      </c>
    </row>
    <row r="28" outlineLevel="1">
      <c r="A28" s="389" t="s">
        <v>388</v>
      </c>
      <c r="B28" s="390">
        <f>'Hypotheses expl (2)'!C76</f>
        <v>0</v>
      </c>
      <c r="C28" s="390">
        <f>'Hypotheses expl (2)'!D76</f>
        <v>0</v>
      </c>
      <c r="D28" s="390"/>
      <c r="E28" s="390">
        <f>'Hypotheses expl (2)'!F76</f>
        <v>0</v>
      </c>
      <c r="F28" s="390">
        <f>'Hypotheses expl (2)'!G76</f>
        <v>0</v>
      </c>
      <c r="G28" s="390">
        <f>'Hypotheses expl (2)'!H76</f>
        <v>0</v>
      </c>
      <c r="H28" s="390"/>
      <c r="I28" s="390">
        <v>9200</v>
      </c>
      <c r="J28" s="390">
        <v>5682</v>
      </c>
      <c r="K28" s="390">
        <f>'Hypotheses expl (2)'!L76</f>
        <v>0</v>
      </c>
      <c r="L28" s="390">
        <f>'Hypotheses expl (2)'!M76</f>
        <v>0</v>
      </c>
      <c r="M28" s="390">
        <f>'Hypotheses expl (2)'!N76</f>
        <v>0</v>
      </c>
      <c r="N28" s="410">
        <f>SUM(B28:M28)/12</f>
        <v>1240.1666666666667</v>
      </c>
    </row>
    <row r="29" outlineLevel="1">
      <c r="A29" s="389" t="s">
        <v>396</v>
      </c>
      <c r="B29" s="390">
        <f>'Hypotheses expl (2)'!C77</f>
        <v>0</v>
      </c>
      <c r="C29" s="390">
        <f>'Hypotheses expl (2)'!D77</f>
        <v>0</v>
      </c>
      <c r="D29" s="390">
        <f>'Hypotheses expl (2)'!E77</f>
        <v>0</v>
      </c>
      <c r="E29" s="390">
        <f>'Hypotheses expl (2)'!F77</f>
        <v>0</v>
      </c>
      <c r="F29" s="390">
        <f>'Hypotheses expl (2)'!G77</f>
        <v>0</v>
      </c>
      <c r="G29" s="390">
        <f>'Hypotheses expl (2)'!H77</f>
        <v>0</v>
      </c>
      <c r="H29" s="390">
        <v>200</v>
      </c>
      <c r="I29" s="390">
        <v>200</v>
      </c>
      <c r="J29" s="390">
        <v>200</v>
      </c>
      <c r="K29" s="390">
        <v>20000</v>
      </c>
      <c r="L29" s="390">
        <v>200</v>
      </c>
      <c r="M29" s="390">
        <v>200</v>
      </c>
      <c r="N29" s="410">
        <f>SUM(B29:M29)/12</f>
        <v>1750</v>
      </c>
    </row>
    <row r="30" outlineLevel="1">
      <c r="A30" s="389" t="s">
        <v>397</v>
      </c>
      <c r="B30" s="390">
        <f>'Hypotheses expl (2)'!C78</f>
        <v>0</v>
      </c>
      <c r="C30" s="390">
        <f>'Hypotheses expl (2)'!D78</f>
        <v>0</v>
      </c>
      <c r="D30" s="390">
        <f>'Hypotheses expl (2)'!E78</f>
        <v>0</v>
      </c>
      <c r="E30" s="390">
        <f>'Hypotheses expl (2)'!F78</f>
        <v>0</v>
      </c>
      <c r="F30" s="390">
        <f>'Hypotheses expl (2)'!G78</f>
        <v>0</v>
      </c>
      <c r="G30" s="390">
        <f>'Hypotheses expl (2)'!H78</f>
        <v>0</v>
      </c>
      <c r="H30" s="390">
        <v>107500</v>
      </c>
      <c r="I30" s="390">
        <f>'Hypotheses expl (2)'!J78</f>
        <v>0</v>
      </c>
      <c r="J30" s="390">
        <f>'Hypotheses expl (2)'!K78</f>
        <v>0</v>
      </c>
      <c r="K30" s="390">
        <f>'Hypotheses expl (2)'!L78</f>
        <v>0</v>
      </c>
      <c r="L30" s="390">
        <f>'Hypotheses expl (2)'!M78</f>
        <v>0</v>
      </c>
      <c r="M30" s="390">
        <f>'Hypotheses expl (2)'!N78</f>
        <v>0</v>
      </c>
      <c r="N30" s="410">
        <f>SUM(B30:M30)/12</f>
        <v>8958.3333333333339</v>
      </c>
    </row>
    <row r="31" outlineLevel="1">
      <c r="A31" s="389" t="s">
        <v>398</v>
      </c>
      <c r="B31" s="390">
        <f>'Hypotheses expl (2)'!C79</f>
        <v>0</v>
      </c>
      <c r="C31" s="390">
        <f>'Hypotheses expl (2)'!D79</f>
        <v>0</v>
      </c>
      <c r="D31" s="390">
        <f>'Hypotheses expl (2)'!E79</f>
        <v>0</v>
      </c>
      <c r="E31" s="390">
        <f>'Hypotheses expl (2)'!F79</f>
        <v>0</v>
      </c>
      <c r="F31" s="390">
        <f>'Hypotheses expl (2)'!G79</f>
        <v>0</v>
      </c>
      <c r="G31" s="390">
        <f>'Hypotheses expl (2)'!H79</f>
        <v>0</v>
      </c>
      <c r="H31" s="390">
        <v>4600</v>
      </c>
      <c r="I31" s="390">
        <v>4600</v>
      </c>
      <c r="J31" s="390">
        <v>4600</v>
      </c>
      <c r="K31" s="390">
        <v>4600</v>
      </c>
      <c r="L31" s="390">
        <v>4600</v>
      </c>
      <c r="M31" s="390">
        <v>4600</v>
      </c>
      <c r="N31" s="410">
        <f>SUM(B31:M31)/12</f>
        <v>2300</v>
      </c>
    </row>
    <row r="32" outlineLevel="1">
      <c r="A32" s="389" t="s">
        <v>399</v>
      </c>
      <c r="B32" s="390">
        <f>'Hypotheses expl (2)'!C80</f>
        <v>0</v>
      </c>
      <c r="C32" s="390">
        <f>'Hypotheses expl (2)'!D80</f>
        <v>0</v>
      </c>
      <c r="D32" s="390">
        <f>'Hypotheses expl (2)'!E80</f>
        <v>0</v>
      </c>
      <c r="E32" s="390">
        <f>'Hypotheses expl (2)'!F80</f>
        <v>0</v>
      </c>
      <c r="F32" s="390">
        <f>'Hypotheses expl (2)'!G80</f>
        <v>0</v>
      </c>
      <c r="G32" s="390">
        <f>'Hypotheses expl (2)'!H80</f>
        <v>0</v>
      </c>
      <c r="H32" s="390">
        <v>3300</v>
      </c>
      <c r="I32" s="390">
        <v>3300</v>
      </c>
      <c r="J32" s="390">
        <v>3300</v>
      </c>
      <c r="K32" s="390">
        <v>3300</v>
      </c>
      <c r="L32" s="390">
        <v>3300</v>
      </c>
      <c r="M32" s="390">
        <v>3300</v>
      </c>
      <c r="N32" s="410">
        <f>SUM(B32:M32)/12</f>
        <v>1650</v>
      </c>
    </row>
    <row r="33" outlineLevel="1">
      <c r="A33" s="389" t="s">
        <v>400</v>
      </c>
      <c r="B33" s="390">
        <f>'Hypotheses expl (2)'!C81</f>
        <v>0</v>
      </c>
      <c r="C33" s="390">
        <f>'Hypotheses expl (2)'!D81</f>
        <v>0</v>
      </c>
      <c r="D33" s="390">
        <f>'Hypotheses expl (2)'!E81</f>
        <v>0</v>
      </c>
      <c r="E33" s="390">
        <f>'Hypotheses expl (2)'!F81</f>
        <v>0</v>
      </c>
      <c r="F33" s="390">
        <f>'Hypotheses expl (2)'!G81</f>
        <v>0</v>
      </c>
      <c r="G33" s="390">
        <f>'Hypotheses expl (2)'!H81</f>
        <v>0</v>
      </c>
      <c r="H33" s="390">
        <v>1666</v>
      </c>
      <c r="I33" s="390">
        <v>1666</v>
      </c>
      <c r="J33" s="390">
        <v>1666</v>
      </c>
      <c r="K33" s="390">
        <v>1666</v>
      </c>
      <c r="L33" s="390">
        <v>1666</v>
      </c>
      <c r="M33" s="390">
        <v>1666</v>
      </c>
      <c r="N33" s="410">
        <f>SUM(B33:M33)/12</f>
        <v>833</v>
      </c>
    </row>
    <row r="34" outlineLevel="1">
      <c r="A34" s="389" t="s">
        <v>401</v>
      </c>
      <c r="B34" s="390">
        <f>'Hypotheses expl (2)'!C82</f>
        <v>0</v>
      </c>
      <c r="C34" s="390">
        <f>'Hypotheses expl (2)'!D82</f>
        <v>0</v>
      </c>
      <c r="D34" s="390">
        <f>'Hypotheses expl (2)'!E82</f>
        <v>0</v>
      </c>
      <c r="E34" s="390">
        <f>'Hypotheses expl (2)'!F82</f>
        <v>0</v>
      </c>
      <c r="F34" s="390">
        <f>'Hypotheses expl (2)'!G82</f>
        <v>0</v>
      </c>
      <c r="G34" s="390">
        <f>'Hypotheses expl (2)'!H82</f>
        <v>0</v>
      </c>
      <c r="H34" s="390">
        <v>3300</v>
      </c>
      <c r="I34" s="390">
        <v>3300</v>
      </c>
      <c r="J34" s="390">
        <v>3300</v>
      </c>
      <c r="K34" s="390">
        <v>3300</v>
      </c>
      <c r="L34" s="390">
        <v>3300</v>
      </c>
      <c r="M34" s="390">
        <v>3300</v>
      </c>
      <c r="N34" s="410">
        <f>SUM(B34:M34)/12</f>
        <v>1650</v>
      </c>
    </row>
    <row r="35" outlineLevel="1">
      <c r="A35" s="389" t="s">
        <v>402</v>
      </c>
      <c r="B35" s="390">
        <f>'Hypotheses expl (2)'!C83</f>
        <v>0</v>
      </c>
      <c r="C35" s="390">
        <f>'Hypotheses expl (2)'!D83</f>
        <v>0</v>
      </c>
      <c r="D35" s="390">
        <f>'Hypotheses expl (2)'!E83</f>
        <v>0</v>
      </c>
      <c r="E35" s="390">
        <f>'Hypotheses expl (2)'!F83</f>
        <v>0</v>
      </c>
      <c r="F35" s="390">
        <f>'Hypotheses expl (2)'!G83</f>
        <v>0</v>
      </c>
      <c r="G35" s="390">
        <f>'Hypotheses expl (2)'!H83</f>
        <v>0</v>
      </c>
      <c r="H35" s="390">
        <v>1666</v>
      </c>
      <c r="I35" s="390">
        <v>1666</v>
      </c>
      <c r="J35" s="390">
        <v>1666</v>
      </c>
      <c r="K35" s="390">
        <v>1666</v>
      </c>
      <c r="L35" s="390">
        <v>1666</v>
      </c>
      <c r="M35" s="390">
        <v>1666</v>
      </c>
      <c r="N35" s="410">
        <f>SUM(B35:M35)/12</f>
        <v>833</v>
      </c>
    </row>
    <row r="36" outlineLevel="1">
      <c r="A36" s="389" t="s">
        <v>403</v>
      </c>
      <c r="B36" s="390">
        <f>'Hypotheses expl (2)'!C84</f>
        <v>0</v>
      </c>
      <c r="C36" s="390">
        <f>'Hypotheses expl (2)'!D84</f>
        <v>0</v>
      </c>
      <c r="D36" s="390">
        <f>'Hypotheses expl (2)'!E84</f>
        <v>0</v>
      </c>
      <c r="E36" s="390">
        <f>'Hypotheses expl (2)'!F84</f>
        <v>0</v>
      </c>
      <c r="F36" s="390">
        <f>'Hypotheses expl (2)'!G84</f>
        <v>0</v>
      </c>
      <c r="G36" s="390">
        <f>'Hypotheses expl (2)'!H84</f>
        <v>0</v>
      </c>
      <c r="H36" s="390">
        <f>'Hypotheses expl (2)'!I84</f>
        <v>0</v>
      </c>
      <c r="I36" s="390">
        <f>'Hypotheses expl (2)'!J84</f>
        <v>0</v>
      </c>
      <c r="J36" s="390">
        <f>'Hypotheses expl (2)'!K84</f>
        <v>0</v>
      </c>
      <c r="K36" s="390">
        <f>'Hypotheses expl (2)'!L84</f>
        <v>0</v>
      </c>
      <c r="L36" s="390">
        <v>60000</v>
      </c>
      <c r="M36" s="390">
        <f>'Hypotheses expl (2)'!N84</f>
        <v>0</v>
      </c>
      <c r="N36" s="410">
        <f>SUM(B36:M36)/12</f>
        <v>5000</v>
      </c>
    </row>
    <row r="37">
      <c r="A37" s="391" t="s">
        <v>219</v>
      </c>
      <c r="B37" s="388">
        <f>IF('Hypotheses expl (2)'!$P$93="0j",'Hypotheses expl (2)'!C93,IF('Hypotheses expl (2)'!$P$93="30j",'Hypotheses expl (2)'!B93,'Hypotheses expl (2)'!A93))</f>
        <v>0</v>
      </c>
      <c r="C37" s="388">
        <f>IF('Hypotheses expl (2)'!$P$93="0j",'Hypotheses expl (2)'!D93,IF('Hypotheses expl (2)'!$P$93="30j",'Hypotheses expl (2)'!C93,'Hypotheses expl (2)'!B93))</f>
        <v>0</v>
      </c>
      <c r="D37" s="388">
        <f>IF('Hypotheses expl (2)'!$P$93="0j",'Hypotheses expl (2)'!E93,IF('Hypotheses expl (2)'!$P$93="30j",'Hypotheses expl (2)'!D93,'Hypotheses expl (2)'!C93))</f>
        <v>0</v>
      </c>
      <c r="E37" s="388">
        <f>IF('Hypotheses expl (2)'!$P$93="0j",'Hypotheses expl (2)'!F93,IF('Hypotheses expl (2)'!$P$93="30j",'Hypotheses expl (2)'!E93,'Hypotheses expl (2)'!D93))</f>
        <v>0</v>
      </c>
      <c r="F37" s="388">
        <f>IF('Hypotheses expl (2)'!$P$93="0j",'Hypotheses expl (2)'!G93,IF('Hypotheses expl (2)'!$P$93="30j",'Hypotheses expl (2)'!F93,'Hypotheses expl (2)'!E93))</f>
        <v>0</v>
      </c>
      <c r="G37" s="388">
        <f>IF('Hypotheses expl (2)'!$P$93="0j",'Hypotheses expl (2)'!H93,IF('Hypotheses expl (2)'!$P$93="30j",'Hypotheses expl (2)'!G93,'Hypotheses expl (2)'!F93))</f>
        <v>0</v>
      </c>
      <c r="H37" s="388">
        <f>IF('Hypotheses expl (2)'!$P$93="0j",'Hypotheses expl (2)'!I93,IF('Hypotheses expl (2)'!$P$93="30j",'Hypotheses expl (2)'!H93,'Hypotheses expl (2)'!G93))</f>
        <v>0</v>
      </c>
      <c r="I37" s="388">
        <f>IF('Hypotheses expl (2)'!$P$93="0j",'Hypotheses expl (2)'!J93,IF('Hypotheses expl (2)'!$P$93="30j",'Hypotheses expl (2)'!I93,'Hypotheses expl (2)'!H93))</f>
        <v>0</v>
      </c>
      <c r="J37" s="388">
        <f>IF('Hypotheses expl (2)'!$P$93="0j",'Hypotheses expl (2)'!K93,IF('Hypotheses expl (2)'!$P$93="30j",'Hypotheses expl (2)'!J93,'Hypotheses expl (2)'!I93))</f>
        <v>0</v>
      </c>
      <c r="K37" s="388">
        <f>IF('Hypotheses expl (2)'!$P$93="0j",'Hypotheses expl (2)'!L93,IF('Hypotheses expl (2)'!$P$93="30j",'Hypotheses expl (2)'!K93,'Hypotheses expl (2)'!J93))</f>
        <v>0</v>
      </c>
      <c r="L37" s="388">
        <f>IF('Hypotheses expl (2)'!$P$93="0j",'Hypotheses expl (2)'!M93,IF('Hypotheses expl (2)'!$P$93="30j",'Hypotheses expl (2)'!L93,'Hypotheses expl (2)'!K93))</f>
        <v>0</v>
      </c>
      <c r="M37" s="388">
        <f>IF('Hypotheses expl (2)'!$P$93="0j",'Hypotheses expl (2)'!N93,IF('Hypotheses expl (2)'!$P$93="30j",'Hypotheses expl (2)'!M93,'Hypotheses expl (2)'!L93))</f>
        <v>0</v>
      </c>
      <c r="N37" s="410">
        <f>SUM(B37:M37)/12</f>
        <v>0</v>
      </c>
    </row>
    <row r="38">
      <c r="A38" s="391" t="s">
        <v>221</v>
      </c>
      <c r="B38" s="388">
        <f>IF('Hypotheses expl (2)'!$P$93="0j",'Hypotheses expl (2)'!C95,IF('Hypotheses expl (2)'!$P$93="30j",'Hypotheses expl (2)'!B95,'Hypotheses expl (2)'!A95))</f>
        <v>0</v>
      </c>
      <c r="C38" s="388">
        <f>IF('Hypotheses expl (2)'!$P$93="0j",'Hypotheses expl (2)'!D95,IF('Hypotheses expl (2)'!$P$93="30j",'Hypotheses expl (2)'!C95,'Hypotheses expl (2)'!B95))</f>
        <v>0</v>
      </c>
      <c r="D38" s="388">
        <f>IF('Hypotheses expl (2)'!$P$93="0j",'Hypotheses expl (2)'!E95,IF('Hypotheses expl (2)'!$P$93="30j",'Hypotheses expl (2)'!D95,'Hypotheses expl (2)'!C95))</f>
        <v>0</v>
      </c>
      <c r="E38" s="388">
        <f>IF('Hypotheses expl (2)'!$P$93="0j",'Hypotheses expl (2)'!F95,IF('Hypotheses expl (2)'!$P$93="30j",'Hypotheses expl (2)'!E95,'Hypotheses expl (2)'!D95))</f>
        <v>0</v>
      </c>
      <c r="F38" s="388">
        <f>IF('Hypotheses expl (2)'!$P$93="0j",'Hypotheses expl (2)'!G95,IF('Hypotheses expl (2)'!$P$93="30j",'Hypotheses expl (2)'!F95,'Hypotheses expl (2)'!E95))</f>
        <v>0</v>
      </c>
      <c r="G38" s="388">
        <f>IF('Hypotheses expl (2)'!$P$93="0j",'Hypotheses expl (2)'!H95,IF('Hypotheses expl (2)'!$P$93="30j",'Hypotheses expl (2)'!G95,'Hypotheses expl (2)'!F95))</f>
        <v>0</v>
      </c>
      <c r="H38" s="388">
        <f>IF('Hypotheses expl (2)'!$P$93="0j",'Hypotheses expl (2)'!I95,IF('Hypotheses expl (2)'!$P$93="30j",'Hypotheses expl (2)'!H95,'Hypotheses expl (2)'!G95))</f>
        <v>0</v>
      </c>
      <c r="I38" s="388">
        <f>IF('Hypotheses expl (2)'!$P$93="0j",'Hypotheses expl (2)'!J95,IF('Hypotheses expl (2)'!$P$93="30j",'Hypotheses expl (2)'!I95,'Hypotheses expl (2)'!H95))</f>
        <v>0</v>
      </c>
      <c r="J38" s="388">
        <f>IF('Hypotheses expl (2)'!$P$93="0j",'Hypotheses expl (2)'!K95,IF('Hypotheses expl (2)'!$P$93="30j",'Hypotheses expl (2)'!J95,'Hypotheses expl (2)'!I95))</f>
        <v>0</v>
      </c>
      <c r="K38" s="388">
        <f>IF('Hypotheses expl (2)'!$P$93="0j",'Hypotheses expl (2)'!L95,IF('Hypotheses expl (2)'!$P$93="30j",'Hypotheses expl (2)'!K95,'Hypotheses expl (2)'!J95))</f>
        <v>0</v>
      </c>
      <c r="L38" s="388">
        <f>IF('Hypotheses expl (2)'!$P$93="0j",'Hypotheses expl (2)'!M95,IF('Hypotheses expl (2)'!$P$93="30j",'Hypotheses expl (2)'!L95,'Hypotheses expl (2)'!K95))</f>
        <v>0</v>
      </c>
      <c r="M38" s="388">
        <f>IF('Hypotheses expl (2)'!$P$93="0j",'Hypotheses expl (2)'!N95,IF('Hypotheses expl (2)'!$P$93="30j",'Hypotheses expl (2)'!M95,'Hypotheses expl (2)'!L95))</f>
        <v>0</v>
      </c>
      <c r="N38" s="410">
        <f>SUM(B38:M38)/12</f>
        <v>0</v>
      </c>
    </row>
    <row r="39">
      <c r="A39" s="391" t="s">
        <v>222</v>
      </c>
      <c r="B39" s="388">
        <f>IF('Hypotheses expl (2)'!$P$96="0j",'Hypotheses expl (2)'!C96,IF('Hypotheses expl (2)'!$P$96="30j",'Hypotheses expl (2)'!B96,'Hypotheses expl (2)'!A96))</f>
        <v>0</v>
      </c>
      <c r="C39" s="388">
        <f>IF('Hypotheses expl (2)'!$P$96="0j",'Hypotheses expl (2)'!D96,IF('Hypotheses expl (2)'!$P$96="30j",'Hypotheses expl (2)'!C96,'Hypotheses expl (2)'!B96))</f>
        <v>0</v>
      </c>
      <c r="D39" s="388">
        <f>IF('Hypotheses expl (2)'!$P$96="0j",'Hypotheses expl (2)'!E96,IF('Hypotheses expl (2)'!$P$96="30j",'Hypotheses expl (2)'!D96,'Hypotheses expl (2)'!C96))</f>
        <v>0</v>
      </c>
      <c r="E39" s="388">
        <f>IF('Hypotheses expl (2)'!$P$96="0j",'Hypotheses expl (2)'!F96,IF('Hypotheses expl (2)'!$P$96="30j",'Hypotheses expl (2)'!E96,'Hypotheses expl (2)'!D96))</f>
        <v>0</v>
      </c>
      <c r="F39" s="388">
        <f>IF('Hypotheses expl (2)'!$P$96="0j",'Hypotheses expl (2)'!G96,IF('Hypotheses expl (2)'!$P$96="30j",'Hypotheses expl (2)'!F96,'Hypotheses expl (2)'!E96))</f>
        <v>0</v>
      </c>
      <c r="G39" s="388">
        <f>IF('Hypotheses expl (2)'!$P$96="0j",'Hypotheses expl (2)'!H96,IF('Hypotheses expl (2)'!$P$96="30j",'Hypotheses expl (2)'!G96,'Hypotheses expl (2)'!F96))</f>
        <v>0</v>
      </c>
      <c r="H39" s="388">
        <f>IF('Hypotheses expl (2)'!$P$96="0j",'Hypotheses expl (2)'!I96,IF('Hypotheses expl (2)'!$P$96="30j",'Hypotheses expl (2)'!H96,'Hypotheses expl (2)'!G96))</f>
        <v>0</v>
      </c>
      <c r="I39" s="388">
        <f>IF('Hypotheses expl (2)'!$P$96="0j",'Hypotheses expl (2)'!J96,IF('Hypotheses expl (2)'!$P$96="30j",'Hypotheses expl (2)'!I96,'Hypotheses expl (2)'!H96))</f>
        <v>0</v>
      </c>
      <c r="J39" s="388">
        <f>IF('Hypotheses expl (2)'!$P$96="0j",'Hypotheses expl (2)'!K96,IF('Hypotheses expl (2)'!$P$96="30j",'Hypotheses expl (2)'!J96,'Hypotheses expl (2)'!I96))</f>
        <v>0</v>
      </c>
      <c r="K39" s="388">
        <f>IF('Hypotheses expl (2)'!$P$96="0j",'Hypotheses expl (2)'!L96,IF('Hypotheses expl (2)'!$P$96="30j",'Hypotheses expl (2)'!K96,'Hypotheses expl (2)'!J96))</f>
        <v>0</v>
      </c>
      <c r="L39" s="388">
        <f>IF('Hypotheses expl (2)'!$P$96="0j",'Hypotheses expl (2)'!M96,IF('Hypotheses expl (2)'!$P$96="30j",'Hypotheses expl (2)'!L96,'Hypotheses expl (2)'!K96))</f>
        <v>0</v>
      </c>
      <c r="M39" s="388">
        <f>IF('Hypotheses expl (2)'!$P$96="0j",'Hypotheses expl (2)'!N96,IF('Hypotheses expl (2)'!$P$96="30j",'Hypotheses expl (2)'!M96,'Hypotheses expl (2)'!L96))</f>
        <v>0</v>
      </c>
      <c r="N39" s="410">
        <f>SUM(B39:M39)/12</f>
        <v>0</v>
      </c>
    </row>
    <row r="40">
      <c r="A40" s="391" t="s">
        <v>223</v>
      </c>
      <c r="B40" s="388">
        <v>3148.6500000000001</v>
      </c>
      <c r="C40" s="388">
        <f>IF('Hypotheses expl (2)'!$P$97="0j",'Hypotheses expl (2)'!D97,IF('Hypotheses expl (2)'!$P$97="30j",'Hypotheses expl (2)'!C97,'Hypotheses expl (2)'!B97))</f>
        <v>0</v>
      </c>
      <c r="D40" s="388">
        <f>IF('Hypotheses expl (2)'!$P$97="0j",'Hypotheses expl (2)'!E97,IF('Hypotheses expl (2)'!$P$97="30j",'Hypotheses expl (2)'!D97,'Hypotheses expl (2)'!C97))</f>
        <v>0</v>
      </c>
      <c r="E40" s="388">
        <f>IF('Hypotheses expl (2)'!$P$97="0j",'Hypotheses expl (2)'!F97,IF('Hypotheses expl (2)'!$P$97="30j",'Hypotheses expl (2)'!E97,'Hypotheses expl (2)'!D97))</f>
        <v>0</v>
      </c>
      <c r="F40" s="388">
        <f>IF('Hypotheses expl (2)'!$P$97="0j",'Hypotheses expl (2)'!G97,IF('Hypotheses expl (2)'!$P$97="30j",'Hypotheses expl (2)'!F97,'Hypotheses expl (2)'!E97))</f>
        <v>0</v>
      </c>
      <c r="G40" s="388">
        <f>IF('Hypotheses expl (2)'!$P$97="0j",'Hypotheses expl (2)'!H97,IF('Hypotheses expl (2)'!$P$97="30j",'Hypotheses expl (2)'!G97,'Hypotheses expl (2)'!F97))</f>
        <v>0</v>
      </c>
      <c r="H40" s="388">
        <f>IF('Hypotheses expl (2)'!$P$97="0j",'Hypotheses expl (2)'!I97,IF('Hypotheses expl (2)'!$P$97="30j",'Hypotheses expl (2)'!H97,'Hypotheses expl (2)'!G97))</f>
        <v>0</v>
      </c>
      <c r="I40" s="388">
        <f>IF('Hypotheses expl (2)'!$P$97="0j",'Hypotheses expl (2)'!J97,IF('Hypotheses expl (2)'!$P$97="30j",'Hypotheses expl (2)'!I97,'Hypotheses expl (2)'!H97))</f>
        <v>0</v>
      </c>
      <c r="J40" s="388">
        <f>IF('Hypotheses expl (2)'!$P$97="0j",'Hypotheses expl (2)'!K97,IF('Hypotheses expl (2)'!$P$97="30j",'Hypotheses expl (2)'!J97,'Hypotheses expl (2)'!I97))</f>
        <v>0</v>
      </c>
      <c r="K40" s="388">
        <f>IF('Hypotheses expl (2)'!$P$97="0j",'Hypotheses expl (2)'!L97,IF('Hypotheses expl (2)'!$P$97="30j",'Hypotheses expl (2)'!K97,'Hypotheses expl (2)'!J97))</f>
        <v>0</v>
      </c>
      <c r="L40" s="388">
        <f>IF('Hypotheses expl (2)'!$P$97="0j",'Hypotheses expl (2)'!M97,IF('Hypotheses expl (2)'!$P$97="30j",'Hypotheses expl (2)'!L97,'Hypotheses expl (2)'!K97))</f>
        <v>0</v>
      </c>
      <c r="M40" s="388">
        <f>IF('Hypotheses expl (2)'!$P$97="0j",'Hypotheses expl (2)'!N97,IF('Hypotheses expl (2)'!$P$97="30j",'Hypotheses expl (2)'!M97,'Hypotheses expl (2)'!L97))</f>
        <v>0</v>
      </c>
      <c r="N40" s="410">
        <f>SUM(B40:M40)/12</f>
        <v>262.38749999999999</v>
      </c>
    </row>
    <row r="41" s="36" customFormat="1">
      <c r="B41" s="375"/>
      <c r="C41" s="375"/>
      <c r="D41" s="375"/>
      <c r="E41" s="375"/>
      <c r="F41" s="375"/>
      <c r="G41" s="375"/>
      <c r="H41" s="375"/>
      <c r="I41" s="381"/>
      <c r="J41" s="381"/>
      <c r="K41" s="381"/>
      <c r="L41" s="381"/>
      <c r="M41" s="381"/>
      <c r="N41" s="410"/>
    </row>
    <row r="42" s="383" customFormat="1">
      <c r="A42" s="384" t="s">
        <v>365</v>
      </c>
      <c r="B42" s="392">
        <f>SUM(B43:B45)</f>
        <v>0</v>
      </c>
      <c r="C42" s="392">
        <f t="shared" ref="C42:M42" si="339">SUM(C43:C45)</f>
        <v>0</v>
      </c>
      <c r="D42" s="392">
        <f t="shared" si="339"/>
        <v>0</v>
      </c>
      <c r="E42" s="392">
        <f t="shared" si="339"/>
        <v>0</v>
      </c>
      <c r="F42" s="392">
        <f t="shared" si="339"/>
        <v>0</v>
      </c>
      <c r="G42" s="392">
        <f t="shared" si="339"/>
        <v>0</v>
      </c>
      <c r="H42" s="392">
        <f t="shared" si="339"/>
        <v>0</v>
      </c>
      <c r="I42" s="392">
        <f t="shared" si="339"/>
        <v>0</v>
      </c>
      <c r="J42" s="392">
        <f t="shared" si="339"/>
        <v>0</v>
      </c>
      <c r="K42" s="392">
        <f t="shared" si="339"/>
        <v>0</v>
      </c>
      <c r="L42" s="392">
        <f t="shared" si="339"/>
        <v>0</v>
      </c>
      <c r="M42" s="392">
        <f t="shared" si="339"/>
        <v>0</v>
      </c>
      <c r="N42" s="410"/>
      <c r="O42" s="36"/>
      <c r="P42" s="36"/>
      <c r="Q42" s="36"/>
      <c r="R42" s="36"/>
      <c r="S42" s="36"/>
      <c r="T42" s="36"/>
      <c r="U42" s="36"/>
      <c r="V42" s="36"/>
      <c r="W42" s="36"/>
      <c r="X42" s="36"/>
      <c r="Y42" s="36"/>
      <c r="Z42" s="36"/>
      <c r="AA42" s="36"/>
      <c r="AB42" s="36"/>
      <c r="AC42" s="36"/>
      <c r="AD42" s="36"/>
      <c r="AE42" s="36"/>
      <c r="AF42" s="36"/>
      <c r="AG42" s="36"/>
      <c r="AH42" s="36"/>
      <c r="AI42" s="36"/>
      <c r="AJ42" s="36"/>
      <c r="AK42" s="36"/>
      <c r="AL42" s="36"/>
    </row>
    <row r="43">
      <c r="A43" s="393" t="s">
        <v>298</v>
      </c>
      <c r="B43" s="394">
        <f>'Hypotheses hors expl (2)'!C5</f>
        <v>0</v>
      </c>
      <c r="C43" s="394">
        <f>'Hypotheses hors expl (2)'!D5</f>
        <v>0</v>
      </c>
      <c r="D43" s="394">
        <f>'Hypotheses hors expl (2)'!E5</f>
        <v>0</v>
      </c>
      <c r="E43" s="394">
        <f>'Hypotheses hors expl (2)'!F5</f>
        <v>0</v>
      </c>
      <c r="F43" s="394">
        <f>'Hypotheses hors expl (2)'!G5</f>
        <v>0</v>
      </c>
      <c r="G43" s="394">
        <f>'Hypotheses hors expl (2)'!H5</f>
        <v>0</v>
      </c>
      <c r="H43" s="394">
        <f>'Hypotheses hors expl (2)'!I5</f>
        <v>0</v>
      </c>
      <c r="I43" s="394">
        <f>'Hypotheses hors expl (2)'!J5</f>
        <v>0</v>
      </c>
      <c r="J43" s="394">
        <f>'Hypotheses hors expl (2)'!K5</f>
        <v>0</v>
      </c>
      <c r="K43" s="394">
        <f>'Hypotheses hors expl (2)'!L5</f>
        <v>0</v>
      </c>
      <c r="L43" s="394">
        <f>'Hypotheses hors expl (2)'!M5</f>
        <v>0</v>
      </c>
      <c r="M43" s="394">
        <f>'Hypotheses hors expl (2)'!N5</f>
        <v>0</v>
      </c>
    </row>
    <row r="44">
      <c r="A44" s="393" t="s">
        <v>299</v>
      </c>
      <c r="B44" s="394">
        <f>'Hypotheses hors expl (2)'!C6</f>
        <v>0</v>
      </c>
      <c r="C44" s="394">
        <f>'Hypotheses hors expl (2)'!D6</f>
        <v>0</v>
      </c>
      <c r="D44" s="394">
        <f>'Hypotheses hors expl (2)'!E6</f>
        <v>0</v>
      </c>
      <c r="E44" s="394">
        <f>'Hypotheses hors expl (2)'!F6</f>
        <v>0</v>
      </c>
      <c r="F44" s="394">
        <f>'Hypotheses hors expl (2)'!G6</f>
        <v>0</v>
      </c>
      <c r="G44" s="394">
        <f>'Hypotheses hors expl (2)'!H6</f>
        <v>0</v>
      </c>
      <c r="H44" s="394">
        <f>'Hypotheses hors expl (2)'!I6</f>
        <v>0</v>
      </c>
      <c r="I44" s="394">
        <f>'Hypotheses hors expl (2)'!J6</f>
        <v>0</v>
      </c>
      <c r="J44" s="394">
        <f>'Hypotheses hors expl (2)'!K6</f>
        <v>0</v>
      </c>
      <c r="K44" s="394">
        <f>'Hypotheses hors expl (2)'!L6</f>
        <v>0</v>
      </c>
      <c r="L44" s="394">
        <f>'Hypotheses hors expl (2)'!M6</f>
        <v>0</v>
      </c>
      <c r="M44" s="394">
        <f>'Hypotheses hors expl (2)'!N6</f>
        <v>0</v>
      </c>
    </row>
    <row r="45">
      <c r="A45" s="393" t="s">
        <v>300</v>
      </c>
      <c r="B45" s="394">
        <f>'Hypotheses hors expl (2)'!C7</f>
        <v>0</v>
      </c>
      <c r="C45" s="394">
        <f>'Hypotheses hors expl (2)'!D7</f>
        <v>0</v>
      </c>
      <c r="D45" s="394">
        <f>'Hypotheses hors expl (2)'!E7</f>
        <v>0</v>
      </c>
      <c r="E45" s="394">
        <f>'Hypotheses hors expl (2)'!F7</f>
        <v>0</v>
      </c>
      <c r="F45" s="394">
        <f>'Hypotheses hors expl (2)'!G7</f>
        <v>0</v>
      </c>
      <c r="G45" s="394">
        <f>'Hypotheses hors expl (2)'!H7</f>
        <v>0</v>
      </c>
      <c r="H45" s="394">
        <f>'Hypotheses hors expl (2)'!I7</f>
        <v>0</v>
      </c>
      <c r="I45" s="394">
        <f>'Hypotheses hors expl (2)'!J7</f>
        <v>0</v>
      </c>
      <c r="J45" s="394">
        <f>'Hypotheses hors expl (2)'!K7</f>
        <v>0</v>
      </c>
      <c r="K45" s="394">
        <f>'Hypotheses hors expl (2)'!L7</f>
        <v>0</v>
      </c>
      <c r="L45" s="394">
        <f>'Hypotheses hors expl (2)'!M7</f>
        <v>0</v>
      </c>
      <c r="M45" s="394">
        <f>'Hypotheses hors expl (2)'!N7</f>
        <v>0</v>
      </c>
    </row>
    <row r="46" s="36" customFormat="1">
      <c r="B46" s="375"/>
      <c r="C46" s="375"/>
      <c r="D46" s="375"/>
      <c r="E46" s="375"/>
      <c r="F46" s="375"/>
      <c r="G46" s="375"/>
      <c r="H46" s="375"/>
      <c r="I46" s="381"/>
      <c r="J46" s="381"/>
      <c r="K46" s="381"/>
      <c r="L46" s="381"/>
      <c r="M46" s="381"/>
      <c r="N46" s="410"/>
    </row>
    <row r="47" s="383" customFormat="1">
      <c r="A47" s="384" t="s">
        <v>366</v>
      </c>
      <c r="B47" s="395">
        <f>+B48+B85+B89+B102+B106+B108</f>
        <v>315166.364</v>
      </c>
      <c r="C47" s="395">
        <f t="shared" ref="C47:M47" si="340">+C48+C85+C89+C102+C106+C108</f>
        <v>260328.69965192658</v>
      </c>
      <c r="D47" s="395">
        <f t="shared" si="340"/>
        <v>227183.04922561694</v>
      </c>
      <c r="E47" s="395">
        <f t="shared" si="340"/>
        <v>204077.76264161692</v>
      </c>
      <c r="F47" s="395">
        <f t="shared" si="340"/>
        <v>298836.67231961695</v>
      </c>
      <c r="G47" s="395">
        <f>+G48+G85+G89+G102+G106+G108</f>
        <v>265097.90693561698</v>
      </c>
      <c r="H47" s="395">
        <f t="shared" si="340"/>
        <v>183139.90342961694</v>
      </c>
      <c r="I47" s="395">
        <f t="shared" si="340"/>
        <v>176760.55390234257</v>
      </c>
      <c r="J47" s="395">
        <f t="shared" si="340"/>
        <v>161864.99966234257</v>
      </c>
      <c r="K47" s="395">
        <f>+K48+K85+K89+K102+K106+K108</f>
        <v>139148.35554460666</v>
      </c>
      <c r="L47" s="395">
        <f t="shared" si="340"/>
        <v>188845.81289260666</v>
      </c>
      <c r="M47" s="395">
        <f t="shared" si="340"/>
        <v>132291.97469260666</v>
      </c>
      <c r="N47" s="410"/>
      <c r="O47" s="36"/>
      <c r="P47" s="36"/>
      <c r="Q47" s="36"/>
      <c r="R47" s="36"/>
      <c r="S47" s="36"/>
      <c r="T47" s="36"/>
      <c r="U47" s="36"/>
      <c r="V47" s="36"/>
      <c r="W47" s="36"/>
      <c r="X47" s="36"/>
      <c r="Y47" s="36"/>
      <c r="Z47" s="36"/>
      <c r="AA47" s="36"/>
      <c r="AB47" s="36"/>
      <c r="AC47" s="36"/>
      <c r="AD47" s="36"/>
      <c r="AE47" s="36"/>
      <c r="AF47" s="36"/>
      <c r="AG47" s="36"/>
      <c r="AH47" s="36"/>
      <c r="AI47" s="36"/>
      <c r="AJ47" s="36"/>
      <c r="AK47" s="36"/>
      <c r="AL47" s="36"/>
    </row>
    <row r="48">
      <c r="A48" s="391" t="str">
        <f>'Compte résultat prévi'!A45</f>
        <v xml:space="preserve">Achats/Frais généraux</v>
      </c>
      <c r="B48" s="388">
        <f>SUM(B49:B84)</f>
        <v>80283.279999999999</v>
      </c>
      <c r="C48" s="388">
        <f>SUM(C49:C84)</f>
        <v>107417.70666666667</v>
      </c>
      <c r="D48" s="388">
        <f>SUM(D49:D84)</f>
        <v>73230.056666666671</v>
      </c>
      <c r="E48" s="388">
        <f>SUM(E49:E84)</f>
        <v>48528.066666666666</v>
      </c>
      <c r="F48" s="388">
        <f t="shared" ref="F48:M48" si="341">SUM(F49:F84)</f>
        <v>67014.416666666672</v>
      </c>
      <c r="G48" s="388">
        <f t="shared" si="341"/>
        <v>35079.816666666666</v>
      </c>
      <c r="H48" s="388">
        <f t="shared" si="341"/>
        <v>33334.476666666669</v>
      </c>
      <c r="I48" s="388">
        <f t="shared" si="341"/>
        <v>56798.26666666667</v>
      </c>
      <c r="J48" s="388">
        <f t="shared" si="341"/>
        <v>24023.666666666668</v>
      </c>
      <c r="K48" s="388">
        <f>SUM(K49:K84)</f>
        <v>32453.666666666668</v>
      </c>
      <c r="L48" s="388">
        <f t="shared" si="341"/>
        <v>81425.666666666657</v>
      </c>
      <c r="M48" s="388">
        <f t="shared" si="341"/>
        <v>30053.666666666664</v>
      </c>
    </row>
    <row r="49" outlineLevel="1">
      <c r="A49" s="393" t="s">
        <v>404</v>
      </c>
      <c r="B49" s="390"/>
      <c r="C49" s="390"/>
      <c r="D49" s="390"/>
      <c r="E49" s="390"/>
      <c r="F49" s="390"/>
      <c r="G49" s="390"/>
      <c r="H49" s="390"/>
      <c r="I49" s="390"/>
      <c r="J49" s="390"/>
      <c r="K49" s="390"/>
      <c r="L49" s="390"/>
      <c r="M49" s="390"/>
      <c r="N49" s="410">
        <f>SUM(B49:M49)/12</f>
        <v>0</v>
      </c>
    </row>
    <row r="50" outlineLevel="1">
      <c r="A50" s="393" t="str">
        <f>'Compte résultat prévi'!A47</f>
        <v>STC</v>
      </c>
      <c r="B50" s="390">
        <f>IF('Hypotheses expl (2)'!$P$102="0j",'Hypotheses expl (2)'!C102,IF('Hypotheses expl (2)'!$P$102="30j",'Hypotheses expl (2)'!B102,'Hypotheses expl (2)'!A102))</f>
        <v>0</v>
      </c>
      <c r="C50" s="390">
        <f>IF('Hypotheses expl (2)'!$P$102="0j",'Hypotheses expl (2)'!D102,IF('Hypotheses expl (2)'!$P$102="30j",'Hypotheses expl (2)'!C102,'Hypotheses expl (2)'!B102))</f>
        <v>0</v>
      </c>
      <c r="D50" s="390">
        <f>IF('Hypotheses expl (2)'!$P$102="0j",'Hypotheses expl (2)'!E102,IF('Hypotheses expl (2)'!$P$102="30j",'Hypotheses expl (2)'!D102,'Hypotheses expl (2)'!C102))</f>
        <v>0</v>
      </c>
      <c r="E50" s="390">
        <f>IF('Hypotheses expl (2)'!$P$102="0j",'Hypotheses expl (2)'!F102,IF('Hypotheses expl (2)'!$P$102="30j",'Hypotheses expl (2)'!E102,'Hypotheses expl (2)'!D102))</f>
        <v>0</v>
      </c>
      <c r="F50" s="390">
        <f>IF('Hypotheses expl (2)'!$P$102="0j",'Hypotheses expl (2)'!G102,IF('Hypotheses expl (2)'!$P$102="30j",'Hypotheses expl (2)'!F102,'Hypotheses expl (2)'!E102))</f>
        <v>0</v>
      </c>
      <c r="G50" s="390">
        <f>IF('Hypotheses expl (2)'!$P$102="0j",'Hypotheses expl (2)'!H102,IF('Hypotheses expl (2)'!$P$102="30j",'Hypotheses expl (2)'!G102,'Hypotheses expl (2)'!F102))</f>
        <v>0</v>
      </c>
      <c r="H50" s="390">
        <f>IF('Hypotheses expl (2)'!$P$102="0j",'Hypotheses expl (2)'!I102,IF('Hypotheses expl (2)'!$P$102="30j",'Hypotheses expl (2)'!H102,'Hypotheses expl (2)'!G102))</f>
        <v>0</v>
      </c>
      <c r="I50" s="390">
        <f>IF('Hypotheses expl (2)'!$P$102="0j",'Hypotheses expl (2)'!J102,IF('Hypotheses expl (2)'!$P$102="30j",'Hypotheses expl (2)'!I102,'Hypotheses expl (2)'!H102))</f>
        <v>0</v>
      </c>
      <c r="J50" s="390">
        <f>IF('Hypotheses expl (2)'!$P$102="0j",'Hypotheses expl (2)'!K102,IF('Hypotheses expl (2)'!$P$102="30j",'Hypotheses expl (2)'!J102,'Hypotheses expl (2)'!I102))</f>
        <v>0</v>
      </c>
      <c r="K50" s="390">
        <f>IF('Hypotheses expl (2)'!$P$102="0j",'Hypotheses expl (2)'!L102,IF('Hypotheses expl (2)'!$P$102="30j",'Hypotheses expl (2)'!K102,'Hypotheses expl (2)'!J102))</f>
        <v>0</v>
      </c>
      <c r="L50" s="390">
        <f>IF('Hypotheses expl (2)'!$P$102="0j",'Hypotheses expl (2)'!M102,IF('Hypotheses expl (2)'!$P$102="30j",'Hypotheses expl (2)'!L102,'Hypotheses expl (2)'!K102))</f>
        <v>0</v>
      </c>
      <c r="M50" s="390">
        <f>IF('Hypotheses expl (2)'!$P$102="0j",'Hypotheses expl (2)'!N102,IF('Hypotheses expl (2)'!$P$102="30j",'Hypotheses expl (2)'!M102,'Hypotheses expl (2)'!L102))</f>
        <v>0</v>
      </c>
      <c r="N50" s="410">
        <f>SUM(B50:M50)/12</f>
        <v>0</v>
      </c>
    </row>
    <row r="51" outlineLevel="1">
      <c r="A51" s="393" t="str">
        <f>'Compte résultat prévi'!A48</f>
        <v xml:space="preserve">Projet Voltaire et autres</v>
      </c>
      <c r="B51" s="390"/>
      <c r="C51" s="390"/>
      <c r="D51" s="390"/>
      <c r="E51" s="390">
        <v>0</v>
      </c>
      <c r="F51" s="390">
        <v>0</v>
      </c>
      <c r="G51" s="390">
        <v>0</v>
      </c>
      <c r="H51" s="390"/>
      <c r="I51" s="390"/>
      <c r="J51" s="390"/>
      <c r="K51" s="390">
        <v>0</v>
      </c>
      <c r="L51" s="390">
        <v>0</v>
      </c>
      <c r="M51" s="390">
        <v>0</v>
      </c>
      <c r="N51" s="410">
        <f>SUM(B51:M51)/12</f>
        <v>0</v>
      </c>
    </row>
    <row r="52" outlineLevel="1">
      <c r="A52" s="393" t="str">
        <f>'Compte résultat prévi'!A49</f>
        <v xml:space="preserve">Carre potager</v>
      </c>
      <c r="B52" s="390">
        <v>125</v>
      </c>
      <c r="C52" s="390">
        <f>IF('Hypotheses expl (2)'!$P$104="0j",'Hypotheses expl (2)'!D104,IF('Hypotheses expl (2)'!$P$104="30j",'Hypotheses expl (2)'!C104,'Hypotheses expl (2)'!B104))</f>
        <v>125</v>
      </c>
      <c r="D52" s="390">
        <f>IF('Hypotheses expl (2)'!$P$104="0j",'Hypotheses expl (2)'!E104,IF('Hypotheses expl (2)'!$P$104="30j",'Hypotheses expl (2)'!D104,'Hypotheses expl (2)'!C104))</f>
        <v>125</v>
      </c>
      <c r="E52" s="390">
        <f>IF('Hypotheses expl (2)'!$P$104="0j",'Hypotheses expl (2)'!F104,IF('Hypotheses expl (2)'!$P$104="30j",'Hypotheses expl (2)'!E104,'Hypotheses expl (2)'!D104))</f>
        <v>125</v>
      </c>
      <c r="F52" s="390">
        <f>IF('Hypotheses expl (2)'!$P$104="0j",'Hypotheses expl (2)'!G104,IF('Hypotheses expl (2)'!$P$104="30j",'Hypotheses expl (2)'!F104,'Hypotheses expl (2)'!E104))</f>
        <v>125</v>
      </c>
      <c r="G52" s="390">
        <f>IF('Hypotheses expl (2)'!$P$104="0j",'Hypotheses expl (2)'!H104,IF('Hypotheses expl (2)'!$P$104="30j",'Hypotheses expl (2)'!G104,'Hypotheses expl (2)'!F104))</f>
        <v>125</v>
      </c>
      <c r="H52" s="390">
        <f>IF('Hypotheses expl (2)'!$P$104="0j",'Hypotheses expl (2)'!I104,IF('Hypotheses expl (2)'!$P$104="30j",'Hypotheses expl (2)'!H104,'Hypotheses expl (2)'!G104))</f>
        <v>125</v>
      </c>
      <c r="I52" s="390">
        <f>IF('Hypotheses expl (2)'!$P$104="0j",'Hypotheses expl (2)'!J104,IF('Hypotheses expl (2)'!$P$104="30j",'Hypotheses expl (2)'!I104,'Hypotheses expl (2)'!H104))</f>
        <v>125</v>
      </c>
      <c r="J52" s="390">
        <f>IF('Hypotheses expl (2)'!$P$104="0j",'Hypotheses expl (2)'!K104,IF('Hypotheses expl (2)'!$P$104="30j",'Hypotheses expl (2)'!J104,'Hypotheses expl (2)'!I104))</f>
        <v>125</v>
      </c>
      <c r="K52" s="390">
        <f>IF('Hypotheses expl (2)'!$P$104="0j",'Hypotheses expl (2)'!L104,IF('Hypotheses expl (2)'!$P$104="30j",'Hypotheses expl (2)'!K104,'Hypotheses expl (2)'!J104))</f>
        <v>125</v>
      </c>
      <c r="L52" s="390">
        <f>IF('Hypotheses expl (2)'!$P$104="0j",'Hypotheses expl (2)'!M104,IF('Hypotheses expl (2)'!$P$104="30j",'Hypotheses expl (2)'!L104,'Hypotheses expl (2)'!K104))</f>
        <v>125</v>
      </c>
      <c r="M52" s="390">
        <f>IF('Hypotheses expl (2)'!$P$104="0j",'Hypotheses expl (2)'!N104,IF('Hypotheses expl (2)'!$P$104="30j",'Hypotheses expl (2)'!M104,'Hypotheses expl (2)'!L104))</f>
        <v>125</v>
      </c>
      <c r="N52" s="410">
        <f>SUM(B52:M52)/12</f>
        <v>125</v>
      </c>
    </row>
    <row r="53" outlineLevel="1">
      <c r="A53" s="393" t="str">
        <f>'Compte résultat prévi'!A50</f>
        <v>Carburant</v>
      </c>
      <c r="B53" s="390">
        <v>380</v>
      </c>
      <c r="C53" s="390">
        <v>380</v>
      </c>
      <c r="D53" s="390">
        <v>380</v>
      </c>
      <c r="E53" s="390">
        <v>380</v>
      </c>
      <c r="F53" s="390">
        <v>380</v>
      </c>
      <c r="G53" s="390">
        <v>380</v>
      </c>
      <c r="H53" s="390">
        <v>380</v>
      </c>
      <c r="I53" s="390">
        <v>380</v>
      </c>
      <c r="J53" s="390">
        <v>380</v>
      </c>
      <c r="K53" s="390">
        <v>380</v>
      </c>
      <c r="L53" s="390">
        <v>380</v>
      </c>
      <c r="M53" s="390">
        <v>380</v>
      </c>
      <c r="N53" s="410">
        <f>SUM(B53:M53)/12</f>
        <v>380</v>
      </c>
    </row>
    <row r="54" outlineLevel="1">
      <c r="A54" s="393" t="str">
        <f>'Compte résultat prévi'!A51</f>
        <v xml:space="preserve">Produits d'entretien</v>
      </c>
      <c r="B54" s="390">
        <v>800</v>
      </c>
      <c r="C54" s="390">
        <v>800</v>
      </c>
      <c r="D54" s="390">
        <v>800</v>
      </c>
      <c r="E54" s="390">
        <v>800</v>
      </c>
      <c r="F54" s="390">
        <v>800</v>
      </c>
      <c r="G54" s="390">
        <v>800</v>
      </c>
      <c r="H54" s="390">
        <v>800</v>
      </c>
      <c r="I54" s="390">
        <v>800</v>
      </c>
      <c r="J54" s="390">
        <v>800</v>
      </c>
      <c r="K54" s="390">
        <v>800</v>
      </c>
      <c r="L54" s="390">
        <v>800</v>
      </c>
      <c r="M54" s="390">
        <v>800</v>
      </c>
      <c r="N54" s="410">
        <f>SUM(B54:M54)/12</f>
        <v>800</v>
      </c>
    </row>
    <row r="55" outlineLevel="1">
      <c r="A55" s="393" t="str">
        <f>'Compte résultat prévi'!A52</f>
        <v xml:space="preserve">Petites fournitures</v>
      </c>
      <c r="B55" s="390">
        <v>985</v>
      </c>
      <c r="C55" s="390">
        <f>IF('Hypotheses expl (2)'!$P$107="0j",'Hypotheses expl (2)'!D107,IF('Hypotheses expl (2)'!$P$107="30j",'Hypotheses expl (2)'!C107,'Hypotheses expl (2)'!B107))</f>
        <v>750</v>
      </c>
      <c r="D55" s="390">
        <f>IF('Hypotheses expl (2)'!$P$107="0j",'Hypotheses expl (2)'!E107,IF('Hypotheses expl (2)'!$P$107="30j",'Hypotheses expl (2)'!D107,'Hypotheses expl (2)'!C107))</f>
        <v>750</v>
      </c>
      <c r="E55" s="390">
        <f>IF('Hypotheses expl (2)'!$P$107="0j",'Hypotheses expl (2)'!F107,IF('Hypotheses expl (2)'!$P$107="30j",'Hypotheses expl (2)'!E107,'Hypotheses expl (2)'!D107))</f>
        <v>750</v>
      </c>
      <c r="F55" s="390">
        <f>IF('Hypotheses expl (2)'!$P$107="0j",'Hypotheses expl (2)'!G107,IF('Hypotheses expl (2)'!$P$107="30j",'Hypotheses expl (2)'!F107,'Hypotheses expl (2)'!E107))</f>
        <v>750</v>
      </c>
      <c r="G55" s="390">
        <f>IF('Hypotheses expl (2)'!$P$107="0j",'Hypotheses expl (2)'!H107,IF('Hypotheses expl (2)'!$P$107="30j",'Hypotheses expl (2)'!G107,'Hypotheses expl (2)'!F107))</f>
        <v>750</v>
      </c>
      <c r="H55" s="390">
        <f>IF('Hypotheses expl (2)'!$P$107="0j",'Hypotheses expl (2)'!I107,IF('Hypotheses expl (2)'!$P$107="30j",'Hypotheses expl (2)'!H107,'Hypotheses expl (2)'!G107))</f>
        <v>750</v>
      </c>
      <c r="I55" s="390">
        <f>IF('Hypotheses expl (2)'!$P$107="0j",'Hypotheses expl (2)'!J107,IF('Hypotheses expl (2)'!$P$107="30j",'Hypotheses expl (2)'!I107,'Hypotheses expl (2)'!H107))</f>
        <v>750</v>
      </c>
      <c r="J55" s="390">
        <f>IF('Hypotheses expl (2)'!$P$107="0j",'Hypotheses expl (2)'!K107,IF('Hypotheses expl (2)'!$P$107="30j",'Hypotheses expl (2)'!J107,'Hypotheses expl (2)'!I107))</f>
        <v>750</v>
      </c>
      <c r="K55" s="390">
        <f>IF('Hypotheses expl (2)'!$P$107="0j",'Hypotheses expl (2)'!L107,IF('Hypotheses expl (2)'!$P$107="30j",'Hypotheses expl (2)'!K107,'Hypotheses expl (2)'!J107))</f>
        <v>750</v>
      </c>
      <c r="L55" s="390">
        <f>IF('Hypotheses expl (2)'!$P$107="0j",'Hypotheses expl (2)'!M107,IF('Hypotheses expl (2)'!$P$107="30j",'Hypotheses expl (2)'!L107,'Hypotheses expl (2)'!K107))</f>
        <v>750</v>
      </c>
      <c r="M55" s="390">
        <f>IF('Hypotheses expl (2)'!$P$107="0j",'Hypotheses expl (2)'!N107,IF('Hypotheses expl (2)'!$P$107="30j",'Hypotheses expl (2)'!M107,'Hypotheses expl (2)'!L107))</f>
        <v>750</v>
      </c>
      <c r="N55" s="410">
        <f>SUM(B55:M55)/12</f>
        <v>769.58333333333337</v>
      </c>
    </row>
    <row r="56" outlineLevel="1">
      <c r="A56" s="393" t="str">
        <f>'Compte résultat prévi'!A53</f>
        <v xml:space="preserve">Photocopies et frais éducatifs</v>
      </c>
      <c r="B56" s="390">
        <f>IF('Hypotheses expl (2)'!$P$108="0j",'Hypotheses expl (2)'!C108,IF('Hypotheses expl (2)'!$P$108="30j",'Hypotheses expl (2)'!B108,'Hypotheses expl (2)'!A108))</f>
        <v>0</v>
      </c>
      <c r="C56" s="390">
        <f>IF('Hypotheses expl (2)'!$P$108="0j",'Hypotheses expl (2)'!D108,IF('Hypotheses expl (2)'!$P$108="30j",'Hypotheses expl (2)'!C108,'Hypotheses expl (2)'!B108))</f>
        <v>0</v>
      </c>
      <c r="D56" s="390">
        <f>IF('Hypotheses expl (2)'!$P$108="0j",'Hypotheses expl (2)'!E108,IF('Hypotheses expl (2)'!$P$108="30j",'Hypotheses expl (2)'!D108,'Hypotheses expl (2)'!C108))</f>
        <v>500</v>
      </c>
      <c r="E56" s="390">
        <f>IF('Hypotheses expl (2)'!$P$108="0j",'Hypotheses expl (2)'!F108,IF('Hypotheses expl (2)'!$P$108="30j",'Hypotheses expl (2)'!E108,'Hypotheses expl (2)'!D108))</f>
        <v>0</v>
      </c>
      <c r="F56" s="390">
        <f>IF('Hypotheses expl (2)'!$P$108="0j",'Hypotheses expl (2)'!G108,IF('Hypotheses expl (2)'!$P$108="30j",'Hypotheses expl (2)'!F108,'Hypotheses expl (2)'!E108))</f>
        <v>3000</v>
      </c>
      <c r="G56" s="390">
        <f>IF('Hypotheses expl (2)'!$P$108="0j",'Hypotheses expl (2)'!H108,IF('Hypotheses expl (2)'!$P$108="30j",'Hypotheses expl (2)'!G108,'Hypotheses expl (2)'!F108))</f>
        <v>0</v>
      </c>
      <c r="H56" s="390">
        <f>IF('Hypotheses expl (2)'!$P$108="0j",'Hypotheses expl (2)'!I108,IF('Hypotheses expl (2)'!$P$108="30j",'Hypotheses expl (2)'!H108,'Hypotheses expl (2)'!G108))</f>
        <v>0</v>
      </c>
      <c r="I56" s="390">
        <f>IF('Hypotheses expl (2)'!$P$108="0j",'Hypotheses expl (2)'!J108,IF('Hypotheses expl (2)'!$P$108="30j",'Hypotheses expl (2)'!I108,'Hypotheses expl (2)'!H108))</f>
        <v>0</v>
      </c>
      <c r="J56" s="390">
        <f>IF('Hypotheses expl (2)'!$P$108="0j",'Hypotheses expl (2)'!K108,IF('Hypotheses expl (2)'!$P$108="30j",'Hypotheses expl (2)'!J108,'Hypotheses expl (2)'!I108))</f>
        <v>500</v>
      </c>
      <c r="K56" s="390">
        <f>IF('Hypotheses expl (2)'!$P$108="0j",'Hypotheses expl (2)'!L108,IF('Hypotheses expl (2)'!$P$108="30j",'Hypotheses expl (2)'!K108,'Hypotheses expl (2)'!J108))</f>
        <v>0</v>
      </c>
      <c r="L56" s="390">
        <f>IF('Hypotheses expl (2)'!$P$108="0j",'Hypotheses expl (2)'!M108,IF('Hypotheses expl (2)'!$P$108="30j",'Hypotheses expl (2)'!L108,'Hypotheses expl (2)'!K108))</f>
        <v>0</v>
      </c>
      <c r="M56" s="390">
        <f>IF('Hypotheses expl (2)'!$P$108="0j",'Hypotheses expl (2)'!N108,IF('Hypotheses expl (2)'!$P$108="30j",'Hypotheses expl (2)'!M108,'Hypotheses expl (2)'!L108))</f>
        <v>0</v>
      </c>
      <c r="N56" s="410">
        <f>SUM(B56:M56)/12</f>
        <v>333.33333333333331</v>
      </c>
    </row>
    <row r="57" outlineLevel="1">
      <c r="A57" s="393" t="str">
        <f>'Compte résultat prévi'!A54</f>
        <v xml:space="preserve">Sous-traitance générale</v>
      </c>
      <c r="B57" s="390">
        <f>IF('Hypotheses expl (2)'!$P$109="0j",'Hypotheses expl (2)'!C109,IF('Hypotheses expl (2)'!$P$109="30j",'Hypotheses expl (2)'!B109,'Hypotheses expl (2)'!A109))</f>
        <v>0</v>
      </c>
      <c r="C57" s="390">
        <f>IF('Hypotheses expl (2)'!$P$109="0j",'Hypotheses expl (2)'!D109,IF('Hypotheses expl (2)'!$P$109="30j",'Hypotheses expl (2)'!C109,'Hypotheses expl (2)'!B109))</f>
        <v>0</v>
      </c>
      <c r="D57" s="390">
        <f>IF('Hypotheses expl (2)'!$P$109="0j",'Hypotheses expl (2)'!E109,IF('Hypotheses expl (2)'!$P$109="30j",'Hypotheses expl (2)'!D109,'Hypotheses expl (2)'!C109))</f>
        <v>0</v>
      </c>
      <c r="E57" s="390">
        <f>IF('Hypotheses expl (2)'!$P$109="0j",'Hypotheses expl (2)'!F109,IF('Hypotheses expl (2)'!$P$109="30j",'Hypotheses expl (2)'!E109,'Hypotheses expl (2)'!D109))</f>
        <v>0</v>
      </c>
      <c r="F57" s="390">
        <f>IF('Hypotheses expl (2)'!$P$109="0j",'Hypotheses expl (2)'!G109,IF('Hypotheses expl (2)'!$P$109="30j",'Hypotheses expl (2)'!F109,'Hypotheses expl (2)'!E109))</f>
        <v>0</v>
      </c>
      <c r="G57" s="390">
        <f>IF('Hypotheses expl (2)'!$P$109="0j",'Hypotheses expl (2)'!H109,IF('Hypotheses expl (2)'!$P$109="30j",'Hypotheses expl (2)'!G109,'Hypotheses expl (2)'!F109))</f>
        <v>0</v>
      </c>
      <c r="H57" s="390">
        <f>IF('Hypotheses expl (2)'!$P$109="0j",'Hypotheses expl (2)'!I109,IF('Hypotheses expl (2)'!$P$109="30j",'Hypotheses expl (2)'!H109,'Hypotheses expl (2)'!G109))</f>
        <v>0</v>
      </c>
      <c r="I57" s="390">
        <f>IF('Hypotheses expl (2)'!$P$109="0j",'Hypotheses expl (2)'!J109,IF('Hypotheses expl (2)'!$P$109="30j",'Hypotheses expl (2)'!I109,'Hypotheses expl (2)'!H109))</f>
        <v>0</v>
      </c>
      <c r="J57" s="390">
        <f>IF('Hypotheses expl (2)'!$P$109="0j",'Hypotheses expl (2)'!K109,IF('Hypotheses expl (2)'!$P$109="30j",'Hypotheses expl (2)'!J109,'Hypotheses expl (2)'!I109))</f>
        <v>0</v>
      </c>
      <c r="K57" s="390">
        <f>IF('Hypotheses expl (2)'!$P$109="0j",'Hypotheses expl (2)'!L109,IF('Hypotheses expl (2)'!$P$109="30j",'Hypotheses expl (2)'!K109,'Hypotheses expl (2)'!J109))</f>
        <v>0</v>
      </c>
      <c r="L57" s="390">
        <f>IF('Hypotheses expl (2)'!$P$109="0j",'Hypotheses expl (2)'!M109,IF('Hypotheses expl (2)'!$P$109="30j",'Hypotheses expl (2)'!L109,'Hypotheses expl (2)'!K109))</f>
        <v>0</v>
      </c>
      <c r="M57" s="390">
        <f>IF('Hypotheses expl (2)'!$P$109="0j",'Hypotheses expl (2)'!N109,IF('Hypotheses expl (2)'!$P$109="30j",'Hypotheses expl (2)'!M109,'Hypotheses expl (2)'!L109))</f>
        <v>0</v>
      </c>
      <c r="N57" s="410">
        <f>SUM(B57:M57)/12</f>
        <v>0</v>
      </c>
    </row>
    <row r="58" outlineLevel="1">
      <c r="A58" s="393" t="str">
        <f>'Compte résultat prévi'!A55</f>
        <v xml:space="preserve">Stages techniques</v>
      </c>
      <c r="B58" s="390">
        <f>1275+412</f>
        <v>1687</v>
      </c>
      <c r="C58" s="390">
        <f>IF('Hypotheses expl (2)'!$P$110="0j",'Hypotheses expl (2)'!D110,IF('Hypotheses expl (2)'!$P$110="30j",'Hypotheses expl (2)'!C110,'Hypotheses expl (2)'!B110))</f>
        <v>6745.2000000000007</v>
      </c>
      <c r="D58" s="390">
        <f>IF('Hypotheses expl (2)'!$P$110="0j",'Hypotheses expl (2)'!E110,IF('Hypotheses expl (2)'!$P$110="30j",'Hypotheses expl (2)'!D110,'Hypotheses expl (2)'!C110))</f>
        <v>5243.7000000000007</v>
      </c>
      <c r="E58" s="390">
        <f>IF('Hypotheses expl (2)'!$P$110="0j",'Hypotheses expl (2)'!F110,IF('Hypotheses expl (2)'!$P$110="30j",'Hypotheses expl (2)'!E110,'Hypotheses expl (2)'!D110))</f>
        <v>6768.3000000000011</v>
      </c>
      <c r="F58" s="390">
        <f>IF('Hypotheses expl (2)'!$P$110="0j",'Hypotheses expl (2)'!G110,IF('Hypotheses expl (2)'!$P$110="30j",'Hypotheses expl (2)'!F110,'Hypotheses expl (2)'!E110))</f>
        <v>7276.5000000000009</v>
      </c>
      <c r="G58" s="390">
        <f>IF('Hypotheses expl (2)'!$P$110="0j",'Hypotheses expl (2)'!H110,IF('Hypotheses expl (2)'!$P$110="30j",'Hypotheses expl (2)'!G110,'Hypotheses expl (2)'!F110))</f>
        <v>11284.35</v>
      </c>
      <c r="H58" s="390">
        <f>IF('Hypotheses expl (2)'!$P$110="0j",'Hypotheses expl (2)'!I110,IF('Hypotheses expl (2)'!$P$110="30j",'Hypotheses expl (2)'!H110,'Hypotheses expl (2)'!G110))</f>
        <v>4862.5500000000002</v>
      </c>
      <c r="I58" s="390">
        <f>IF('Hypotheses expl (2)'!$P$110="0j",'Hypotheses expl (2)'!J110,IF('Hypotheses expl (2)'!$P$110="30j",'Hypotheses expl (2)'!I110,'Hypotheses expl (2)'!H110))</f>
        <v>369.59999999999997</v>
      </c>
      <c r="J58" s="390">
        <f>IF('Hypotheses expl (2)'!$P$110="0j",'Hypotheses expl (2)'!K110,IF('Hypotheses expl (2)'!$P$110="30j",'Hypotheses expl (2)'!J110,'Hypotheses expl (2)'!I110))</f>
        <v>0</v>
      </c>
      <c r="K58" s="390">
        <v>0</v>
      </c>
      <c r="L58" s="390">
        <v>9000</v>
      </c>
      <c r="M58" s="390">
        <v>4500</v>
      </c>
      <c r="N58" s="410">
        <f>SUM(B58:M58)/12</f>
        <v>4811.4333333333334</v>
      </c>
    </row>
    <row r="59" outlineLevel="1">
      <c r="A59" s="393" t="str">
        <f>'Compte résultat prévi'!A56</f>
        <v xml:space="preserve">Prestataires formation</v>
      </c>
      <c r="B59" s="390">
        <v>45000</v>
      </c>
      <c r="C59" s="390">
        <v>6865.8400000000001</v>
      </c>
      <c r="D59" s="390">
        <v>10034.690000000001</v>
      </c>
      <c r="E59" s="390">
        <v>9316.1000000000004</v>
      </c>
      <c r="F59" s="390">
        <v>2161.25</v>
      </c>
      <c r="G59" s="390">
        <v>2341.8000000000002</v>
      </c>
      <c r="H59" s="390">
        <v>4898.2600000000002</v>
      </c>
      <c r="I59" s="390"/>
      <c r="J59" s="390">
        <v>8000</v>
      </c>
      <c r="K59" s="390">
        <v>0</v>
      </c>
      <c r="L59" s="390">
        <v>16227</v>
      </c>
      <c r="M59" s="390">
        <v>8000</v>
      </c>
      <c r="N59" s="410">
        <f>SUM(B59:M59)/12</f>
        <v>9403.7450000000008</v>
      </c>
    </row>
    <row r="60" outlineLevel="1">
      <c r="A60" s="393" t="str">
        <f>'Compte résultat prévi'!A57</f>
        <v xml:space="preserve">Location immobilière</v>
      </c>
      <c r="B60" s="390">
        <v>0</v>
      </c>
      <c r="C60" s="390">
        <v>77000</v>
      </c>
      <c r="D60" s="390">
        <v>38000</v>
      </c>
      <c r="E60" s="390">
        <v>1622</v>
      </c>
      <c r="F60" s="390">
        <v>38000</v>
      </c>
      <c r="G60" s="390">
        <v>1622</v>
      </c>
      <c r="H60" s="390">
        <v>1622</v>
      </c>
      <c r="I60" s="390">
        <v>39622</v>
      </c>
      <c r="J60" s="390">
        <v>1622</v>
      </c>
      <c r="K60" s="390">
        <v>1622</v>
      </c>
      <c r="L60" s="390">
        <v>39622</v>
      </c>
      <c r="M60" s="390">
        <v>1622</v>
      </c>
      <c r="N60" s="410">
        <f>SUM(B60:M60)/12</f>
        <v>20164.666666666668</v>
      </c>
    </row>
    <row r="61" outlineLevel="1">
      <c r="A61" s="393" t="str">
        <f>'Compte résultat prévi'!A58</f>
        <v xml:space="preserve">Location mobilière</v>
      </c>
      <c r="B61" s="390">
        <f>6458+206</f>
        <v>6664</v>
      </c>
      <c r="C61" s="390">
        <f>IF('Hypotheses expl (2)'!$P$113="0j",'Hypotheses expl (2)'!D113,IF('Hypotheses expl (2)'!$P$113="30j",'Hypotheses expl (2)'!C113,'Hypotheses expl (2)'!B113))</f>
        <v>0</v>
      </c>
      <c r="D61" s="390">
        <f>IF('Hypotheses expl (2)'!$P$113="0j",'Hypotheses expl (2)'!E113,IF('Hypotheses expl (2)'!$P$113="30j",'Hypotheses expl (2)'!D113,'Hypotheses expl (2)'!C113))</f>
        <v>0</v>
      </c>
      <c r="E61" s="390">
        <f>IF('Hypotheses expl (2)'!$P$113="0j",'Hypotheses expl (2)'!F113,IF('Hypotheses expl (2)'!$P$113="30j",'Hypotheses expl (2)'!E113,'Hypotheses expl (2)'!D113))</f>
        <v>3750</v>
      </c>
      <c r="F61" s="390">
        <f>IF('Hypotheses expl (2)'!$P$113="0j",'Hypotheses expl (2)'!G113,IF('Hypotheses expl (2)'!$P$113="30j",'Hypotheses expl (2)'!F113,'Hypotheses expl (2)'!E113))</f>
        <v>0</v>
      </c>
      <c r="G61" s="390">
        <f>IF('Hypotheses expl (2)'!$P$113="0j",'Hypotheses expl (2)'!H113,IF('Hypotheses expl (2)'!$P$113="30j",'Hypotheses expl (2)'!G113,'Hypotheses expl (2)'!F113))</f>
        <v>0</v>
      </c>
      <c r="H61" s="390">
        <f>IF('Hypotheses expl (2)'!$P$113="0j",'Hypotheses expl (2)'!I113,IF('Hypotheses expl (2)'!$P$113="30j",'Hypotheses expl (2)'!H113,'Hypotheses expl (2)'!G113))</f>
        <v>3750</v>
      </c>
      <c r="I61" s="390">
        <f>IF('Hypotheses expl (2)'!$P$113="0j",'Hypotheses expl (2)'!J113,IF('Hypotheses expl (2)'!$P$113="30j",'Hypotheses expl (2)'!I113,'Hypotheses expl (2)'!H113))</f>
        <v>0</v>
      </c>
      <c r="J61" s="390">
        <f>IF('Hypotheses expl (2)'!$P$113="0j",'Hypotheses expl (2)'!K113,IF('Hypotheses expl (2)'!$P$113="30j",'Hypotheses expl (2)'!J113,'Hypotheses expl (2)'!I113))</f>
        <v>0</v>
      </c>
      <c r="K61" s="390">
        <f>IF('Hypotheses expl (2)'!$P$113="0j",'Hypotheses expl (2)'!L113,IF('Hypotheses expl (2)'!$P$113="30j",'Hypotheses expl (2)'!K113,'Hypotheses expl (2)'!J113))</f>
        <v>3750</v>
      </c>
      <c r="L61" s="390">
        <v>0</v>
      </c>
      <c r="M61" s="390">
        <f>IF('Hypotheses expl (2)'!$P$113="0j",'Hypotheses expl (2)'!N113,IF('Hypotheses expl (2)'!$P$113="30j",'Hypotheses expl (2)'!M113,'Hypotheses expl (2)'!L113))</f>
        <v>0</v>
      </c>
      <c r="N61" s="410">
        <f>SUM(B61:M61)/12</f>
        <v>1492.8333333333333</v>
      </c>
    </row>
    <row r="62" outlineLevel="1">
      <c r="A62" s="393" t="str">
        <f>'Compte résultat prévi'!A59</f>
        <v xml:space="preserve">Entretien sur locaux</v>
      </c>
      <c r="B62" s="390">
        <v>1224</v>
      </c>
      <c r="C62" s="390">
        <f>IF('Hypotheses expl (2)'!$P$114="0j",'Hypotheses expl (2)'!D114,IF('Hypotheses expl (2)'!$P$114="30j",'Hypotheses expl (2)'!C114,'Hypotheses expl (2)'!B114))</f>
        <v>841</v>
      </c>
      <c r="D62" s="390">
        <f>IF('Hypotheses expl (2)'!$P$114="0j",'Hypotheses expl (2)'!E114,IF('Hypotheses expl (2)'!$P$114="30j",'Hypotheses expl (2)'!D114,'Hypotheses expl (2)'!C114))</f>
        <v>841</v>
      </c>
      <c r="E62" s="390">
        <f>IF('Hypotheses expl (2)'!$P$114="0j",'Hypotheses expl (2)'!F114,IF('Hypotheses expl (2)'!$P$114="30j",'Hypotheses expl (2)'!E114,'Hypotheses expl (2)'!D114))</f>
        <v>841</v>
      </c>
      <c r="F62" s="390">
        <f>IF('Hypotheses expl (2)'!$P$114="0j",'Hypotheses expl (2)'!G114,IF('Hypotheses expl (2)'!$P$114="30j",'Hypotheses expl (2)'!F114,'Hypotheses expl (2)'!E114))</f>
        <v>841</v>
      </c>
      <c r="G62" s="390">
        <f>IF('Hypotheses expl (2)'!$P$114="0j",'Hypotheses expl (2)'!H114,IF('Hypotheses expl (2)'!$P$114="30j",'Hypotheses expl (2)'!G114,'Hypotheses expl (2)'!F114))</f>
        <v>841</v>
      </c>
      <c r="H62" s="390">
        <f>IF('Hypotheses expl (2)'!$P$114="0j",'Hypotheses expl (2)'!I114,IF('Hypotheses expl (2)'!$P$114="30j",'Hypotheses expl (2)'!H114,'Hypotheses expl (2)'!G114))</f>
        <v>841</v>
      </c>
      <c r="I62" s="390">
        <f>IF('Hypotheses expl (2)'!$P$114="0j",'Hypotheses expl (2)'!J114,IF('Hypotheses expl (2)'!$P$114="30j",'Hypotheses expl (2)'!I114,'Hypotheses expl (2)'!H114))</f>
        <v>841</v>
      </c>
      <c r="J62" s="390">
        <f>IF('Hypotheses expl (2)'!$P$114="0j",'Hypotheses expl (2)'!K114,IF('Hypotheses expl (2)'!$P$114="30j",'Hypotheses expl (2)'!J114,'Hypotheses expl (2)'!I114))</f>
        <v>841</v>
      </c>
      <c r="K62" s="390">
        <f>IF('Hypotheses expl (2)'!$P$114="0j",'Hypotheses expl (2)'!L114,IF('Hypotheses expl (2)'!$P$114="30j",'Hypotheses expl (2)'!K114,'Hypotheses expl (2)'!J114))</f>
        <v>841</v>
      </c>
      <c r="L62" s="390">
        <f>IF('Hypotheses expl (2)'!$P$114="0j",'Hypotheses expl (2)'!M114,IF('Hypotheses expl (2)'!$P$114="30j",'Hypotheses expl (2)'!L114,'Hypotheses expl (2)'!K114))</f>
        <v>841</v>
      </c>
      <c r="M62" s="390">
        <f>IF('Hypotheses expl (2)'!$P$114="0j",'Hypotheses expl (2)'!N114,IF('Hypotheses expl (2)'!$P$114="30j",'Hypotheses expl (2)'!M114,'Hypotheses expl (2)'!L114))</f>
        <v>841</v>
      </c>
      <c r="N62" s="410">
        <f>SUM(B62:M62)/12</f>
        <v>872.91666666666663</v>
      </c>
    </row>
    <row r="63" outlineLevel="1">
      <c r="A63" s="393" t="str">
        <f>'Compte résultat prévi'!A60</f>
        <v xml:space="preserve">Maintenance  générale</v>
      </c>
      <c r="B63" s="390">
        <f>2520+2146</f>
        <v>4666</v>
      </c>
      <c r="C63" s="390">
        <f>IF('Hypotheses expl (2)'!$P$115="0j",'Hypotheses expl (2)'!D115,IF('Hypotheses expl (2)'!$P$115="30j",'Hypotheses expl (2)'!C115,'Hypotheses expl (2)'!B115))</f>
        <v>883.33333333333337</v>
      </c>
      <c r="D63" s="390">
        <f>IF('Hypotheses expl (2)'!$P$115="0j",'Hypotheses expl (2)'!E115,IF('Hypotheses expl (2)'!$P$115="30j",'Hypotheses expl (2)'!D115,'Hypotheses expl (2)'!C115))</f>
        <v>883.33333333333337</v>
      </c>
      <c r="E63" s="390">
        <f>IF('Hypotheses expl (2)'!$P$115="0j",'Hypotheses expl (2)'!F115,IF('Hypotheses expl (2)'!$P$115="30j",'Hypotheses expl (2)'!E115,'Hypotheses expl (2)'!D115))</f>
        <v>883.33333333333337</v>
      </c>
      <c r="F63" s="390">
        <f>IF('Hypotheses expl (2)'!$P$115="0j",'Hypotheses expl (2)'!G115,IF('Hypotheses expl (2)'!$P$115="30j",'Hypotheses expl (2)'!F115,'Hypotheses expl (2)'!E115))</f>
        <v>883.33333333333337</v>
      </c>
      <c r="G63" s="390">
        <f>IF('Hypotheses expl (2)'!$P$115="0j",'Hypotheses expl (2)'!H115,IF('Hypotheses expl (2)'!$P$115="30j",'Hypotheses expl (2)'!G115,'Hypotheses expl (2)'!F115))</f>
        <v>883.33333333333337</v>
      </c>
      <c r="H63" s="390">
        <f>IF('Hypotheses expl (2)'!$P$115="0j",'Hypotheses expl (2)'!I115,IF('Hypotheses expl (2)'!$P$115="30j",'Hypotheses expl (2)'!H115,'Hypotheses expl (2)'!G115))</f>
        <v>883.33333333333337</v>
      </c>
      <c r="I63" s="390">
        <f>IF('Hypotheses expl (2)'!$P$115="0j",'Hypotheses expl (2)'!J115,IF('Hypotheses expl (2)'!$P$115="30j",'Hypotheses expl (2)'!I115,'Hypotheses expl (2)'!H115))</f>
        <v>883.33333333333337</v>
      </c>
      <c r="J63" s="390">
        <f>IF('Hypotheses expl (2)'!$P$115="0j",'Hypotheses expl (2)'!K115,IF('Hypotheses expl (2)'!$P$115="30j",'Hypotheses expl (2)'!J115,'Hypotheses expl (2)'!I115))</f>
        <v>883.33333333333337</v>
      </c>
      <c r="K63" s="390">
        <f>IF('Hypotheses expl (2)'!$P$115="0j",'Hypotheses expl (2)'!L115,IF('Hypotheses expl (2)'!$P$115="30j",'Hypotheses expl (2)'!K115,'Hypotheses expl (2)'!J115))</f>
        <v>883.33333333333337</v>
      </c>
      <c r="L63" s="390">
        <f>IF('Hypotheses expl (2)'!$P$115="0j",'Hypotheses expl (2)'!M115,IF('Hypotheses expl (2)'!$P$115="30j",'Hypotheses expl (2)'!L115,'Hypotheses expl (2)'!K115))</f>
        <v>883.33333333333337</v>
      </c>
      <c r="M63" s="390">
        <f>IF('Hypotheses expl (2)'!$P$115="0j",'Hypotheses expl (2)'!N115,IF('Hypotheses expl (2)'!$P$115="30j",'Hypotheses expl (2)'!M115,'Hypotheses expl (2)'!L115))</f>
        <v>883.33333333333337</v>
      </c>
      <c r="N63" s="410">
        <f>SUM(B63:M63)/12</f>
        <v>1198.5555555555559</v>
      </c>
    </row>
    <row r="64" outlineLevel="1">
      <c r="A64" s="393" t="str">
        <f>'Compte résultat prévi'!A61</f>
        <v>Assurance</v>
      </c>
      <c r="B64" s="390">
        <v>1250</v>
      </c>
      <c r="C64" s="390">
        <f>IF('Hypotheses expl (2)'!$P$116="0j",'Hypotheses expl (2)'!D116,IF('Hypotheses expl (2)'!$P$116="30j",'Hypotheses expl (2)'!C116,'Hypotheses expl (2)'!B116))</f>
        <v>1250</v>
      </c>
      <c r="D64" s="390">
        <f>IF('Hypotheses expl (2)'!$P$116="0j",'Hypotheses expl (2)'!E116,IF('Hypotheses expl (2)'!$P$116="30j",'Hypotheses expl (2)'!D116,'Hypotheses expl (2)'!C116))</f>
        <v>1250</v>
      </c>
      <c r="E64" s="390">
        <f>IF('Hypotheses expl (2)'!$P$116="0j",'Hypotheses expl (2)'!F116,IF('Hypotheses expl (2)'!$P$116="30j",'Hypotheses expl (2)'!E116,'Hypotheses expl (2)'!D116))</f>
        <v>1250</v>
      </c>
      <c r="F64" s="390">
        <f>IF('Hypotheses expl (2)'!$P$116="0j",'Hypotheses expl (2)'!G116,IF('Hypotheses expl (2)'!$P$116="30j",'Hypotheses expl (2)'!F116,'Hypotheses expl (2)'!E116))</f>
        <v>1250</v>
      </c>
      <c r="G64" s="390">
        <f>IF('Hypotheses expl (2)'!$P$116="0j",'Hypotheses expl (2)'!H116,IF('Hypotheses expl (2)'!$P$116="30j",'Hypotheses expl (2)'!G116,'Hypotheses expl (2)'!F116))</f>
        <v>1250</v>
      </c>
      <c r="H64" s="390">
        <f>IF('Hypotheses expl (2)'!$P$116="0j",'Hypotheses expl (2)'!I116,IF('Hypotheses expl (2)'!$P$116="30j",'Hypotheses expl (2)'!H116,'Hypotheses expl (2)'!G116))</f>
        <v>1250</v>
      </c>
      <c r="I64" s="390">
        <f>IF('Hypotheses expl (2)'!$P$116="0j",'Hypotheses expl (2)'!J116,IF('Hypotheses expl (2)'!$P$116="30j",'Hypotheses expl (2)'!I116,'Hypotheses expl (2)'!H116))</f>
        <v>1250</v>
      </c>
      <c r="J64" s="390">
        <f>IF('Hypotheses expl (2)'!$P$116="0j",'Hypotheses expl (2)'!K116,IF('Hypotheses expl (2)'!$P$116="30j",'Hypotheses expl (2)'!J116,'Hypotheses expl (2)'!I116))</f>
        <v>1250</v>
      </c>
      <c r="K64" s="390">
        <f>IF('Hypotheses expl (2)'!$P$116="0j",'Hypotheses expl (2)'!L116,IF('Hypotheses expl (2)'!$P$116="30j",'Hypotheses expl (2)'!K116,'Hypotheses expl (2)'!J116))</f>
        <v>1250</v>
      </c>
      <c r="L64" s="390">
        <f>IF('Hypotheses expl (2)'!$P$116="0j",'Hypotheses expl (2)'!M116,IF('Hypotheses expl (2)'!$P$116="30j",'Hypotheses expl (2)'!L116,'Hypotheses expl (2)'!K116))</f>
        <v>1250</v>
      </c>
      <c r="M64" s="390">
        <f>IF('Hypotheses expl (2)'!$P$116="0j",'Hypotheses expl (2)'!N116,IF('Hypotheses expl (2)'!$P$116="30j",'Hypotheses expl (2)'!M116,'Hypotheses expl (2)'!L116))</f>
        <v>1250</v>
      </c>
      <c r="N64" s="410">
        <f>SUM(B64:M64)/12</f>
        <v>1250</v>
      </c>
    </row>
    <row r="65" outlineLevel="1">
      <c r="A65" s="393" t="str">
        <f>'Compte résultat prévi'!A62</f>
        <v>Documentation</v>
      </c>
      <c r="B65" s="390">
        <f>1443+460</f>
        <v>1903</v>
      </c>
      <c r="C65" s="390">
        <f>IF('Hypotheses expl (2)'!$P$117="0j",'Hypotheses expl (2)'!D117,IF('Hypotheses expl (2)'!$P$117="30j",'Hypotheses expl (2)'!C117,'Hypotheses expl (2)'!B117))</f>
        <v>1458.3333333333333</v>
      </c>
      <c r="D65" s="390">
        <f>IF('Hypotheses expl (2)'!$P$117="0j",'Hypotheses expl (2)'!E117,IF('Hypotheses expl (2)'!$P$117="30j",'Hypotheses expl (2)'!D117,'Hypotheses expl (2)'!C117))</f>
        <v>1458.3333333333333</v>
      </c>
      <c r="E65" s="390">
        <f>IF('Hypotheses expl (2)'!$P$117="0j",'Hypotheses expl (2)'!F117,IF('Hypotheses expl (2)'!$P$117="30j",'Hypotheses expl (2)'!E117,'Hypotheses expl (2)'!D117))</f>
        <v>7698.333333333333</v>
      </c>
      <c r="F65" s="390">
        <f>IF('Hypotheses expl (2)'!$P$117="0j",'Hypotheses expl (2)'!G117,IF('Hypotheses expl (2)'!$P$117="30j",'Hypotheses expl (2)'!F117,'Hypotheses expl (2)'!E117))</f>
        <v>1458.3333333333333</v>
      </c>
      <c r="G65" s="390">
        <f>IF('Hypotheses expl (2)'!$P$117="0j",'Hypotheses expl (2)'!H117,IF('Hypotheses expl (2)'!$P$117="30j",'Hypotheses expl (2)'!G117,'Hypotheses expl (2)'!F117))</f>
        <v>1458.3333333333333</v>
      </c>
      <c r="H65" s="390">
        <f>IF('Hypotheses expl (2)'!$P$117="0j",'Hypotheses expl (2)'!I117,IF('Hypotheses expl (2)'!$P$117="30j",'Hypotheses expl (2)'!H117,'Hypotheses expl (2)'!G117))</f>
        <v>1458.3333333333333</v>
      </c>
      <c r="I65" s="390">
        <f>IF('Hypotheses expl (2)'!$P$117="0j",'Hypotheses expl (2)'!J117,IF('Hypotheses expl (2)'!$P$117="30j",'Hypotheses expl (2)'!I117,'Hypotheses expl (2)'!H117))</f>
        <v>1458.3333333333333</v>
      </c>
      <c r="J65" s="390">
        <f>IF('Hypotheses expl (2)'!$P$117="0j",'Hypotheses expl (2)'!K117,IF('Hypotheses expl (2)'!$P$117="30j",'Hypotheses expl (2)'!J117,'Hypotheses expl (2)'!I117))</f>
        <v>1458.3333333333333</v>
      </c>
      <c r="K65" s="390">
        <f>IF('Hypotheses expl (2)'!$P$117="0j",'Hypotheses expl (2)'!L117,IF('Hypotheses expl (2)'!$P$117="30j",'Hypotheses expl (2)'!K117,'Hypotheses expl (2)'!J117))</f>
        <v>9958.3333333333339</v>
      </c>
      <c r="L65" s="390">
        <f>IF('Hypotheses expl (2)'!$P$117="0j",'Hypotheses expl (2)'!M117,IF('Hypotheses expl (2)'!$P$117="30j",'Hypotheses expl (2)'!L117,'Hypotheses expl (2)'!K117))</f>
        <v>1458.3333333333333</v>
      </c>
      <c r="M65" s="390">
        <f>IF('Hypotheses expl (2)'!$P$117="0j",'Hypotheses expl (2)'!N117,IF('Hypotheses expl (2)'!$P$117="30j",'Hypotheses expl (2)'!M117,'Hypotheses expl (2)'!L117))</f>
        <v>1458.3333333333333</v>
      </c>
      <c r="N65" s="410">
        <f>SUM(B65:M65)/12</f>
        <v>2723.7222222222222</v>
      </c>
    </row>
    <row r="66" outlineLevel="1">
      <c r="A66" s="393" t="str">
        <f>'Compte résultat prévi'!A63</f>
        <v xml:space="preserve">Honoraires EC/CAC</v>
      </c>
      <c r="B66" s="390">
        <v>736.21000000000004</v>
      </c>
      <c r="C66" s="390">
        <f>IF('Hypotheses expl (2)'!$P$118="0j",'Hypotheses expl (2)'!D118,IF('Hypotheses expl (2)'!$P$118="30j",'Hypotheses expl (2)'!C118,'Hypotheses expl (2)'!B118))</f>
        <v>1250</v>
      </c>
      <c r="D66" s="390">
        <f>IF('Hypotheses expl (2)'!$P$118="0j",'Hypotheses expl (2)'!E118,IF('Hypotheses expl (2)'!$P$118="30j",'Hypotheses expl (2)'!D118,'Hypotheses expl (2)'!C118))</f>
        <v>1250</v>
      </c>
      <c r="E66" s="390">
        <f>IF('Hypotheses expl (2)'!$P$118="0j",'Hypotheses expl (2)'!F118,IF('Hypotheses expl (2)'!$P$118="30j",'Hypotheses expl (2)'!E118,'Hypotheses expl (2)'!D118))</f>
        <v>1250</v>
      </c>
      <c r="F66" s="390">
        <f>IF('Hypotheses expl (2)'!$P$118="0j",'Hypotheses expl (2)'!G118,IF('Hypotheses expl (2)'!$P$118="30j",'Hypotheses expl (2)'!F118,'Hypotheses expl (2)'!E118))</f>
        <v>1250</v>
      </c>
      <c r="G66" s="390">
        <f>IF('Hypotheses expl (2)'!$P$118="0j",'Hypotheses expl (2)'!H118,IF('Hypotheses expl (2)'!$P$118="30j",'Hypotheses expl (2)'!G118,'Hypotheses expl (2)'!F118))</f>
        <v>1250</v>
      </c>
      <c r="H66" s="390">
        <f>IF('Hypotheses expl (2)'!$P$118="0j",'Hypotheses expl (2)'!I118,IF('Hypotheses expl (2)'!$P$118="30j",'Hypotheses expl (2)'!H118,'Hypotheses expl (2)'!G118))</f>
        <v>1250</v>
      </c>
      <c r="I66" s="390">
        <f>IF('Hypotheses expl (2)'!$P$118="0j",'Hypotheses expl (2)'!J118,IF('Hypotheses expl (2)'!$P$118="30j",'Hypotheses expl (2)'!I118,'Hypotheses expl (2)'!H118))</f>
        <v>1250</v>
      </c>
      <c r="J66" s="390">
        <f>IF('Hypotheses expl (2)'!$P$118="0j",'Hypotheses expl (2)'!K118,IF('Hypotheses expl (2)'!$P$118="30j",'Hypotheses expl (2)'!J118,'Hypotheses expl (2)'!I118))</f>
        <v>1250</v>
      </c>
      <c r="K66" s="390">
        <f>IF('Hypotheses expl (2)'!$P$118="0j",'Hypotheses expl (2)'!L118,IF('Hypotheses expl (2)'!$P$118="30j",'Hypotheses expl (2)'!K118,'Hypotheses expl (2)'!J118))</f>
        <v>1250</v>
      </c>
      <c r="L66" s="390">
        <f>IF('Hypotheses expl (2)'!$P$118="0j",'Hypotheses expl (2)'!M118,IF('Hypotheses expl (2)'!$P$118="30j",'Hypotheses expl (2)'!L118,'Hypotheses expl (2)'!K118))</f>
        <v>1250</v>
      </c>
      <c r="M66" s="390">
        <f>IF('Hypotheses expl (2)'!$P$118="0j",'Hypotheses expl (2)'!N118,IF('Hypotheses expl (2)'!$P$118="30j",'Hypotheses expl (2)'!M118,'Hypotheses expl (2)'!L118))</f>
        <v>1250</v>
      </c>
      <c r="N66" s="410">
        <f>SUM(B66:M66)/12</f>
        <v>1207.1841666666667</v>
      </c>
    </row>
    <row r="67" outlineLevel="1">
      <c r="A67" s="393" t="str">
        <f>'Compte résultat prévi'!A64</f>
        <v xml:space="preserve">Honoraires paie</v>
      </c>
      <c r="B67" s="390">
        <f>IF('Hypotheses expl (2)'!$P$119="0j",'Hypotheses expl (2)'!C119,IF('Hypotheses expl (2)'!$P$119="30j",'Hypotheses expl (2)'!B119,'Hypotheses expl (2)'!A119))</f>
        <v>1500</v>
      </c>
      <c r="C67" s="390">
        <f>IF('Hypotheses expl (2)'!$P$119="0j",'Hypotheses expl (2)'!D119,IF('Hypotheses expl (2)'!$P$119="30j",'Hypotheses expl (2)'!C119,'Hypotheses expl (2)'!B119))</f>
        <v>0</v>
      </c>
      <c r="D67" s="390">
        <f>IF('Hypotheses expl (2)'!$P$119="0j",'Hypotheses expl (2)'!E119,IF('Hypotheses expl (2)'!$P$119="30j",'Hypotheses expl (2)'!D119,'Hypotheses expl (2)'!C119))</f>
        <v>0</v>
      </c>
      <c r="E67" s="390">
        <f>IF('Hypotheses expl (2)'!$P$119="0j",'Hypotheses expl (2)'!F119,IF('Hypotheses expl (2)'!$P$119="30j",'Hypotheses expl (2)'!E119,'Hypotheses expl (2)'!D119))</f>
        <v>0</v>
      </c>
      <c r="F67" s="390">
        <f>IF('Hypotheses expl (2)'!$P$119="0j",'Hypotheses expl (2)'!G119,IF('Hypotheses expl (2)'!$P$119="30j",'Hypotheses expl (2)'!F119,'Hypotheses expl (2)'!E119))</f>
        <v>0</v>
      </c>
      <c r="G67" s="390">
        <f>IF('Hypotheses expl (2)'!$P$119="0j",'Hypotheses expl (2)'!H119,IF('Hypotheses expl (2)'!$P$119="30j",'Hypotheses expl (2)'!G119,'Hypotheses expl (2)'!F119))</f>
        <v>0</v>
      </c>
      <c r="H67" s="390">
        <f>IF('Hypotheses expl (2)'!$P$119="0j",'Hypotheses expl (2)'!I119,IF('Hypotheses expl (2)'!$P$119="30j",'Hypotheses expl (2)'!H119,'Hypotheses expl (2)'!G119))</f>
        <v>0</v>
      </c>
      <c r="I67" s="390">
        <f>IF('Hypotheses expl (2)'!$P$119="0j",'Hypotheses expl (2)'!J119,IF('Hypotheses expl (2)'!$P$119="30j",'Hypotheses expl (2)'!I119,'Hypotheses expl (2)'!H119))</f>
        <v>0</v>
      </c>
      <c r="J67" s="390">
        <f>IF('Hypotheses expl (2)'!$P$119="0j",'Hypotheses expl (2)'!K119,IF('Hypotheses expl (2)'!$P$119="30j",'Hypotheses expl (2)'!J119,'Hypotheses expl (2)'!I119))</f>
        <v>1500</v>
      </c>
      <c r="K67" s="390">
        <f>IF('Hypotheses expl (2)'!$P$119="0j",'Hypotheses expl (2)'!L119,IF('Hypotheses expl (2)'!$P$119="30j",'Hypotheses expl (2)'!K119,'Hypotheses expl (2)'!J119))</f>
        <v>0</v>
      </c>
      <c r="L67" s="390">
        <f>IF('Hypotheses expl (2)'!$P$119="0j",'Hypotheses expl (2)'!M119,IF('Hypotheses expl (2)'!$P$119="30j",'Hypotheses expl (2)'!L119,'Hypotheses expl (2)'!K119))</f>
        <v>0</v>
      </c>
      <c r="M67" s="390">
        <f>IF('Hypotheses expl (2)'!$P$119="0j",'Hypotheses expl (2)'!N119,IF('Hypotheses expl (2)'!$P$119="30j",'Hypotheses expl (2)'!M119,'Hypotheses expl (2)'!L119))</f>
        <v>0</v>
      </c>
      <c r="N67" s="410">
        <f>SUM(B67:M67)/12</f>
        <v>250</v>
      </c>
    </row>
    <row r="68" outlineLevel="1">
      <c r="A68" s="393" t="str">
        <f>'Compte résultat prévi'!A65</f>
        <v xml:space="preserve">Honoraires divers</v>
      </c>
      <c r="B68" s="390">
        <f>IF('Hypotheses expl (2)'!$P$120="0j",'Hypotheses expl (2)'!C120,IF('Hypotheses expl (2)'!$P$120="30j",'Hypotheses expl (2)'!B120,'Hypotheses expl (2)'!A120))</f>
        <v>0</v>
      </c>
      <c r="C68" s="390">
        <f>IF('Hypotheses expl (2)'!$P$120="0j",'Hypotheses expl (2)'!D120,IF('Hypotheses expl (2)'!$P$120="30j",'Hypotheses expl (2)'!C120,'Hypotheses expl (2)'!B120))</f>
        <v>875</v>
      </c>
      <c r="D68" s="390">
        <f>IF('Hypotheses expl (2)'!$P$120="0j",'Hypotheses expl (2)'!E120,IF('Hypotheses expl (2)'!$P$120="30j",'Hypotheses expl (2)'!D120,'Hypotheses expl (2)'!C120))</f>
        <v>0</v>
      </c>
      <c r="E68" s="390">
        <f>IF('Hypotheses expl (2)'!$P$120="0j",'Hypotheses expl (2)'!F120,IF('Hypotheses expl (2)'!$P$120="30j",'Hypotheses expl (2)'!E120,'Hypotheses expl (2)'!D120))</f>
        <v>0</v>
      </c>
      <c r="F68" s="390">
        <f>IF('Hypotheses expl (2)'!$P$120="0j",'Hypotheses expl (2)'!G120,IF('Hypotheses expl (2)'!$P$120="30j",'Hypotheses expl (2)'!F120,'Hypotheses expl (2)'!E120))</f>
        <v>875</v>
      </c>
      <c r="G68" s="390">
        <f>IF('Hypotheses expl (2)'!$P$120="0j",'Hypotheses expl (2)'!H120,IF('Hypotheses expl (2)'!$P$120="30j",'Hypotheses expl (2)'!G120,'Hypotheses expl (2)'!F120))</f>
        <v>0</v>
      </c>
      <c r="H68" s="390">
        <f>IF('Hypotheses expl (2)'!$P$120="0j",'Hypotheses expl (2)'!I120,IF('Hypotheses expl (2)'!$P$120="30j",'Hypotheses expl (2)'!H120,'Hypotheses expl (2)'!G120))</f>
        <v>0</v>
      </c>
      <c r="I68" s="390">
        <f>IF('Hypotheses expl (2)'!$P$120="0j",'Hypotheses expl (2)'!J120,IF('Hypotheses expl (2)'!$P$120="30j",'Hypotheses expl (2)'!I120,'Hypotheses expl (2)'!H120))</f>
        <v>875</v>
      </c>
      <c r="J68" s="390">
        <f>IF('Hypotheses expl (2)'!$P$120="0j",'Hypotheses expl (2)'!K120,IF('Hypotheses expl (2)'!$P$120="30j",'Hypotheses expl (2)'!J120,'Hypotheses expl (2)'!I120))</f>
        <v>0</v>
      </c>
      <c r="K68" s="390">
        <f>IF('Hypotheses expl (2)'!$P$120="0j",'Hypotheses expl (2)'!L120,IF('Hypotheses expl (2)'!$P$120="30j",'Hypotheses expl (2)'!K120,'Hypotheses expl (2)'!J120))</f>
        <v>0</v>
      </c>
      <c r="L68" s="390">
        <f>IF('Hypotheses expl (2)'!$P$120="0j",'Hypotheses expl (2)'!M120,IF('Hypotheses expl (2)'!$P$120="30j",'Hypotheses expl (2)'!L120,'Hypotheses expl (2)'!K120))</f>
        <v>875</v>
      </c>
      <c r="M68" s="390">
        <f>IF('Hypotheses expl (2)'!$P$120="0j",'Hypotheses expl (2)'!N120,IF('Hypotheses expl (2)'!$P$120="30j",'Hypotheses expl (2)'!M120,'Hypotheses expl (2)'!L120))</f>
        <v>0</v>
      </c>
      <c r="N68" s="410">
        <f>SUM(B68:M68)/12</f>
        <v>291.66666666666669</v>
      </c>
    </row>
    <row r="69" outlineLevel="1">
      <c r="A69" s="393" t="str">
        <f>'Compte résultat prévi'!A66</f>
        <v>Communication</v>
      </c>
      <c r="B69" s="390">
        <f>67+819+34</f>
        <v>920</v>
      </c>
      <c r="C69" s="390">
        <f>IF('Hypotheses expl (2)'!$P$121="0j",'Hypotheses expl (2)'!D121,IF('Hypotheses expl (2)'!$P$121="30j",'Hypotheses expl (2)'!C121,'Hypotheses expl (2)'!B121))</f>
        <v>100</v>
      </c>
      <c r="D69" s="390">
        <f>IF('Hypotheses expl (2)'!$P$121="0j",'Hypotheses expl (2)'!E121,IF('Hypotheses expl (2)'!$P$121="30j",'Hypotheses expl (2)'!D121,'Hypotheses expl (2)'!C121))</f>
        <v>100</v>
      </c>
      <c r="E69" s="390">
        <v>2500</v>
      </c>
      <c r="F69" s="390">
        <f>IF('Hypotheses expl (2)'!$P$121="0j",'Hypotheses expl (2)'!G121,IF('Hypotheses expl (2)'!$P$121="30j",'Hypotheses expl (2)'!F121,'Hypotheses expl (2)'!E121))</f>
        <v>100</v>
      </c>
      <c r="G69" s="390">
        <f>IF('Hypotheses expl (2)'!$P$121="0j",'Hypotheses expl (2)'!H121,IF('Hypotheses expl (2)'!$P$121="30j",'Hypotheses expl (2)'!G121,'Hypotheses expl (2)'!F121))</f>
        <v>100</v>
      </c>
      <c r="H69" s="390">
        <f>IF('Hypotheses expl (2)'!$P$121="0j",'Hypotheses expl (2)'!I121,IF('Hypotheses expl (2)'!$P$121="30j",'Hypotheses expl (2)'!H121,'Hypotheses expl (2)'!G121))</f>
        <v>100</v>
      </c>
      <c r="I69" s="390">
        <f>IF('Hypotheses expl (2)'!$P$121="0j",'Hypotheses expl (2)'!J121,IF('Hypotheses expl (2)'!$P$121="30j",'Hypotheses expl (2)'!I121,'Hypotheses expl (2)'!H121))</f>
        <v>100</v>
      </c>
      <c r="J69" s="390">
        <f>IF('Hypotheses expl (2)'!$P$121="0j",'Hypotheses expl (2)'!K121,IF('Hypotheses expl (2)'!$P$121="30j",'Hypotheses expl (2)'!J121,'Hypotheses expl (2)'!I121))</f>
        <v>100</v>
      </c>
      <c r="K69" s="390">
        <f>IF('Hypotheses expl (2)'!$P$121="0j",'Hypotheses expl (2)'!L121,IF('Hypotheses expl (2)'!$P$121="30j",'Hypotheses expl (2)'!K121,'Hypotheses expl (2)'!J121))</f>
        <v>100</v>
      </c>
      <c r="L69" s="390">
        <f>IF('Hypotheses expl (2)'!$P$121="0j",'Hypotheses expl (2)'!M121,IF('Hypotheses expl (2)'!$P$121="30j",'Hypotheses expl (2)'!L121,'Hypotheses expl (2)'!K121))</f>
        <v>100</v>
      </c>
      <c r="M69" s="390">
        <f>IF('Hypotheses expl (2)'!$P$121="0j",'Hypotheses expl (2)'!N121,IF('Hypotheses expl (2)'!$P$121="30j",'Hypotheses expl (2)'!M121,'Hypotheses expl (2)'!L121))</f>
        <v>100</v>
      </c>
      <c r="N69" s="410">
        <f>SUM(B69:M69)/12</f>
        <v>368.33333333333331</v>
      </c>
      <c r="O69" s="390"/>
    </row>
    <row r="70" outlineLevel="1">
      <c r="A70" s="393" t="str">
        <f>'Compte résultat prévi'!A67</f>
        <v xml:space="preserve">Frais déplacement</v>
      </c>
      <c r="B70" s="390">
        <v>292</v>
      </c>
      <c r="C70" s="390">
        <f>IF('Hypotheses expl (2)'!$P$122="0j",'Hypotheses expl (2)'!D122,IF('Hypotheses expl (2)'!$P$122="30j",'Hypotheses expl (2)'!C122,'Hypotheses expl (2)'!B122))</f>
        <v>191.66666666666666</v>
      </c>
      <c r="D70" s="390">
        <f>IF('Hypotheses expl (2)'!$P$122="0j",'Hypotheses expl (2)'!E122,IF('Hypotheses expl (2)'!$P$122="30j",'Hypotheses expl (2)'!D122,'Hypotheses expl (2)'!C122))</f>
        <v>191.66666666666666</v>
      </c>
      <c r="E70" s="390">
        <f>IF('Hypotheses expl (2)'!$P$122="0j",'Hypotheses expl (2)'!F122,IF('Hypotheses expl (2)'!$P$122="30j",'Hypotheses expl (2)'!E122,'Hypotheses expl (2)'!D122))</f>
        <v>191.66666666666666</v>
      </c>
      <c r="F70" s="390">
        <f>IF('Hypotheses expl (2)'!$P$122="0j",'Hypotheses expl (2)'!G122,IF('Hypotheses expl (2)'!$P$122="30j",'Hypotheses expl (2)'!F122,'Hypotheses expl (2)'!E122))</f>
        <v>191.66666666666666</v>
      </c>
      <c r="G70" s="390">
        <f>IF('Hypotheses expl (2)'!$P$122="0j",'Hypotheses expl (2)'!H122,IF('Hypotheses expl (2)'!$P$122="30j",'Hypotheses expl (2)'!G122,'Hypotheses expl (2)'!F122))</f>
        <v>191.66666666666666</v>
      </c>
      <c r="H70" s="390">
        <f>IF('Hypotheses expl (2)'!$P$122="0j",'Hypotheses expl (2)'!I122,IF('Hypotheses expl (2)'!$P$122="30j",'Hypotheses expl (2)'!H122,'Hypotheses expl (2)'!G122))</f>
        <v>191.66666666666666</v>
      </c>
      <c r="I70" s="390">
        <f>IF('Hypotheses expl (2)'!$P$122="0j",'Hypotheses expl (2)'!J122,IF('Hypotheses expl (2)'!$P$122="30j",'Hypotheses expl (2)'!I122,'Hypotheses expl (2)'!H122))</f>
        <v>191.66666666666666</v>
      </c>
      <c r="J70" s="390">
        <f>IF('Hypotheses expl (2)'!$P$122="0j",'Hypotheses expl (2)'!K122,IF('Hypotheses expl (2)'!$P$122="30j",'Hypotheses expl (2)'!J122,'Hypotheses expl (2)'!I122))</f>
        <v>191.66666666666666</v>
      </c>
      <c r="K70" s="390">
        <f>IF('Hypotheses expl (2)'!$P$122="0j",'Hypotheses expl (2)'!L122,IF('Hypotheses expl (2)'!$P$122="30j",'Hypotheses expl (2)'!K122,'Hypotheses expl (2)'!J122))</f>
        <v>191.66666666666666</v>
      </c>
      <c r="L70" s="390">
        <f>IF('Hypotheses expl (2)'!$P$122="0j",'Hypotheses expl (2)'!M122,IF('Hypotheses expl (2)'!$P$122="30j",'Hypotheses expl (2)'!L122,'Hypotheses expl (2)'!K122))</f>
        <v>191.66666666666666</v>
      </c>
      <c r="M70" s="390">
        <f>IF('Hypotheses expl (2)'!$P$122="0j",'Hypotheses expl (2)'!N122,IF('Hypotheses expl (2)'!$P$122="30j",'Hypotheses expl (2)'!M122,'Hypotheses expl (2)'!L122))</f>
        <v>191.66666666666666</v>
      </c>
      <c r="N70" s="410">
        <f>SUM(B70:M70)/12</f>
        <v>200.0277777777778</v>
      </c>
    </row>
    <row r="71" outlineLevel="1">
      <c r="A71" s="393" t="str">
        <f>'Compte résultat prévi'!A68</f>
        <v xml:space="preserve">Déplacement vacataires/stagiaires</v>
      </c>
      <c r="B71" s="390">
        <v>50</v>
      </c>
      <c r="C71" s="390">
        <v>50</v>
      </c>
      <c r="D71" s="390">
        <v>50</v>
      </c>
      <c r="E71" s="390">
        <v>50</v>
      </c>
      <c r="F71" s="390">
        <v>50</v>
      </c>
      <c r="G71" s="390">
        <v>50</v>
      </c>
      <c r="H71" s="390">
        <v>50</v>
      </c>
      <c r="I71" s="390">
        <v>50</v>
      </c>
      <c r="J71" s="390">
        <v>50</v>
      </c>
      <c r="K71" s="390">
        <v>50</v>
      </c>
      <c r="L71" s="390">
        <v>50</v>
      </c>
      <c r="M71" s="390">
        <v>50</v>
      </c>
      <c r="N71" s="410">
        <f>SUM(B71:M71)/12</f>
        <v>50</v>
      </c>
    </row>
    <row r="72" outlineLevel="1">
      <c r="A72" s="393" t="str">
        <f>'Compte résultat prévi'!A69</f>
        <v xml:space="preserve">Déplacement formateurs</v>
      </c>
      <c r="B72" s="390">
        <v>700</v>
      </c>
      <c r="C72" s="390">
        <v>700</v>
      </c>
      <c r="D72" s="390">
        <v>700</v>
      </c>
      <c r="E72" s="390">
        <v>700</v>
      </c>
      <c r="F72" s="390">
        <v>700</v>
      </c>
      <c r="G72" s="390">
        <v>700</v>
      </c>
      <c r="H72" s="390">
        <v>700</v>
      </c>
      <c r="I72" s="390">
        <v>700</v>
      </c>
      <c r="J72" s="390">
        <v>700</v>
      </c>
      <c r="K72" s="390">
        <v>700</v>
      </c>
      <c r="L72" s="390">
        <v>700</v>
      </c>
      <c r="M72" s="390">
        <v>700</v>
      </c>
      <c r="N72" s="410">
        <f>SUM(B72:M72)/12</f>
        <v>700</v>
      </c>
    </row>
    <row r="73" outlineLevel="1">
      <c r="A73" s="393" t="str">
        <f>'Compte résultat prévi'!A70</f>
        <v xml:space="preserve">Déplacements admin</v>
      </c>
      <c r="B73" s="390">
        <v>150</v>
      </c>
      <c r="C73" s="390">
        <v>150</v>
      </c>
      <c r="D73" s="390">
        <v>150</v>
      </c>
      <c r="E73" s="390">
        <v>150</v>
      </c>
      <c r="F73" s="390">
        <v>150</v>
      </c>
      <c r="G73" s="390">
        <v>150</v>
      </c>
      <c r="H73" s="390">
        <v>150</v>
      </c>
      <c r="I73" s="390">
        <v>150</v>
      </c>
      <c r="J73" s="390">
        <v>150</v>
      </c>
      <c r="K73" s="390">
        <v>150</v>
      </c>
      <c r="L73" s="390">
        <v>150</v>
      </c>
      <c r="M73" s="390">
        <v>150</v>
      </c>
      <c r="N73" s="410">
        <f>SUM(B73:M73)/12</f>
        <v>150</v>
      </c>
    </row>
    <row r="74" outlineLevel="1">
      <c r="A74" s="393" t="str">
        <f>'Compte résultat prévi'!A71</f>
        <v xml:space="preserve">Frais de mission</v>
      </c>
      <c r="B74" s="390">
        <v>1499.55</v>
      </c>
      <c r="C74" s="390">
        <f>IF('Hypotheses expl (2)'!$P$126="0j",'Hypotheses expl (2)'!D126,IF('Hypotheses expl (2)'!$P$126="30j",'Hypotheses expl (2)'!C126,'Hypotheses expl (2)'!B126))</f>
        <v>1173</v>
      </c>
      <c r="D74" s="390">
        <f>IF('Hypotheses expl (2)'!$P$126="0j",'Hypotheses expl (2)'!E126,IF('Hypotheses expl (2)'!$P$126="30j",'Hypotheses expl (2)'!D126,'Hypotheses expl (2)'!C126))</f>
        <v>1173</v>
      </c>
      <c r="E74" s="390">
        <f>IF('Hypotheses expl (2)'!$P$126="0j",'Hypotheses expl (2)'!F126,IF('Hypotheses expl (2)'!$P$126="30j",'Hypotheses expl (2)'!E126,'Hypotheses expl (2)'!D126))</f>
        <v>1173</v>
      </c>
      <c r="F74" s="390">
        <f>IF('Hypotheses expl (2)'!$P$126="0j",'Hypotheses expl (2)'!G126,IF('Hypotheses expl (2)'!$P$126="30j",'Hypotheses expl (2)'!F126,'Hypotheses expl (2)'!E126))</f>
        <v>1173</v>
      </c>
      <c r="G74" s="390">
        <f>IF('Hypotheses expl (2)'!$P$126="0j",'Hypotheses expl (2)'!H126,IF('Hypotheses expl (2)'!$P$126="30j",'Hypotheses expl (2)'!G126,'Hypotheses expl (2)'!F126))</f>
        <v>1173</v>
      </c>
      <c r="H74" s="390">
        <f>IF('Hypotheses expl (2)'!$P$126="0j",'Hypotheses expl (2)'!I126,IF('Hypotheses expl (2)'!$P$126="30j",'Hypotheses expl (2)'!H126,'Hypotheses expl (2)'!G126))</f>
        <v>1173</v>
      </c>
      <c r="I74" s="390">
        <f>IF('Hypotheses expl (2)'!$P$126="0j",'Hypotheses expl (2)'!J126,IF('Hypotheses expl (2)'!$P$126="30j",'Hypotheses expl (2)'!I126,'Hypotheses expl (2)'!H126))</f>
        <v>1173</v>
      </c>
      <c r="J74" s="390">
        <f>IF('Hypotheses expl (2)'!$P$126="0j",'Hypotheses expl (2)'!K126,IF('Hypotheses expl (2)'!$P$126="30j",'Hypotheses expl (2)'!J126,'Hypotheses expl (2)'!I126))</f>
        <v>1173</v>
      </c>
      <c r="K74" s="390">
        <f>IF('Hypotheses expl (2)'!$P$126="0j",'Hypotheses expl (2)'!L126,IF('Hypotheses expl (2)'!$P$126="30j",'Hypotheses expl (2)'!K126,'Hypotheses expl (2)'!J126))</f>
        <v>1173</v>
      </c>
      <c r="L74" s="390">
        <f>IF('Hypotheses expl (2)'!$P$126="0j",'Hypotheses expl (2)'!M126,IF('Hypotheses expl (2)'!$P$126="30j",'Hypotheses expl (2)'!L126,'Hypotheses expl (2)'!K126))</f>
        <v>1173</v>
      </c>
      <c r="M74" s="390">
        <f>IF('Hypotheses expl (2)'!$P$126="0j",'Hypotheses expl (2)'!N126,IF('Hypotheses expl (2)'!$P$126="30j",'Hypotheses expl (2)'!M126,'Hypotheses expl (2)'!L126))</f>
        <v>1173</v>
      </c>
      <c r="N74" s="410">
        <f>SUM(B74:M74)/12</f>
        <v>1200.2124999999999</v>
      </c>
    </row>
    <row r="75" outlineLevel="1">
      <c r="A75" s="393" t="str">
        <f>'Compte résultat prévi'!A72</f>
        <v>Téléphonie</v>
      </c>
      <c r="B75" s="390">
        <v>583</v>
      </c>
      <c r="C75" s="390">
        <f>IF('Hypotheses expl (2)'!$P$127="0j",'Hypotheses expl (2)'!D127,IF('Hypotheses expl (2)'!$P$127="30j",'Hypotheses expl (2)'!C127,'Hypotheses expl (2)'!B127))</f>
        <v>583.33333333333337</v>
      </c>
      <c r="D75" s="390">
        <f>IF('Hypotheses expl (2)'!$P$127="0j",'Hypotheses expl (2)'!E127,IF('Hypotheses expl (2)'!$P$127="30j",'Hypotheses expl (2)'!D127,'Hypotheses expl (2)'!C127))</f>
        <v>583.33333333333337</v>
      </c>
      <c r="E75" s="390">
        <f>IF('Hypotheses expl (2)'!$P$127="0j",'Hypotheses expl (2)'!F127,IF('Hypotheses expl (2)'!$P$127="30j",'Hypotheses expl (2)'!E127,'Hypotheses expl (2)'!D127))</f>
        <v>583.33333333333337</v>
      </c>
      <c r="F75" s="390">
        <f>IF('Hypotheses expl (2)'!$P$127="0j",'Hypotheses expl (2)'!G127,IF('Hypotheses expl (2)'!$P$127="30j",'Hypotheses expl (2)'!F127,'Hypotheses expl (2)'!E127))</f>
        <v>583.33333333333337</v>
      </c>
      <c r="G75" s="390">
        <f>IF('Hypotheses expl (2)'!$P$127="0j",'Hypotheses expl (2)'!H127,IF('Hypotheses expl (2)'!$P$127="30j",'Hypotheses expl (2)'!G127,'Hypotheses expl (2)'!F127))</f>
        <v>583.33333333333337</v>
      </c>
      <c r="H75" s="390">
        <f>IF('Hypotheses expl (2)'!$P$127="0j",'Hypotheses expl (2)'!I127,IF('Hypotheses expl (2)'!$P$127="30j",'Hypotheses expl (2)'!H127,'Hypotheses expl (2)'!G127))</f>
        <v>583.33333333333337</v>
      </c>
      <c r="I75" s="390">
        <f>IF('Hypotheses expl (2)'!$P$127="0j",'Hypotheses expl (2)'!J127,IF('Hypotheses expl (2)'!$P$127="30j",'Hypotheses expl (2)'!I127,'Hypotheses expl (2)'!H127))</f>
        <v>583.33333333333337</v>
      </c>
      <c r="J75" s="390">
        <f>IF('Hypotheses expl (2)'!$P$127="0j",'Hypotheses expl (2)'!K127,IF('Hypotheses expl (2)'!$P$127="30j",'Hypotheses expl (2)'!J127,'Hypotheses expl (2)'!I127))</f>
        <v>583.33333333333337</v>
      </c>
      <c r="K75" s="390">
        <f>IF('Hypotheses expl (2)'!$P$127="0j",'Hypotheses expl (2)'!L127,IF('Hypotheses expl (2)'!$P$127="30j",'Hypotheses expl (2)'!K127,'Hypotheses expl (2)'!J127))</f>
        <v>583.33333333333337</v>
      </c>
      <c r="L75" s="390">
        <f>IF('Hypotheses expl (2)'!$P$127="0j",'Hypotheses expl (2)'!M127,IF('Hypotheses expl (2)'!$P$127="30j",'Hypotheses expl (2)'!L127,'Hypotheses expl (2)'!K127))</f>
        <v>583.33333333333337</v>
      </c>
      <c r="M75" s="390">
        <f>IF('Hypotheses expl (2)'!$P$127="0j",'Hypotheses expl (2)'!N127,IF('Hypotheses expl (2)'!$P$127="30j",'Hypotheses expl (2)'!M127,'Hypotheses expl (2)'!L127))</f>
        <v>583.33333333333337</v>
      </c>
      <c r="N75" s="410">
        <f>SUM(B75:M75)/12</f>
        <v>583.30555555555554</v>
      </c>
    </row>
    <row r="76" outlineLevel="1">
      <c r="A76" s="393" t="str">
        <f>'Compte résultat prévi'!A73</f>
        <v>Affranchissement</v>
      </c>
      <c r="B76" s="390">
        <v>211.52000000000001</v>
      </c>
      <c r="C76" s="390">
        <f>IF('Hypotheses expl (2)'!$P$128="0j",'Hypotheses expl (2)'!D128,IF('Hypotheses expl (2)'!$P$128="30j",'Hypotheses expl (2)'!C128,'Hypotheses expl (2)'!B128))</f>
        <v>302</v>
      </c>
      <c r="D76" s="390">
        <f>IF('Hypotheses expl (2)'!$P$128="0j",'Hypotheses expl (2)'!E128,IF('Hypotheses expl (2)'!$P$128="30j",'Hypotheses expl (2)'!D128,'Hypotheses expl (2)'!C128))</f>
        <v>72</v>
      </c>
      <c r="E76" s="390">
        <f>IF('Hypotheses expl (2)'!$P$128="0j",'Hypotheses expl (2)'!F128,IF('Hypotheses expl (2)'!$P$128="30j",'Hypotheses expl (2)'!E128,'Hypotheses expl (2)'!D128))</f>
        <v>302</v>
      </c>
      <c r="F76" s="390">
        <f>IF('Hypotheses expl (2)'!$P$128="0j",'Hypotheses expl (2)'!G128,IF('Hypotheses expl (2)'!$P$128="30j",'Hypotheses expl (2)'!F128,'Hypotheses expl (2)'!E128))</f>
        <v>72</v>
      </c>
      <c r="G76" s="390">
        <f>IF('Hypotheses expl (2)'!$P$128="0j",'Hypotheses expl (2)'!H128,IF('Hypotheses expl (2)'!$P$128="30j",'Hypotheses expl (2)'!G128,'Hypotheses expl (2)'!F128))</f>
        <v>302</v>
      </c>
      <c r="H76" s="390">
        <f>IF('Hypotheses expl (2)'!$P$128="0j",'Hypotheses expl (2)'!I128,IF('Hypotheses expl (2)'!$P$128="30j",'Hypotheses expl (2)'!H128,'Hypotheses expl (2)'!G128))</f>
        <v>72</v>
      </c>
      <c r="I76" s="390">
        <f>IF('Hypotheses expl (2)'!$P$128="0j",'Hypotheses expl (2)'!J128,IF('Hypotheses expl (2)'!$P$128="30j",'Hypotheses expl (2)'!I128,'Hypotheses expl (2)'!H128))</f>
        <v>302</v>
      </c>
      <c r="J76" s="390">
        <f>IF('Hypotheses expl (2)'!$P$128="0j",'Hypotheses expl (2)'!K128,IF('Hypotheses expl (2)'!$P$128="30j",'Hypotheses expl (2)'!J128,'Hypotheses expl (2)'!I128))</f>
        <v>72</v>
      </c>
      <c r="K76" s="390">
        <f>IF('Hypotheses expl (2)'!$P$128="0j",'Hypotheses expl (2)'!L128,IF('Hypotheses expl (2)'!$P$128="30j",'Hypotheses expl (2)'!K128,'Hypotheses expl (2)'!J128))</f>
        <v>302</v>
      </c>
      <c r="L76" s="390">
        <f>IF('Hypotheses expl (2)'!$P$128="0j",'Hypotheses expl (2)'!M128,IF('Hypotheses expl (2)'!$P$128="30j",'Hypotheses expl (2)'!L128,'Hypotheses expl (2)'!K128))</f>
        <v>72</v>
      </c>
      <c r="M76" s="390">
        <f>IF('Hypotheses expl (2)'!$P$128="0j",'Hypotheses expl (2)'!N128,IF('Hypotheses expl (2)'!$P$128="30j",'Hypotheses expl (2)'!M128,'Hypotheses expl (2)'!L128))</f>
        <v>302</v>
      </c>
      <c r="N76" s="410">
        <f>SUM(B76:M76)/12</f>
        <v>198.62666666666667</v>
      </c>
    </row>
    <row r="77" outlineLevel="1">
      <c r="A77" s="393" t="str">
        <f>'Compte résultat prévi'!A74</f>
        <v>Internet</v>
      </c>
      <c r="B77" s="390">
        <f>IF('Hypotheses expl (2)'!$P$129="0j",'Hypotheses expl (2)'!C129,IF('Hypotheses expl (2)'!$P$129="30j",'Hypotheses expl (2)'!B129,'Hypotheses expl (2)'!A129))</f>
        <v>8</v>
      </c>
      <c r="C77" s="390">
        <f>IF('Hypotheses expl (2)'!$P$129="0j",'Hypotheses expl (2)'!D129,IF('Hypotheses expl (2)'!$P$129="30j",'Hypotheses expl (2)'!C129,'Hypotheses expl (2)'!B129))</f>
        <v>8</v>
      </c>
      <c r="D77" s="390">
        <f>IF('Hypotheses expl (2)'!$P$129="0j",'Hypotheses expl (2)'!E129,IF('Hypotheses expl (2)'!$P$129="30j",'Hypotheses expl (2)'!D129,'Hypotheses expl (2)'!C129))</f>
        <v>8</v>
      </c>
      <c r="E77" s="390">
        <f>IF('Hypotheses expl (2)'!$P$129="0j",'Hypotheses expl (2)'!F129,IF('Hypotheses expl (2)'!$P$129="30j",'Hypotheses expl (2)'!E129,'Hypotheses expl (2)'!D129))</f>
        <v>8</v>
      </c>
      <c r="F77" s="390">
        <f>IF('Hypotheses expl (2)'!$P$129="0j",'Hypotheses expl (2)'!G129,IF('Hypotheses expl (2)'!$P$129="30j",'Hypotheses expl (2)'!F129,'Hypotheses expl (2)'!E129))</f>
        <v>8</v>
      </c>
      <c r="G77" s="390">
        <f>IF('Hypotheses expl (2)'!$P$129="0j",'Hypotheses expl (2)'!H129,IF('Hypotheses expl (2)'!$P$129="30j",'Hypotheses expl (2)'!G129,'Hypotheses expl (2)'!F129))</f>
        <v>158</v>
      </c>
      <c r="H77" s="390">
        <f>IF('Hypotheses expl (2)'!$P$129="0j",'Hypotheses expl (2)'!I129,IF('Hypotheses expl (2)'!$P$129="30j",'Hypotheses expl (2)'!H129,'Hypotheses expl (2)'!G129))</f>
        <v>8</v>
      </c>
      <c r="I77" s="390">
        <f>IF('Hypotheses expl (2)'!$P$129="0j",'Hypotheses expl (2)'!J129,IF('Hypotheses expl (2)'!$P$129="30j",'Hypotheses expl (2)'!I129,'Hypotheses expl (2)'!H129))</f>
        <v>8</v>
      </c>
      <c r="J77" s="390">
        <f>IF('Hypotheses expl (2)'!$P$129="0j",'Hypotheses expl (2)'!K129,IF('Hypotheses expl (2)'!$P$129="30j",'Hypotheses expl (2)'!J129,'Hypotheses expl (2)'!I129))</f>
        <v>8</v>
      </c>
      <c r="K77" s="390">
        <f>IF('Hypotheses expl (2)'!$P$129="0j",'Hypotheses expl (2)'!L129,IF('Hypotheses expl (2)'!$P$129="30j",'Hypotheses expl (2)'!K129,'Hypotheses expl (2)'!J129))</f>
        <v>158</v>
      </c>
      <c r="L77" s="390">
        <f>IF('Hypotheses expl (2)'!$P$129="0j",'Hypotheses expl (2)'!M129,IF('Hypotheses expl (2)'!$P$129="30j",'Hypotheses expl (2)'!L129,'Hypotheses expl (2)'!K129))</f>
        <v>8</v>
      </c>
      <c r="M77" s="390">
        <f>IF('Hypotheses expl (2)'!$P$129="0j",'Hypotheses expl (2)'!N129,IF('Hypotheses expl (2)'!$P$129="30j",'Hypotheses expl (2)'!M129,'Hypotheses expl (2)'!L129))</f>
        <v>8</v>
      </c>
      <c r="N77" s="410">
        <f>SUM(B77:M77)/12</f>
        <v>33</v>
      </c>
    </row>
    <row r="78" outlineLevel="1">
      <c r="A78" s="393" t="str">
        <f>'Compte résultat prévi'!A75</f>
        <v xml:space="preserve">Services bancaires</v>
      </c>
      <c r="B78" s="390">
        <v>1513</v>
      </c>
      <c r="C78" s="390">
        <f>IF('Hypotheses expl (2)'!$P$130="0j",'Hypotheses expl (2)'!D130,IF('Hypotheses expl (2)'!$P$130="30j",'Hypotheses expl (2)'!C130,'Hypotheses expl (2)'!B130))</f>
        <v>0</v>
      </c>
      <c r="D78" s="390">
        <f>IF('Hypotheses expl (2)'!$P$130="0j",'Hypotheses expl (2)'!E130,IF('Hypotheses expl (2)'!$P$130="30j",'Hypotheses expl (2)'!D130,'Hypotheses expl (2)'!C130))</f>
        <v>0</v>
      </c>
      <c r="E78" s="390">
        <f>IF('Hypotheses expl (2)'!$P$130="0j",'Hypotheses expl (2)'!F130,IF('Hypotheses expl (2)'!$P$130="30j",'Hypotheses expl (2)'!E130,'Hypotheses expl (2)'!D130))</f>
        <v>0</v>
      </c>
      <c r="F78" s="390">
        <f>IF('Hypotheses expl (2)'!$P$130="0j",'Hypotheses expl (2)'!G130,IF('Hypotheses expl (2)'!$P$130="30j",'Hypotheses expl (2)'!F130,'Hypotheses expl (2)'!E130))</f>
        <v>0</v>
      </c>
      <c r="G78" s="390">
        <f>IF('Hypotheses expl (2)'!$P$130="0j",'Hypotheses expl (2)'!H130,IF('Hypotheses expl (2)'!$P$130="30j",'Hypotheses expl (2)'!G130,'Hypotheses expl (2)'!F130))</f>
        <v>0</v>
      </c>
      <c r="H78" s="390">
        <f>IF('Hypotheses expl (2)'!$P$130="0j",'Hypotheses expl (2)'!I130,IF('Hypotheses expl (2)'!$P$130="30j",'Hypotheses expl (2)'!H130,'Hypotheses expl (2)'!G130))</f>
        <v>0</v>
      </c>
      <c r="I78" s="390">
        <f>IF('Hypotheses expl (2)'!$P$130="0j",'Hypotheses expl (2)'!J130,IF('Hypotheses expl (2)'!$P$130="30j",'Hypotheses expl (2)'!I130,'Hypotheses expl (2)'!H130))</f>
        <v>0</v>
      </c>
      <c r="J78" s="390">
        <f>IF('Hypotheses expl (2)'!$P$130="0j",'Hypotheses expl (2)'!K130,IF('Hypotheses expl (2)'!$P$130="30j",'Hypotheses expl (2)'!J130,'Hypotheses expl (2)'!I130))</f>
        <v>0</v>
      </c>
      <c r="K78" s="390">
        <f>IF('Hypotheses expl (2)'!$P$130="0j",'Hypotheses expl (2)'!L130,IF('Hypotheses expl (2)'!$P$130="30j",'Hypotheses expl (2)'!K130,'Hypotheses expl (2)'!J130))</f>
        <v>0</v>
      </c>
      <c r="L78" s="390">
        <f>IF('Hypotheses expl (2)'!$P$130="0j",'Hypotheses expl (2)'!M130,IF('Hypotheses expl (2)'!$P$130="30j",'Hypotheses expl (2)'!L130,'Hypotheses expl (2)'!K130))</f>
        <v>0</v>
      </c>
      <c r="M78" s="390">
        <f>IF('Hypotheses expl (2)'!$P$130="0j",'Hypotheses expl (2)'!N130,IF('Hypotheses expl (2)'!$P$130="30j",'Hypotheses expl (2)'!M130,'Hypotheses expl (2)'!L130))</f>
        <v>0</v>
      </c>
      <c r="N78" s="410">
        <f>SUM(B78:M78)/12</f>
        <v>126.08333333333333</v>
      </c>
    </row>
    <row r="79" outlineLevel="1">
      <c r="A79" s="393" t="str">
        <f>'Compte résultat prévi'!A76</f>
        <v>Certification</v>
      </c>
      <c r="B79" s="394"/>
      <c r="C79" s="394"/>
      <c r="D79" s="394"/>
      <c r="E79" s="394"/>
      <c r="F79" s="394"/>
      <c r="G79" s="394"/>
      <c r="H79" s="394"/>
      <c r="I79" s="394"/>
      <c r="J79" s="394"/>
      <c r="K79" s="394"/>
      <c r="L79" s="394"/>
      <c r="M79" s="394"/>
      <c r="N79" s="410">
        <f>SUM(B79:M79)/12</f>
        <v>0</v>
      </c>
    </row>
    <row r="80" outlineLevel="1">
      <c r="A80" s="393" t="str">
        <f>'Compte résultat prévi'!A77</f>
        <v>Electricité</v>
      </c>
      <c r="B80" s="390">
        <f>IF('Hypotheses expl (2)'!$P$131="0j",'Hypotheses expl (2)'!C131,IF('Hypotheses expl (2)'!$P$131="30j",'Hypotheses expl (2)'!B131,'Hypotheses expl (2)'!A131))</f>
        <v>3300</v>
      </c>
      <c r="C80" s="390">
        <f>IF('Hypotheses expl (2)'!$P$131="0j",'Hypotheses expl (2)'!D131,IF('Hypotheses expl (2)'!$P$131="30j",'Hypotheses expl (2)'!C131,'Hypotheses expl (2)'!B131))</f>
        <v>3300</v>
      </c>
      <c r="D80" s="390">
        <f>IF('Hypotheses expl (2)'!$P$131="0j",'Hypotheses expl (2)'!E131,IF('Hypotheses expl (2)'!$P$131="30j",'Hypotheses expl (2)'!D131,'Hypotheses expl (2)'!C131))</f>
        <v>3300</v>
      </c>
      <c r="E80" s="390">
        <f>IF('Hypotheses expl (2)'!$P$131="0j",'Hypotheses expl (2)'!F131,IF('Hypotheses expl (2)'!$P$131="30j",'Hypotheses expl (2)'!E131,'Hypotheses expl (2)'!D131))</f>
        <v>3300</v>
      </c>
      <c r="F80" s="390">
        <f>IF('Hypotheses expl (2)'!$P$131="0j",'Hypotheses expl (2)'!G131,IF('Hypotheses expl (2)'!$P$131="30j",'Hypotheses expl (2)'!F131,'Hypotheses expl (2)'!E131))</f>
        <v>3300</v>
      </c>
      <c r="G80" s="390">
        <f>IF('Hypotheses expl (2)'!$P$131="0j",'Hypotheses expl (2)'!H131,IF('Hypotheses expl (2)'!$P$131="30j",'Hypotheses expl (2)'!G131,'Hypotheses expl (2)'!F131))</f>
        <v>3300</v>
      </c>
      <c r="H80" s="390">
        <f>IF('Hypotheses expl (2)'!$P$131="0j",'Hypotheses expl (2)'!I131,IF('Hypotheses expl (2)'!$P$131="30j",'Hypotheses expl (2)'!H131,'Hypotheses expl (2)'!G131))</f>
        <v>3300</v>
      </c>
      <c r="I80" s="390">
        <f>IF('Hypotheses expl (2)'!$P$131="0j",'Hypotheses expl (2)'!J131,IF('Hypotheses expl (2)'!$P$131="30j",'Hypotheses expl (2)'!I131,'Hypotheses expl (2)'!H131))</f>
        <v>3300</v>
      </c>
      <c r="J80" s="390"/>
      <c r="K80" s="390">
        <f>IF('Hypotheses expl (2)'!$P$131="0j",'Hypotheses expl (2)'!L131,IF('Hypotheses expl (2)'!$P$131="30j",'Hypotheses expl (2)'!K131,'Hypotheses expl (2)'!J131))</f>
        <v>3300</v>
      </c>
      <c r="L80" s="390">
        <f>IF('Hypotheses expl (2)'!$P$131="0j",'Hypotheses expl (2)'!M131,IF('Hypotheses expl (2)'!$P$131="30j",'Hypotheses expl (2)'!L131,'Hypotheses expl (2)'!K131))</f>
        <v>3300</v>
      </c>
      <c r="M80" s="390">
        <f>IF('Hypotheses expl (2)'!$P$131="0j",'Hypotheses expl (2)'!N131,IF('Hypotheses expl (2)'!$P$131="30j",'Hypotheses expl (2)'!M131,'Hypotheses expl (2)'!L131))</f>
        <v>3300</v>
      </c>
      <c r="N80" s="410">
        <f>SUM(B80:M80)/12</f>
        <v>3025</v>
      </c>
    </row>
    <row r="81" outlineLevel="1">
      <c r="A81" s="393" t="str">
        <f>'Compte résultat prévi'!A78</f>
        <v xml:space="preserve">Colloques et formations</v>
      </c>
      <c r="B81" s="390">
        <f>IF('Hypotheses expl (2)'!$P$132="0j",'Hypotheses expl (2)'!C132,IF('Hypotheses expl (2)'!$P$132="30j",'Hypotheses expl (2)'!B132,'Hypotheses expl (2)'!A132))</f>
        <v>0</v>
      </c>
      <c r="C81" s="390">
        <f>IF('Hypotheses expl (2)'!$P$132="0j",'Hypotheses expl (2)'!D132,IF('Hypotheses expl (2)'!$P$132="30j",'Hypotheses expl (2)'!C132,'Hypotheses expl (2)'!B132))</f>
        <v>0</v>
      </c>
      <c r="D81" s="390">
        <f>IF('Hypotheses expl (2)'!$P$132="0j",'Hypotheses expl (2)'!E132,IF('Hypotheses expl (2)'!$P$132="30j",'Hypotheses expl (2)'!D132,'Hypotheses expl (2)'!C132))</f>
        <v>3750</v>
      </c>
      <c r="E81" s="390">
        <f>IF('Hypotheses expl (2)'!$P$132="0j",'Hypotheses expl (2)'!F132,IF('Hypotheses expl (2)'!$P$132="30j",'Hypotheses expl (2)'!E132,'Hypotheses expl (2)'!D132))</f>
        <v>0</v>
      </c>
      <c r="F81" s="390">
        <f>IF('Hypotheses expl (2)'!$P$132="0j",'Hypotheses expl (2)'!G132,IF('Hypotheses expl (2)'!$P$132="30j",'Hypotheses expl (2)'!F132,'Hypotheses expl (2)'!E132))</f>
        <v>0</v>
      </c>
      <c r="G81" s="390">
        <f>IF('Hypotheses expl (2)'!$P$132="0j",'Hypotheses expl (2)'!H132,IF('Hypotheses expl (2)'!$P$132="30j",'Hypotheses expl (2)'!G132,'Hypotheses expl (2)'!F132))</f>
        <v>3750</v>
      </c>
      <c r="H81" s="390">
        <f>IF('Hypotheses expl (2)'!$P$132="0j",'Hypotheses expl (2)'!I132,IF('Hypotheses expl (2)'!$P$132="30j",'Hypotheses expl (2)'!H132,'Hypotheses expl (2)'!G132))</f>
        <v>0</v>
      </c>
      <c r="I81" s="390">
        <f>IF('Hypotheses expl (2)'!$P$132="0j",'Hypotheses expl (2)'!J132,IF('Hypotheses expl (2)'!$P$132="30j",'Hypotheses expl (2)'!I132,'Hypotheses expl (2)'!H132))</f>
        <v>0</v>
      </c>
      <c r="J81" s="390"/>
      <c r="K81" s="390">
        <f>IF('Hypotheses expl (2)'!$P$132="0j",'Hypotheses expl (2)'!L132,IF('Hypotheses expl (2)'!$P$132="30j",'Hypotheses expl (2)'!K132,'Hypotheses expl (2)'!J132))</f>
        <v>0</v>
      </c>
      <c r="L81" s="390">
        <f>IF('Hypotheses expl (2)'!$P$132="0j",'Hypotheses expl (2)'!M132,IF('Hypotheses expl (2)'!$P$132="30j",'Hypotheses expl (2)'!L132,'Hypotheses expl (2)'!K132))</f>
        <v>0</v>
      </c>
      <c r="M81" s="390">
        <f>IF('Hypotheses expl (2)'!$P$132="0j",'Hypotheses expl (2)'!N132,IF('Hypotheses expl (2)'!$P$132="30j",'Hypotheses expl (2)'!M132,'Hypotheses expl (2)'!L132))</f>
        <v>0</v>
      </c>
      <c r="N81" s="410">
        <f>SUM(B81:M81)/12</f>
        <v>625</v>
      </c>
    </row>
    <row r="82" outlineLevel="1">
      <c r="A82" s="393" t="str">
        <f>'Compte résultat prévi'!A79</f>
        <v xml:space="preserve">Logiciel de documentation</v>
      </c>
      <c r="B82" s="390">
        <v>625</v>
      </c>
      <c r="C82" s="390">
        <f>IF('Hypotheses expl (2)'!$P$133="0j",'Hypotheses expl (2)'!D133,IF('Hypotheses expl (2)'!$P$133="30j",'Hypotheses expl (2)'!C133,'Hypotheses expl (2)'!B133))</f>
        <v>625</v>
      </c>
      <c r="D82" s="390">
        <f>IF('Hypotheses expl (2)'!$P$133="0j",'Hypotheses expl (2)'!E133,IF('Hypotheses expl (2)'!$P$133="30j",'Hypotheses expl (2)'!D133,'Hypotheses expl (2)'!C133))</f>
        <v>625</v>
      </c>
      <c r="E82" s="390">
        <f>IF('Hypotheses expl (2)'!$P$133="0j",'Hypotheses expl (2)'!F133,IF('Hypotheses expl (2)'!$P$133="30j",'Hypotheses expl (2)'!E133,'Hypotheses expl (2)'!D133))</f>
        <v>625</v>
      </c>
      <c r="F82" s="390">
        <f>IF('Hypotheses expl (2)'!$P$133="0j",'Hypotheses expl (2)'!G133,IF('Hypotheses expl (2)'!$P$133="30j",'Hypotheses expl (2)'!F133,'Hypotheses expl (2)'!E133))</f>
        <v>625</v>
      </c>
      <c r="G82" s="390">
        <f>IF('Hypotheses expl (2)'!$P$133="0j",'Hypotheses expl (2)'!H133,IF('Hypotheses expl (2)'!$P$133="30j",'Hypotheses expl (2)'!G133,'Hypotheses expl (2)'!F133))</f>
        <v>625</v>
      </c>
      <c r="H82" s="390">
        <f>IF('Hypotheses expl (2)'!$P$133="0j",'Hypotheses expl (2)'!I133,IF('Hypotheses expl (2)'!$P$133="30j",'Hypotheses expl (2)'!H133,'Hypotheses expl (2)'!G133))</f>
        <v>625</v>
      </c>
      <c r="I82" s="390">
        <f>IF('Hypotheses expl (2)'!$P$133="0j",'Hypotheses expl (2)'!J133,IF('Hypotheses expl (2)'!$P$133="30j",'Hypotheses expl (2)'!I133,'Hypotheses expl (2)'!H133))</f>
        <v>625</v>
      </c>
      <c r="J82" s="390">
        <f>IF('Hypotheses expl (2)'!$P$133="0j",'Hypotheses expl (2)'!K133,IF('Hypotheses expl (2)'!$P$133="30j",'Hypotheses expl (2)'!J133,'Hypotheses expl (2)'!I133))</f>
        <v>625</v>
      </c>
      <c r="K82" s="390">
        <f>IF('Hypotheses expl (2)'!$P$133="0j",'Hypotheses expl (2)'!L133,IF('Hypotheses expl (2)'!$P$133="30j",'Hypotheses expl (2)'!K133,'Hypotheses expl (2)'!J133))</f>
        <v>625</v>
      </c>
      <c r="L82" s="390">
        <f>IF('Hypotheses expl (2)'!$P$133="0j",'Hypotheses expl (2)'!M133,IF('Hypotheses expl (2)'!$P$133="30j",'Hypotheses expl (2)'!L133,'Hypotheses expl (2)'!K133))</f>
        <v>625</v>
      </c>
      <c r="M82" s="390">
        <f>IF('Hypotheses expl (2)'!$P$133="0j",'Hypotheses expl (2)'!N133,IF('Hypotheses expl (2)'!$P$133="30j",'Hypotheses expl (2)'!M133,'Hypotheses expl (2)'!L133))</f>
        <v>625</v>
      </c>
      <c r="N82" s="410">
        <f>SUM(B82:M82)/12</f>
        <v>625</v>
      </c>
    </row>
    <row r="83" outlineLevel="1">
      <c r="A83" s="393" t="str">
        <f>'Compte résultat prévi'!A81</f>
        <v xml:space="preserve">Charges locatives</v>
      </c>
      <c r="B83" s="390">
        <f>IF('Hypotheses expl (2)'!$P$134="0j",'Hypotheses expl (2)'!C134,IF('Hypotheses expl (2)'!$P$134="30j",'Hypotheses expl (2)'!B134,'Hypotheses expl (2)'!A134))</f>
        <v>2500</v>
      </c>
      <c r="C83" s="390">
        <f>IF('Hypotheses expl (2)'!$P$134="0j",'Hypotheses expl (2)'!D134,IF('Hypotheses expl (2)'!$P$134="30j",'Hypotheses expl (2)'!C134,'Hypotheses expl (2)'!B134))</f>
        <v>0</v>
      </c>
      <c r="D83" s="390">
        <f>IF('Hypotheses expl (2)'!$P$134="0j",'Hypotheses expl (2)'!E134,IF('Hypotheses expl (2)'!$P$134="30j",'Hypotheses expl (2)'!D134,'Hypotheses expl (2)'!C134))</f>
        <v>0</v>
      </c>
      <c r="E83" s="390">
        <f>IF('Hypotheses expl (2)'!$P$134="0j",'Hypotheses expl (2)'!F134,IF('Hypotheses expl (2)'!$P$134="30j",'Hypotheses expl (2)'!E134,'Hypotheses expl (2)'!D134))</f>
        <v>2500</v>
      </c>
      <c r="F83" s="390">
        <f>IF('Hypotheses expl (2)'!$P$134="0j",'Hypotheses expl (2)'!G134,IF('Hypotheses expl (2)'!$P$134="30j",'Hypotheses expl (2)'!F134,'Hypotheses expl (2)'!E134))</f>
        <v>0</v>
      </c>
      <c r="G83" s="390">
        <f>IF('Hypotheses expl (2)'!$P$134="0j",'Hypotheses expl (2)'!H134,IF('Hypotheses expl (2)'!$P$134="30j",'Hypotheses expl (2)'!G134,'Hypotheses expl (2)'!F134))</f>
        <v>0</v>
      </c>
      <c r="H83" s="390">
        <f>IF('Hypotheses expl (2)'!$P$134="0j",'Hypotheses expl (2)'!I134,IF('Hypotheses expl (2)'!$P$134="30j",'Hypotheses expl (2)'!H134,'Hypotheses expl (2)'!G134))</f>
        <v>2500</v>
      </c>
      <c r="I83" s="390">
        <f>IF('Hypotheses expl (2)'!$P$134="0j",'Hypotheses expl (2)'!J134,IF('Hypotheses expl (2)'!$P$134="30j",'Hypotheses expl (2)'!I134,'Hypotheses expl (2)'!H134))</f>
        <v>0</v>
      </c>
      <c r="J83" s="390">
        <f>IF('Hypotheses expl (2)'!$P$134="0j",'Hypotheses expl (2)'!K134,IF('Hypotheses expl (2)'!$P$134="30j",'Hypotheses expl (2)'!J134,'Hypotheses expl (2)'!I134))</f>
        <v>0</v>
      </c>
      <c r="K83" s="390">
        <f>IF('Hypotheses expl (2)'!$P$134="0j",'Hypotheses expl (2)'!L134,IF('Hypotheses expl (2)'!$P$134="30j",'Hypotheses expl (2)'!K134,'Hypotheses expl (2)'!J134))</f>
        <v>2500</v>
      </c>
      <c r="L83" s="390">
        <f>IF('Hypotheses expl (2)'!$P$134="0j",'Hypotheses expl (2)'!M134,IF('Hypotheses expl (2)'!$P$134="30j",'Hypotheses expl (2)'!L134,'Hypotheses expl (2)'!K134))</f>
        <v>0</v>
      </c>
      <c r="M83" s="390">
        <f>IF('Hypotheses expl (2)'!$P$134="0j",'Hypotheses expl (2)'!N134,IF('Hypotheses expl (2)'!$P$134="30j",'Hypotheses expl (2)'!M134,'Hypotheses expl (2)'!L134))</f>
        <v>0</v>
      </c>
      <c r="N83" s="410">
        <f>SUM(B83:M83)/12</f>
        <v>833.33333333333337</v>
      </c>
    </row>
    <row r="84" outlineLevel="1">
      <c r="A84" s="393" t="s">
        <v>389</v>
      </c>
      <c r="B84" s="390">
        <v>1011</v>
      </c>
      <c r="C84" s="390">
        <v>1011</v>
      </c>
      <c r="D84" s="390">
        <v>1011</v>
      </c>
      <c r="E84" s="390">
        <v>1011</v>
      </c>
      <c r="F84" s="390">
        <v>1011</v>
      </c>
      <c r="G84" s="390">
        <v>1011</v>
      </c>
      <c r="H84" s="390">
        <v>1011</v>
      </c>
      <c r="I84" s="390">
        <v>1011</v>
      </c>
      <c r="J84" s="390">
        <v>1011</v>
      </c>
      <c r="K84" s="390">
        <v>1011</v>
      </c>
      <c r="L84" s="390">
        <v>1011</v>
      </c>
      <c r="M84" s="390">
        <v>1011</v>
      </c>
      <c r="N84" s="410">
        <f>SUM(B84:M84)/12</f>
        <v>1011</v>
      </c>
    </row>
    <row r="85">
      <c r="A85" s="391" t="str">
        <f>'Compte résultat prévi'!A83</f>
        <v xml:space="preserve">Impôts, taxes et versements assimilés</v>
      </c>
      <c r="B85" s="388">
        <f>SUM(B86:B88)</f>
        <v>8300</v>
      </c>
      <c r="C85" s="388">
        <f t="shared" ref="C85:M85" si="342">SUM(C86:C88)</f>
        <v>8322</v>
      </c>
      <c r="D85" s="388">
        <f t="shared" si="342"/>
        <v>7306.9052099400014</v>
      </c>
      <c r="E85" s="388">
        <f t="shared" si="342"/>
        <v>7369.6577459400023</v>
      </c>
      <c r="F85" s="388">
        <f t="shared" si="342"/>
        <v>7864.5470639400019</v>
      </c>
      <c r="G85" s="388">
        <f t="shared" si="342"/>
        <v>7071.5831999400016</v>
      </c>
      <c r="H85" s="388">
        <f t="shared" si="342"/>
        <v>6147.5309339400001</v>
      </c>
      <c r="I85" s="388">
        <f t="shared" si="342"/>
        <v>6101.8927259399998</v>
      </c>
      <c r="J85" s="388">
        <f t="shared" si="342"/>
        <v>7471.0389659400007</v>
      </c>
      <c r="K85" s="388">
        <f>SUM(K86:K88)</f>
        <v>7599.9564779399998</v>
      </c>
      <c r="L85" s="388">
        <f t="shared" si="342"/>
        <v>7659.8566259399995</v>
      </c>
      <c r="M85" s="388">
        <f t="shared" si="342"/>
        <v>7231.9984259399998</v>
      </c>
      <c r="N85" s="410">
        <f>SUM(B85:M85)/12</f>
        <v>7370.580614616666</v>
      </c>
    </row>
    <row r="86" outlineLevel="1">
      <c r="A86" s="393" t="str">
        <f>'Compte résultat prévi'!A84</f>
        <v xml:space="preserve">Taxe sur les salaires</v>
      </c>
      <c r="B86" s="390">
        <v>8290</v>
      </c>
      <c r="C86" s="390">
        <v>8322</v>
      </c>
      <c r="D86" s="390">
        <f>IF('Hypotheses expl (2)'!$P$137="0j",'Hypotheses expl (2)'!E137,IF('Hypotheses expl (2)'!$P$137="30j",'Hypotheses expl (2)'!D137,'Hypotheses expl (2)'!C137))</f>
        <v>5683.1484966200014</v>
      </c>
      <c r="E86" s="390">
        <f>IF('Hypotheses expl (2)'!$P$137="0j",'Hypotheses expl (2)'!F137,IF('Hypotheses expl (2)'!$P$137="30j",'Hypotheses expl (2)'!E137,'Hypotheses expl (2)'!D137))</f>
        <v>5731.9560246200017</v>
      </c>
      <c r="F86" s="390">
        <f>IF('Hypotheses expl (2)'!$P$137="0j",'Hypotheses expl (2)'!G137,IF('Hypotheses expl (2)'!$P$137="30j",'Hypotheses expl (2)'!F137,'Hypotheses expl (2)'!E137))</f>
        <v>6116.8699386200014</v>
      </c>
      <c r="G86" s="390">
        <f>IF('Hypotheses expl (2)'!$P$137="0j",'Hypotheses expl (2)'!H137,IF('Hypotheses expl (2)'!$P$137="30j",'Hypotheses expl (2)'!G137,'Hypotheses expl (2)'!F137))</f>
        <v>5500.1202666200015</v>
      </c>
      <c r="H86" s="390">
        <f>IF('Hypotheses expl (2)'!$P$137="0j",'Hypotheses expl (2)'!I137,IF('Hypotheses expl (2)'!$P$137="30j",'Hypotheses expl (2)'!H137,'Hypotheses expl (2)'!G137))</f>
        <v>4781.41294862</v>
      </c>
      <c r="I86" s="390">
        <f>IF('Hypotheses expl (2)'!$P$137="0j",'Hypotheses expl (2)'!J137,IF('Hypotheses expl (2)'!$P$137="30j",'Hypotheses expl (2)'!I137,'Hypotheses expl (2)'!H137))</f>
        <v>4745.9165646199999</v>
      </c>
      <c r="J86" s="390">
        <f>IF('Hypotheses expl (2)'!$P$137="0j",'Hypotheses expl (2)'!K137,IF('Hypotheses expl (2)'!$P$137="30j",'Hypotheses expl (2)'!J137,'Hypotheses expl (2)'!I137))</f>
        <v>5810.808084620001</v>
      </c>
      <c r="K86" s="390">
        <f>IF('Hypotheses expl (2)'!$P$137="0j",'Hypotheses expl (2)'!L137,IF('Hypotheses expl (2)'!$P$137="30j",'Hypotheses expl (2)'!K137,'Hypotheses expl (2)'!J137))</f>
        <v>5911.0772606199998</v>
      </c>
      <c r="L86" s="390">
        <f>IF('Hypotheses expl (2)'!$P$137="0j",'Hypotheses expl (2)'!M137,IF('Hypotheses expl (2)'!$P$137="30j",'Hypotheses expl (2)'!L137,'Hypotheses expl (2)'!K137))</f>
        <v>5957.6662646200002</v>
      </c>
      <c r="M86" s="390">
        <f>IF('Hypotheses expl (2)'!$P$137="0j",'Hypotheses expl (2)'!N137,IF('Hypotheses expl (2)'!$P$137="30j",'Hypotheses expl (2)'!M137,'Hypotheses expl (2)'!L137))</f>
        <v>5624.8876646199997</v>
      </c>
      <c r="N86" s="410">
        <f>SUM(B86:M86)/12</f>
        <v>6039.6552928499996</v>
      </c>
    </row>
    <row r="87" outlineLevel="1">
      <c r="A87" s="393" t="str">
        <f>'Compte résultat prévi'!A85</f>
        <v xml:space="preserve">Participation à la formation pro</v>
      </c>
      <c r="B87" s="390">
        <v>10</v>
      </c>
      <c r="C87" s="390">
        <v>0</v>
      </c>
      <c r="D87" s="390">
        <f>IF('Hypotheses expl (2)'!$P$138="0j",'Hypotheses expl (2)'!E138,IF('Hypotheses expl (2)'!$P$138="30j",'Hypotheses expl (2)'!D138,'Hypotheses expl (2)'!C138))</f>
        <v>1623.7567133200002</v>
      </c>
      <c r="E87" s="390">
        <f>IF('Hypotheses expl (2)'!$P$138="0j",'Hypotheses expl (2)'!F138,IF('Hypotheses expl (2)'!$P$138="30j",'Hypotheses expl (2)'!E138,'Hypotheses expl (2)'!D138))</f>
        <v>1637.7017213200004</v>
      </c>
      <c r="F87" s="390">
        <f>IF('Hypotheses expl (2)'!$P$138="0j",'Hypotheses expl (2)'!G138,IF('Hypotheses expl (2)'!$P$138="30j",'Hypotheses expl (2)'!F138,'Hypotheses expl (2)'!E138))</f>
        <v>1747.6771253200004</v>
      </c>
      <c r="G87" s="390">
        <f>IF('Hypotheses expl (2)'!$P$138="0j",'Hypotheses expl (2)'!H138,IF('Hypotheses expl (2)'!$P$138="30j",'Hypotheses expl (2)'!G138,'Hypotheses expl (2)'!F138))</f>
        <v>1571.4629333200003</v>
      </c>
      <c r="H87" s="390">
        <f>IF('Hypotheses expl (2)'!$P$138="0j",'Hypotheses expl (2)'!I138,IF('Hypotheses expl (2)'!$P$138="30j",'Hypotheses expl (2)'!H138,'Hypotheses expl (2)'!G138))</f>
        <v>1366.1179853199999</v>
      </c>
      <c r="I87" s="390">
        <f>IF('Hypotheses expl (2)'!$P$138="0j",'Hypotheses expl (2)'!J138,IF('Hypotheses expl (2)'!$P$138="30j",'Hypotheses expl (2)'!I138,'Hypotheses expl (2)'!H138))</f>
        <v>1355.9761613200001</v>
      </c>
      <c r="J87" s="390">
        <f>IF('Hypotheses expl (2)'!$P$138="0j",'Hypotheses expl (2)'!K138,IF('Hypotheses expl (2)'!$P$138="30j",'Hypotheses expl (2)'!J138,'Hypotheses expl (2)'!I138))</f>
        <v>1660.23088132</v>
      </c>
      <c r="K87" s="390">
        <f>IF('Hypotheses expl (2)'!$P$138="0j",'Hypotheses expl (2)'!L138,IF('Hypotheses expl (2)'!$P$138="30j",'Hypotheses expl (2)'!K138,'Hypotheses expl (2)'!J138))</f>
        <v>1688.87921732</v>
      </c>
      <c r="L87" s="390">
        <f>IF('Hypotheses expl (2)'!$P$138="0j",'Hypotheses expl (2)'!M138,IF('Hypotheses expl (2)'!$P$138="30j",'Hypotheses expl (2)'!L138,'Hypotheses expl (2)'!K138))</f>
        <v>1702.1903613199997</v>
      </c>
      <c r="M87" s="390">
        <f>IF('Hypotheses expl (2)'!$P$138="0j",'Hypotheses expl (2)'!N138,IF('Hypotheses expl (2)'!$P$138="30j",'Hypotheses expl (2)'!M138,'Hypotheses expl (2)'!L138))</f>
        <v>1607.1107613199999</v>
      </c>
      <c r="N87" s="410">
        <f>SUM(B87:M87)/12</f>
        <v>1330.9253217666667</v>
      </c>
    </row>
    <row r="88" outlineLevel="1">
      <c r="A88" s="393" t="str">
        <f>'Compte résultat prévi'!A86</f>
        <v xml:space="preserve">Redevance TV</v>
      </c>
      <c r="B88" s="390">
        <f>IF('Hypotheses expl (2)'!$P$139="0j",'Hypotheses expl (2)'!C139,IF('Hypotheses expl (2)'!$P$139="30j",'Hypotheses expl (2)'!B139,'Hypotheses expl (2)'!A139))</f>
        <v>0</v>
      </c>
      <c r="C88" s="390">
        <f>IF('Hypotheses expl (2)'!$P$139="0j",'Hypotheses expl (2)'!D139,IF('Hypotheses expl (2)'!$P$139="30j",'Hypotheses expl (2)'!C139,'Hypotheses expl (2)'!B139))</f>
        <v>0</v>
      </c>
      <c r="D88" s="390">
        <f>IF('Hypotheses expl (2)'!$P$139="0j",'Hypotheses expl (2)'!E139,IF('Hypotheses expl (2)'!$P$139="30j",'Hypotheses expl (2)'!D139,'Hypotheses expl (2)'!C139))</f>
        <v>0</v>
      </c>
      <c r="E88" s="390">
        <f>IF('Hypotheses expl (2)'!$P$139="0j",'Hypotheses expl (2)'!F139,IF('Hypotheses expl (2)'!$P$139="30j",'Hypotheses expl (2)'!E139,'Hypotheses expl (2)'!D139))</f>
        <v>0</v>
      </c>
      <c r="F88" s="390">
        <f>IF('Hypotheses expl (2)'!$P$139="0j",'Hypotheses expl (2)'!G139,IF('Hypotheses expl (2)'!$P$139="30j",'Hypotheses expl (2)'!F139,'Hypotheses expl (2)'!E139))</f>
        <v>0</v>
      </c>
      <c r="G88" s="390">
        <f>IF('Hypotheses expl (2)'!$P$139="0j",'Hypotheses expl (2)'!H139,IF('Hypotheses expl (2)'!$P$139="30j",'Hypotheses expl (2)'!G139,'Hypotheses expl (2)'!F139))</f>
        <v>0</v>
      </c>
      <c r="H88" s="390">
        <f>IF('Hypotheses expl (2)'!$P$139="0j",'Hypotheses expl (2)'!I139,IF('Hypotheses expl (2)'!$P$139="30j",'Hypotheses expl (2)'!H139,'Hypotheses expl (2)'!G139))</f>
        <v>0</v>
      </c>
      <c r="I88" s="390">
        <f>IF('Hypotheses expl (2)'!$P$139="0j",'Hypotheses expl (2)'!J139,IF('Hypotheses expl (2)'!$P$139="30j",'Hypotheses expl (2)'!I139,'Hypotheses expl (2)'!H139))</f>
        <v>0</v>
      </c>
      <c r="J88" s="390">
        <f>IF('Hypotheses expl (2)'!$P$139="0j",'Hypotheses expl (2)'!K139,IF('Hypotheses expl (2)'!$P$139="30j",'Hypotheses expl (2)'!J139,'Hypotheses expl (2)'!I139))</f>
        <v>0</v>
      </c>
      <c r="K88" s="390">
        <f>IF('Hypotheses expl (2)'!$P$139="0j",'Hypotheses expl (2)'!L139,IF('Hypotheses expl (2)'!$P$139="30j",'Hypotheses expl (2)'!K139,'Hypotheses expl (2)'!J139))</f>
        <v>0</v>
      </c>
      <c r="L88" s="390">
        <f>IF('Hypotheses expl (2)'!$P$139="0j",'Hypotheses expl (2)'!M139,IF('Hypotheses expl (2)'!$P$139="30j",'Hypotheses expl (2)'!L139,'Hypotheses expl (2)'!K139))</f>
        <v>0</v>
      </c>
      <c r="M88" s="390">
        <f>IF('Hypotheses expl (2)'!$P$139="0j",'Hypotheses expl (2)'!N139,IF('Hypotheses expl (2)'!$P$139="30j",'Hypotheses expl (2)'!M139,'Hypotheses expl (2)'!L139))</f>
        <v>0</v>
      </c>
      <c r="N88" s="410">
        <f>SUM(B88:M88)/12</f>
        <v>0</v>
      </c>
    </row>
    <row r="89">
      <c r="A89" s="391" t="str">
        <f>'Compte résultat prévi'!A90</f>
        <v xml:space="preserve">Masse salariale</v>
      </c>
      <c r="B89" s="388">
        <f t="shared" ref="B89:M89" si="343">SUM(B90:B101)</f>
        <v>127884.08399999999</v>
      </c>
      <c r="C89" s="388">
        <f t="shared" si="343"/>
        <v>125034.99298525993</v>
      </c>
      <c r="D89" s="388">
        <f t="shared" si="343"/>
        <v>127092.08734901027</v>
      </c>
      <c r="E89" s="388">
        <f t="shared" si="343"/>
        <v>128626.03822901027</v>
      </c>
      <c r="F89" s="388">
        <f t="shared" si="343"/>
        <v>134403.70858901029</v>
      </c>
      <c r="G89" s="388">
        <f t="shared" si="343"/>
        <v>202792.50706901029</v>
      </c>
      <c r="H89" s="388">
        <f t="shared" si="343"/>
        <v>118103.89582901026</v>
      </c>
      <c r="I89" s="388">
        <f t="shared" si="343"/>
        <v>113860.3945097359</v>
      </c>
      <c r="J89" s="388">
        <f t="shared" si="343"/>
        <v>128870.2940297359</v>
      </c>
      <c r="K89" s="388">
        <f t="shared" si="343"/>
        <v>98094.732399999994</v>
      </c>
      <c r="L89" s="388">
        <f t="shared" si="343"/>
        <v>98760.289599999989</v>
      </c>
      <c r="M89" s="388">
        <f t="shared" si="343"/>
        <v>94006.309599999993</v>
      </c>
    </row>
    <row r="90" outlineLevel="1">
      <c r="A90" s="393" t="str">
        <f>'Compte résultat prévi'!A91</f>
        <v xml:space="preserve">Salaires bruts formateurs permanents/documentation</v>
      </c>
      <c r="B90" s="390">
        <v>59859</v>
      </c>
      <c r="C90" s="390">
        <v>59859</v>
      </c>
      <c r="D90" s="390">
        <v>59859</v>
      </c>
      <c r="E90" s="390">
        <v>59859</v>
      </c>
      <c r="F90" s="390">
        <v>59859</v>
      </c>
      <c r="G90" s="390">
        <v>59859</v>
      </c>
      <c r="H90" s="390">
        <v>59859</v>
      </c>
      <c r="I90" s="390">
        <v>59859</v>
      </c>
      <c r="J90" s="390">
        <v>59859</v>
      </c>
      <c r="K90" s="390">
        <v>59859</v>
      </c>
      <c r="L90" s="390">
        <v>59859</v>
      </c>
      <c r="M90" s="390">
        <v>59859</v>
      </c>
      <c r="N90" s="410">
        <f>SUM(B90:M90)/12</f>
        <v>59859</v>
      </c>
    </row>
    <row r="91" outlineLevel="1">
      <c r="A91" s="393" t="str">
        <f>'Compte résultat prévi'!A92</f>
        <v xml:space="preserve">Salaires bruts direction et administratif</v>
      </c>
      <c r="B91" s="390">
        <f>IF('Hypotheses expl (2)'!$P$144="0j",'Hypotheses expl (2)'!C144,IF('Hypotheses expl (2)'!$P$144="30j",'Hypotheses expl (2)'!B144,'Hypotheses expl (2)'!A144))</f>
        <v>20493.669600000001</v>
      </c>
      <c r="C91" s="390">
        <f>IF('Hypotheses expl (2)'!$P$144="0j",'Hypotheses expl (2)'!D144,IF('Hypotheses expl (2)'!$P$144="30j",'Hypotheses expl (2)'!C144,'Hypotheses expl (2)'!B144))</f>
        <v>20493.669600000001</v>
      </c>
      <c r="D91" s="390">
        <f>IF('Hypotheses expl (2)'!$P$144="0j",'Hypotheses expl (2)'!E144,IF('Hypotheses expl (2)'!$P$144="30j",'Hypotheses expl (2)'!D144,'Hypotheses expl (2)'!C144))</f>
        <v>20493.669600000001</v>
      </c>
      <c r="E91" s="390">
        <f>IF('Hypotheses expl (2)'!$P$144="0j",'Hypotheses expl (2)'!F144,IF('Hypotheses expl (2)'!$P$144="30j",'Hypotheses expl (2)'!E144,'Hypotheses expl (2)'!D144))</f>
        <v>20493.669600000001</v>
      </c>
      <c r="F91" s="390">
        <f>IF('Hypotheses expl (2)'!$P$144="0j",'Hypotheses expl (2)'!G144,IF('Hypotheses expl (2)'!$P$144="30j",'Hypotheses expl (2)'!F144,'Hypotheses expl (2)'!E144))</f>
        <v>20493.669600000001</v>
      </c>
      <c r="G91" s="390">
        <f>IF('Hypotheses expl (2)'!$P$144="0j",'Hypotheses expl (2)'!H144,IF('Hypotheses expl (2)'!$P$144="30j",'Hypotheses expl (2)'!G144,'Hypotheses expl (2)'!F144))</f>
        <v>20493.669600000001</v>
      </c>
      <c r="H91" s="390">
        <f>IF('Hypotheses expl (2)'!$P$144="0j",'Hypotheses expl (2)'!I144,IF('Hypotheses expl (2)'!$P$144="30j",'Hypotheses expl (2)'!H144,'Hypotheses expl (2)'!G144))</f>
        <v>20493.669600000001</v>
      </c>
      <c r="I91" s="390">
        <f>IF('Hypotheses expl (2)'!$P$144="0j",'Hypotheses expl (2)'!J144,IF('Hypotheses expl (2)'!$P$144="30j",'Hypotheses expl (2)'!I144,'Hypotheses expl (2)'!H144))</f>
        <v>20493.669600000001</v>
      </c>
      <c r="J91" s="390">
        <f>IF('Hypotheses expl (2)'!$P$144="0j",'Hypotheses expl (2)'!K144,IF('Hypotheses expl (2)'!$P$144="30j",'Hypotheses expl (2)'!J144,'Hypotheses expl (2)'!I144))</f>
        <v>20493.669600000001</v>
      </c>
      <c r="K91" s="390">
        <f>IF('Hypotheses expl (2)'!$P$144="0j",'Hypotheses expl (2)'!L144,IF('Hypotheses expl (2)'!$P$144="30j",'Hypotheses expl (2)'!K144,'Hypotheses expl (2)'!J144))</f>
        <v>20493.669600000001</v>
      </c>
      <c r="L91" s="390">
        <f>IF('Hypotheses expl (2)'!$P$144="0j",'Hypotheses expl (2)'!M144,IF('Hypotheses expl (2)'!$P$144="30j",'Hypotheses expl (2)'!L144,'Hypotheses expl (2)'!K144))</f>
        <v>20493.669600000001</v>
      </c>
      <c r="M91" s="390">
        <f>IF('Hypotheses expl (2)'!$P$144="0j",'Hypotheses expl (2)'!N144,IF('Hypotheses expl (2)'!$P$144="30j",'Hypotheses expl (2)'!M144,'Hypotheses expl (2)'!L144))</f>
        <v>20493.669600000001</v>
      </c>
      <c r="N91" s="410">
        <f>SUM(B91:M91)/12</f>
        <v>20493.669599999997</v>
      </c>
    </row>
    <row r="92" outlineLevel="1">
      <c r="A92" s="393" t="str">
        <f>'Compte résultat prévi'!A93</f>
        <v xml:space="preserve">Salaires bruts formateurs vacataires</v>
      </c>
      <c r="B92" s="390">
        <f>IF('Hypotheses expl (2)'!$P$145="0j",'Hypotheses expl (2)'!C145,IF('Hypotheses expl (2)'!$P$145="30j",'Hypotheses expl (2)'!B145,'Hypotheses expl (2)'!A145))</f>
        <v>9254.4143999999997</v>
      </c>
      <c r="C92" s="390">
        <f>IF('Hypotheses expl (2)'!$P$145="0j",'Hypotheses expl (2)'!D145,IF('Hypotheses expl (2)'!$P$145="30j",'Hypotheses expl (2)'!C145,'Hypotheses expl (2)'!B145))</f>
        <v>7194.3563999999997</v>
      </c>
      <c r="D92" s="390">
        <f>IF('Hypotheses expl (2)'!$P$145="0j",'Hypotheses expl (2)'!E145,IF('Hypotheses expl (2)'!$P$145="30j",'Hypotheses expl (2)'!D145,'Hypotheses expl (2)'!C145))</f>
        <v>9286.1076000000012</v>
      </c>
      <c r="E92" s="390">
        <f>IF('Hypotheses expl (2)'!$P$145="0j",'Hypotheses expl (2)'!F145,IF('Hypotheses expl (2)'!$P$145="30j",'Hypotheses expl (2)'!E145,'Hypotheses expl (2)'!D145))</f>
        <v>9983.3580000000002</v>
      </c>
      <c r="F92" s="390">
        <f>IF('Hypotheses expl (2)'!$P$145="0j",'Hypotheses expl (2)'!G145,IF('Hypotheses expl (2)'!$P$145="30j",'Hypotheses expl (2)'!F145,'Hypotheses expl (2)'!E145))</f>
        <v>15482.128199999999</v>
      </c>
      <c r="G92" s="390">
        <f>IF('Hypotheses expl (2)'!$P$145="0j",'Hypotheses expl (2)'!H145,IF('Hypotheses expl (2)'!$P$145="30j",'Hypotheses expl (2)'!G145,'Hypotheses expl (2)'!F145))</f>
        <v>6671.4186</v>
      </c>
      <c r="H92" s="390">
        <f>IF('Hypotheses expl (2)'!$P$145="0j",'Hypotheses expl (2)'!I145,IF('Hypotheses expl (2)'!$P$145="30j",'Hypotheses expl (2)'!H145,'Hypotheses expl (2)'!G145))</f>
        <v>507.09120000000001</v>
      </c>
      <c r="I92" s="390">
        <f>IF('Hypotheses expl (2)'!$P$145="0j",'Hypotheses expl (2)'!J145,IF('Hypotheses expl (2)'!$P$145="30j",'Hypotheses expl (2)'!I145,'Hypotheses expl (2)'!H145))</f>
        <v>0</v>
      </c>
      <c r="J92" s="390">
        <f>IF('Hypotheses expl (2)'!$P$145="0j",'Hypotheses expl (2)'!K145,IF('Hypotheses expl (2)'!$P$145="30j",'Hypotheses expl (2)'!J145,'Hypotheses expl (2)'!I145))</f>
        <v>15212.735999999999</v>
      </c>
      <c r="K92" s="390">
        <f>IF('Hypotheses expl (2)'!$P$145="0j",'Hypotheses expl (2)'!L145,IF('Hypotheses expl (2)'!$P$145="30j",'Hypotheses expl (2)'!K145,'Hypotheses expl (2)'!J145))</f>
        <v>10427.0628</v>
      </c>
      <c r="L92" s="390">
        <f>IF('Hypotheses expl (2)'!$P$145="0j",'Hypotheses expl (2)'!M145,IF('Hypotheses expl (2)'!$P$145="30j",'Hypotheses expl (2)'!L145,'Hypotheses expl (2)'!K145))</f>
        <v>11092.619999999999</v>
      </c>
      <c r="M92" s="390">
        <f>IF('Hypotheses expl (2)'!$P$145="0j",'Hypotheses expl (2)'!N145,IF('Hypotheses expl (2)'!$P$145="30j",'Hypotheses expl (2)'!M145,'Hypotheses expl (2)'!L145))</f>
        <v>6338.6399999999994</v>
      </c>
      <c r="N92" s="410">
        <f>SUM(B92:M92)/12</f>
        <v>8454.1610999999994</v>
      </c>
    </row>
    <row r="93" outlineLevel="1">
      <c r="A93" s="393" t="str">
        <f>'Compte résultat prévi'!A94</f>
        <v xml:space="preserve">Charges patronales formateurs permanents/documentation</v>
      </c>
      <c r="B93" s="408">
        <v>15921</v>
      </c>
      <c r="C93" s="390">
        <f>IF('Hypotheses expl (2)'!$P$146="0j",'Hypotheses expl (2)'!D146,IF('Hypotheses expl (2)'!$P$146="30j",'Hypotheses expl (2)'!C146,'Hypotheses expl (2)'!B146))</f>
        <v>15131.769927355494</v>
      </c>
      <c r="D93" s="390">
        <f>IF('Hypotheses expl (2)'!$P$146="0j",'Hypotheses expl (2)'!E146,IF('Hypotheses expl (2)'!$P$146="30j",'Hypotheses expl (2)'!D146,'Hypotheses expl (2)'!C146))</f>
        <v>15921.136291105819</v>
      </c>
      <c r="E93" s="390">
        <f>IF('Hypotheses expl (2)'!$P$146="0j",'Hypotheses expl (2)'!F146,IF('Hypotheses expl (2)'!$P$146="30j",'Hypotheses expl (2)'!E146,'Hypotheses expl (2)'!D146))</f>
        <v>15921.136291105819</v>
      </c>
      <c r="F93" s="390">
        <f>IF('Hypotheses expl (2)'!$P$146="0j",'Hypotheses expl (2)'!G146,IF('Hypotheses expl (2)'!$P$146="30j",'Hypotheses expl (2)'!F146,'Hypotheses expl (2)'!E146))</f>
        <v>15921.136291105819</v>
      </c>
      <c r="G93" s="390">
        <f>IF('Hypotheses expl (2)'!$P$146="0j",'Hypotheses expl (2)'!H146,IF('Hypotheses expl (2)'!$P$146="30j",'Hypotheses expl (2)'!G146,'Hypotheses expl (2)'!F146))</f>
        <v>15921.136291105819</v>
      </c>
      <c r="H93" s="390">
        <f>IF('Hypotheses expl (2)'!$P$146="0j",'Hypotheses expl (2)'!I146,IF('Hypotheses expl (2)'!$P$146="30j",'Hypotheses expl (2)'!H146,'Hypotheses expl (2)'!G146))</f>
        <v>15921.136291105819</v>
      </c>
      <c r="I93" s="390">
        <f>IF('Hypotheses expl (2)'!$P$146="0j",'Hypotheses expl (2)'!J146,IF('Hypotheses expl (2)'!$P$146="30j",'Hypotheses expl (2)'!I146,'Hypotheses expl (2)'!H146))</f>
        <v>14650.457131831461</v>
      </c>
      <c r="J93" s="390">
        <f>IF('Hypotheses expl (2)'!$P$146="0j",'Hypotheses expl (2)'!K146,IF('Hypotheses expl (2)'!$P$146="30j",'Hypotheses expl (2)'!J146,'Hypotheses expl (2)'!I146))</f>
        <v>14650.457131831461</v>
      </c>
      <c r="K93" s="390">
        <v>0</v>
      </c>
      <c r="L93" s="390">
        <v>0</v>
      </c>
      <c r="M93" s="390">
        <v>0</v>
      </c>
      <c r="N93" s="410">
        <f>SUM(B93:M93)/12</f>
        <v>11663.280470545627</v>
      </c>
    </row>
    <row r="94" outlineLevel="1">
      <c r="A94" s="393" t="str">
        <f>'Compte résultat prévi'!A95</f>
        <v xml:space="preserve">Charges patronales direction et administratif</v>
      </c>
      <c r="B94" s="408">
        <v>8439</v>
      </c>
      <c r="C94" s="390">
        <f>IF('Hypotheses expl (2)'!$P$147="0j",'Hypotheses expl (2)'!D147,IF('Hypotheses expl (2)'!$P$147="30j",'Hypotheses expl (2)'!C147,'Hypotheses expl (2)'!B147))</f>
        <v>8439.4312979044425</v>
      </c>
      <c r="D94" s="390">
        <f>IF('Hypotheses expl (2)'!$P$147="0j",'Hypotheses expl (2)'!E147,IF('Hypotheses expl (2)'!$P$147="30j",'Hypotheses expl (2)'!D147,'Hypotheses expl (2)'!C147))</f>
        <v>8439.4312979044425</v>
      </c>
      <c r="E94" s="390">
        <f>IF('Hypotheses expl (2)'!$P$147="0j",'Hypotheses expl (2)'!F147,IF('Hypotheses expl (2)'!$P$147="30j",'Hypotheses expl (2)'!E147,'Hypotheses expl (2)'!D147))</f>
        <v>8439.4312979044425</v>
      </c>
      <c r="F94" s="390">
        <f>IF('Hypotheses expl (2)'!$P$147="0j",'Hypotheses expl (2)'!G147,IF('Hypotheses expl (2)'!$P$147="30j",'Hypotheses expl (2)'!F147,'Hypotheses expl (2)'!E147))</f>
        <v>8439.4312979044425</v>
      </c>
      <c r="G94" s="390">
        <f>IF('Hypotheses expl (2)'!$P$147="0j",'Hypotheses expl (2)'!H147,IF('Hypotheses expl (2)'!$P$147="30j",'Hypotheses expl (2)'!G147,'Hypotheses expl (2)'!F147))</f>
        <v>8439.4312979044425</v>
      </c>
      <c r="H94" s="390">
        <f>IF('Hypotheses expl (2)'!$P$147="0j",'Hypotheses expl (2)'!I147,IF('Hypotheses expl (2)'!$P$147="30j",'Hypotheses expl (2)'!H147,'Hypotheses expl (2)'!G147))</f>
        <v>8439.4312979044425</v>
      </c>
      <c r="I94" s="390">
        <f>IF('Hypotheses expl (2)'!$P$147="0j",'Hypotheses expl (2)'!J147,IF('Hypotheses expl (2)'!$P$147="30j",'Hypotheses expl (2)'!I147,'Hypotheses expl (2)'!H147))</f>
        <v>8439.4312979044425</v>
      </c>
      <c r="J94" s="390">
        <f>IF('Hypotheses expl (2)'!$P$147="0j",'Hypotheses expl (2)'!K147,IF('Hypotheses expl (2)'!$P$147="30j",'Hypotheses expl (2)'!J147,'Hypotheses expl (2)'!I147))</f>
        <v>8439.4312979044425</v>
      </c>
      <c r="K94" s="390">
        <v>0</v>
      </c>
      <c r="L94" s="390">
        <v>0</v>
      </c>
      <c r="M94" s="390">
        <v>0</v>
      </c>
      <c r="N94" s="410">
        <f>SUM(B94:M94)/12</f>
        <v>6329.5375319362947</v>
      </c>
    </row>
    <row r="95" outlineLevel="1">
      <c r="A95" s="393" t="str">
        <f>'Compte résultat prévi'!A96</f>
        <v xml:space="preserve">Charges patronales formateurs vacataires</v>
      </c>
      <c r="B95" s="408">
        <v>3702</v>
      </c>
      <c r="C95" s="390">
        <f>IF('Hypotheses expl (2)'!$P$148="0j",'Hypotheses expl (2)'!D148,IF('Hypotheses expl (2)'!$P$148="30j",'Hypotheses expl (2)'!C148,'Hypotheses expl (2)'!B148))</f>
        <v>3701.7657600000002</v>
      </c>
      <c r="D95" s="390">
        <f>IF('Hypotheses expl (2)'!$P$148="0j",'Hypotheses expl (2)'!E148,IF('Hypotheses expl (2)'!$P$148="30j",'Hypotheses expl (2)'!D148,'Hypotheses expl (2)'!C148))</f>
        <v>2877.7425600000001</v>
      </c>
      <c r="E95" s="390">
        <f>IF('Hypotheses expl (2)'!$P$148="0j",'Hypotheses expl (2)'!F148,IF('Hypotheses expl (2)'!$P$148="30j",'Hypotheses expl (2)'!E148,'Hypotheses expl (2)'!D148))</f>
        <v>3714.4430400000006</v>
      </c>
      <c r="F95" s="390">
        <f>IF('Hypotheses expl (2)'!$P$148="0j",'Hypotheses expl (2)'!G148,IF('Hypotheses expl (2)'!$P$148="30j",'Hypotheses expl (2)'!F148,'Hypotheses expl (2)'!E148))</f>
        <v>3993.3432000000003</v>
      </c>
      <c r="G95" s="390">
        <f>IF('Hypotheses expl (2)'!$P$148="0j",'Hypotheses expl (2)'!H148,IF('Hypotheses expl (2)'!$P$148="30j",'Hypotheses expl (2)'!G148,'Hypotheses expl (2)'!F148))</f>
        <v>6192.8512799999999</v>
      </c>
      <c r="H95" s="390">
        <f>IF('Hypotheses expl (2)'!$P$148="0j",'Hypotheses expl (2)'!I148,IF('Hypotheses expl (2)'!$P$148="30j",'Hypotheses expl (2)'!H148,'Hypotheses expl (2)'!G148))</f>
        <v>2668.5674400000003</v>
      </c>
      <c r="I95" s="390">
        <f>IF('Hypotheses expl (2)'!$P$148="0j",'Hypotheses expl (2)'!J148,IF('Hypotheses expl (2)'!$P$148="30j",'Hypotheses expl (2)'!I148,'Hypotheses expl (2)'!H148))</f>
        <v>202.83648000000002</v>
      </c>
      <c r="J95" s="390">
        <f>IF('Hypotheses expl (2)'!$P$148="0j",'Hypotheses expl (2)'!K148,IF('Hypotheses expl (2)'!$P$148="30j",'Hypotheses expl (2)'!J148,'Hypotheses expl (2)'!I148))</f>
        <v>0</v>
      </c>
      <c r="K95" s="390">
        <v>0</v>
      </c>
      <c r="L95" s="390">
        <v>0</v>
      </c>
      <c r="M95" s="390">
        <v>0</v>
      </c>
      <c r="N95" s="410">
        <f>SUM(B95:M95)/12</f>
        <v>2254.4624800000001</v>
      </c>
    </row>
    <row r="96" outlineLevel="1">
      <c r="A96" s="393" t="str">
        <f>'Compte résultat prévi'!A97</f>
        <v>Mutuelles</v>
      </c>
      <c r="B96" s="390">
        <v>2900</v>
      </c>
      <c r="C96" s="390">
        <f>IF('Hypotheses expl (2)'!$P$149="0j",'Hypotheses expl (2)'!D149,IF('Hypotheses expl (2)'!$P$149="30j",'Hypotheses expl (2)'!C149,'Hypotheses expl (2)'!B149))</f>
        <v>2900</v>
      </c>
      <c r="D96" s="390">
        <f>IF('Hypotheses expl (2)'!$P$149="0j",'Hypotheses expl (2)'!E149,IF('Hypotheses expl (2)'!$P$149="30j",'Hypotheses expl (2)'!D149,'Hypotheses expl (2)'!C149))</f>
        <v>2900</v>
      </c>
      <c r="E96" s="390">
        <f>IF('Hypotheses expl (2)'!$P$149="0j",'Hypotheses expl (2)'!F149,IF('Hypotheses expl (2)'!$P$149="30j",'Hypotheses expl (2)'!E149,'Hypotheses expl (2)'!D149))</f>
        <v>2900</v>
      </c>
      <c r="F96" s="390">
        <f>IF('Hypotheses expl (2)'!$P$149="0j",'Hypotheses expl (2)'!G149,IF('Hypotheses expl (2)'!$P$149="30j",'Hypotheses expl (2)'!F149,'Hypotheses expl (2)'!E149))</f>
        <v>2900</v>
      </c>
      <c r="G96" s="390">
        <f>IF('Hypotheses expl (2)'!$P$149="0j",'Hypotheses expl (2)'!H149,IF('Hypotheses expl (2)'!$P$149="30j",'Hypotheses expl (2)'!G149,'Hypotheses expl (2)'!F149))</f>
        <v>2900</v>
      </c>
      <c r="H96" s="390">
        <f>IF('Hypotheses expl (2)'!$P$149="0j",'Hypotheses expl (2)'!I149,IF('Hypotheses expl (2)'!$P$149="30j",'Hypotheses expl (2)'!H149,'Hypotheses expl (2)'!G149))</f>
        <v>2900</v>
      </c>
      <c r="I96" s="390">
        <f>IF('Hypotheses expl (2)'!$P$149="0j",'Hypotheses expl (2)'!J149,IF('Hypotheses expl (2)'!$P$149="30j",'Hypotheses expl (2)'!I149,'Hypotheses expl (2)'!H149))</f>
        <v>2900</v>
      </c>
      <c r="J96" s="390">
        <f>IF('Hypotheses expl (2)'!$P$149="0j",'Hypotheses expl (2)'!K149,IF('Hypotheses expl (2)'!$P$149="30j",'Hypotheses expl (2)'!J149,'Hypotheses expl (2)'!I149))</f>
        <v>2900</v>
      </c>
      <c r="K96" s="390">
        <v>0</v>
      </c>
      <c r="L96" s="390">
        <v>0</v>
      </c>
      <c r="M96" s="390">
        <v>0</v>
      </c>
      <c r="N96" s="410">
        <f>SUM(B96:M96)/12</f>
        <v>2175</v>
      </c>
    </row>
    <row r="97" outlineLevel="1">
      <c r="A97" s="393" t="str">
        <f>'Compte résultat prévi'!A98</f>
        <v xml:space="preserve">Médecine du travail</v>
      </c>
      <c r="B97" s="390">
        <f>IF('Hypotheses expl (2)'!$P$150="0j",'Hypotheses expl (2)'!C150,IF('Hypotheses expl (2)'!$P$150="30j",'Hypotheses expl (2)'!B150,'Hypotheses expl (2)'!A150))</f>
        <v>0</v>
      </c>
      <c r="C97" s="390">
        <f>IF('Hypotheses expl (2)'!$P$150="0j",'Hypotheses expl (2)'!D150,IF('Hypotheses expl (2)'!$P$150="30j",'Hypotheses expl (2)'!C150,'Hypotheses expl (2)'!B150))</f>
        <v>0</v>
      </c>
      <c r="D97" s="390">
        <f>IF('Hypotheses expl (2)'!$P$150="0j",'Hypotheses expl (2)'!E150,IF('Hypotheses expl (2)'!$P$150="30j",'Hypotheses expl (2)'!D150,'Hypotheses expl (2)'!C150))</f>
        <v>0</v>
      </c>
      <c r="E97" s="390">
        <f>IF('Hypotheses expl (2)'!$P$150="0j",'Hypotheses expl (2)'!F150,IF('Hypotheses expl (2)'!$P$150="30j",'Hypotheses expl (2)'!E150,'Hypotheses expl (2)'!D150))</f>
        <v>0</v>
      </c>
      <c r="F97" s="390">
        <f>IF('Hypotheses expl (2)'!$P$150="0j",'Hypotheses expl (2)'!G150,IF('Hypotheses expl (2)'!$P$150="30j",'Hypotheses expl (2)'!F150,'Hypotheses expl (2)'!E150))</f>
        <v>0</v>
      </c>
      <c r="G97" s="390">
        <f>IF('Hypotheses expl (2)'!$P$150="0j",'Hypotheses expl (2)'!H150,IF('Hypotheses expl (2)'!$P$150="30j",'Hypotheses expl (2)'!G150,'Hypotheses expl (2)'!F150))</f>
        <v>0</v>
      </c>
      <c r="H97" s="390">
        <f>IF('Hypotheses expl (2)'!$P$150="0j",'Hypotheses expl (2)'!I150,IF('Hypotheses expl (2)'!$P$150="30j",'Hypotheses expl (2)'!H150,'Hypotheses expl (2)'!G150))</f>
        <v>0</v>
      </c>
      <c r="I97" s="390">
        <f>IF('Hypotheses expl (2)'!$P$150="0j",'Hypotheses expl (2)'!J150,IF('Hypotheses expl (2)'!$P$150="30j",'Hypotheses expl (2)'!I150,'Hypotheses expl (2)'!H150))</f>
        <v>0</v>
      </c>
      <c r="J97" s="390">
        <f>IF('Hypotheses expl (2)'!$P$150="0j",'Hypotheses expl (2)'!K150,IF('Hypotheses expl (2)'!$P$150="30j",'Hypotheses expl (2)'!J150,'Hypotheses expl (2)'!I150))</f>
        <v>0</v>
      </c>
      <c r="K97" s="390">
        <f>IF('Hypotheses expl (2)'!$P$150="0j",'Hypotheses expl (2)'!L150,IF('Hypotheses expl (2)'!$P$150="30j",'Hypotheses expl (2)'!K150,'Hypotheses expl (2)'!J150))</f>
        <v>0</v>
      </c>
      <c r="L97" s="390">
        <f>IF('Hypotheses expl (2)'!$P$150="0j",'Hypotheses expl (2)'!M150,IF('Hypotheses expl (2)'!$P$150="30j",'Hypotheses expl (2)'!L150,'Hypotheses expl (2)'!K150))</f>
        <v>0</v>
      </c>
      <c r="M97" s="390">
        <f>IF('Hypotheses expl (2)'!$P$150="0j",'Hypotheses expl (2)'!N150,IF('Hypotheses expl (2)'!$P$150="30j",'Hypotheses expl (2)'!M150,'Hypotheses expl (2)'!L150))</f>
        <v>0</v>
      </c>
      <c r="N97" s="410">
        <f>SUM(B97:M97)/12</f>
        <v>0</v>
      </c>
    </row>
    <row r="98" outlineLevel="1">
      <c r="A98" s="393" t="str">
        <f>'Compte résultat prévi'!A99</f>
        <v xml:space="preserve">Indemnités départ</v>
      </c>
      <c r="B98" s="390">
        <v>0</v>
      </c>
      <c r="C98" s="390"/>
      <c r="D98" s="390"/>
      <c r="E98" s="390"/>
      <c r="F98" s="390">
        <v>0</v>
      </c>
      <c r="G98" s="390">
        <v>75000</v>
      </c>
      <c r="H98" s="390"/>
      <c r="I98" s="390">
        <f>IF('Hypotheses expl (2)'!$P$151="0j",'Hypotheses expl (2)'!J151,IF('Hypotheses expl (2)'!$P$151="30j",'Hypotheses expl (2)'!I151,'Hypotheses expl (2)'!H151))</f>
        <v>0</v>
      </c>
      <c r="J98" s="390">
        <f>IF('Hypotheses expl (2)'!$P$151="0j",'Hypotheses expl (2)'!K151,IF('Hypotheses expl (2)'!$P$151="30j",'Hypotheses expl (2)'!J151,'Hypotheses expl (2)'!I151))</f>
        <v>0</v>
      </c>
      <c r="K98" s="390">
        <f>IF('Hypotheses expl (2)'!$P$151="0j",'Hypotheses expl (2)'!L151,IF('Hypotheses expl (2)'!$P$151="30j",'Hypotheses expl (2)'!K151,'Hypotheses expl (2)'!J151))</f>
        <v>0</v>
      </c>
      <c r="L98" s="390">
        <f>IF('Hypotheses expl (2)'!$P$151="0j",'Hypotheses expl (2)'!M151,IF('Hypotheses expl (2)'!$P$151="30j",'Hypotheses expl (2)'!L151,'Hypotheses expl (2)'!K151))</f>
        <v>0</v>
      </c>
      <c r="M98" s="390">
        <f>IF('Hypotheses expl (2)'!$P$151="0j",'Hypotheses expl (2)'!N151,IF('Hypotheses expl (2)'!$P$151="30j",'Hypotheses expl (2)'!M151,'Hypotheses expl (2)'!L151))</f>
        <v>0</v>
      </c>
      <c r="N98" s="410">
        <f>SUM(B98:M98)/12</f>
        <v>6250</v>
      </c>
    </row>
    <row r="99" outlineLevel="1">
      <c r="A99" s="393" t="str">
        <f>'Compte résultat prévi'!A100</f>
        <v xml:space="preserve">Versement CE</v>
      </c>
      <c r="B99" s="390">
        <f>IF('Hypotheses expl (2)'!$P$152="0j",'Hypotheses expl (2)'!C152,IF('Hypotheses expl (2)'!$P$152="30j",'Hypotheses expl (2)'!B152,'Hypotheses expl (2)'!A152))</f>
        <v>0</v>
      </c>
      <c r="C99" s="390">
        <f>IF('Hypotheses expl (2)'!$P$152="0j",'Hypotheses expl (2)'!D152,IF('Hypotheses expl (2)'!$P$152="30j",'Hypotheses expl (2)'!C152,'Hypotheses expl (2)'!B152))</f>
        <v>0</v>
      </c>
      <c r="D99" s="390">
        <f>IF('Hypotheses expl (2)'!$P$152="0j",'Hypotheses expl (2)'!E152,IF('Hypotheses expl (2)'!$P$152="30j",'Hypotheses expl (2)'!D152,'Hypotheses expl (2)'!C152))</f>
        <v>0</v>
      </c>
      <c r="E99" s="390">
        <f>IF('Hypotheses expl (2)'!$P$152="0j",'Hypotheses expl (2)'!F152,IF('Hypotheses expl (2)'!$P$152="30j",'Hypotheses expl (2)'!E152,'Hypotheses expl (2)'!D152))</f>
        <v>0</v>
      </c>
      <c r="F99" s="390">
        <f>IF('Hypotheses expl (2)'!$P$152="0j",'Hypotheses expl (2)'!G152,IF('Hypotheses expl (2)'!$P$152="30j",'Hypotheses expl (2)'!F152,'Hypotheses expl (2)'!E152))</f>
        <v>0</v>
      </c>
      <c r="G99" s="390">
        <f>IF('Hypotheses expl (2)'!$P$152="0j",'Hypotheses expl (2)'!H152,IF('Hypotheses expl (2)'!$P$152="30j",'Hypotheses expl (2)'!G152,'Hypotheses expl (2)'!F152))</f>
        <v>0</v>
      </c>
      <c r="H99" s="390">
        <f>IF('Hypotheses expl (2)'!$P$152="0j",'Hypotheses expl (2)'!I152,IF('Hypotheses expl (2)'!$P$152="30j",'Hypotheses expl (2)'!H152,'Hypotheses expl (2)'!G152))</f>
        <v>0</v>
      </c>
      <c r="I99" s="390">
        <f>IF('Hypotheses expl (2)'!$P$152="0j",'Hypotheses expl (2)'!J152,IF('Hypotheses expl (2)'!$P$152="30j",'Hypotheses expl (2)'!I152,'Hypotheses expl (2)'!H152))</f>
        <v>0</v>
      </c>
      <c r="J99" s="390"/>
      <c r="K99" s="390">
        <f>IF('Hypotheses expl (2)'!$P$152="0j",'Hypotheses expl (2)'!L152,IF('Hypotheses expl (2)'!$P$152="30j",'Hypotheses expl (2)'!K152,'Hypotheses expl (2)'!J152))</f>
        <v>0</v>
      </c>
      <c r="L99" s="390">
        <f>IF('Hypotheses expl (2)'!$P$152="0j",'Hypotheses expl (2)'!M152,IF('Hypotheses expl (2)'!$P$152="30j",'Hypotheses expl (2)'!L152,'Hypotheses expl (2)'!K152))</f>
        <v>0</v>
      </c>
      <c r="M99" s="390">
        <f>IF('Hypotheses expl (2)'!$P$152="0j",'Hypotheses expl (2)'!N152,IF('Hypotheses expl (2)'!$P$152="30j",'Hypotheses expl (2)'!M152,'Hypotheses expl (2)'!L152))</f>
        <v>0</v>
      </c>
      <c r="N99" s="410">
        <f>SUM(B99:M99)/12</f>
        <v>0</v>
      </c>
    </row>
    <row r="100" outlineLevel="1">
      <c r="A100" s="393" t="str">
        <f>'Compte résultat prévi'!A101</f>
        <v xml:space="preserve">Ticket restaurants</v>
      </c>
      <c r="B100" s="390">
        <f>IF('Hypotheses expl (2)'!$P$153="0j",'Hypotheses expl (2)'!C153,IF('Hypotheses expl (2)'!$P$153="30j",'Hypotheses expl (2)'!B153,'Hypotheses expl (2)'!A153))</f>
        <v>2100</v>
      </c>
      <c r="C100" s="390">
        <f>IF('Hypotheses expl (2)'!$P$153="0j",'Hypotheses expl (2)'!D153,IF('Hypotheses expl (2)'!$P$153="30j",'Hypotheses expl (2)'!C153,'Hypotheses expl (2)'!B153))</f>
        <v>2100</v>
      </c>
      <c r="D100" s="390">
        <f>IF('Hypotheses expl (2)'!$P$153="0j",'Hypotheses expl (2)'!E153,IF('Hypotheses expl (2)'!$P$153="30j",'Hypotheses expl (2)'!D153,'Hypotheses expl (2)'!C153))</f>
        <v>2100</v>
      </c>
      <c r="E100" s="390">
        <f>IF('Hypotheses expl (2)'!$P$153="0j",'Hypotheses expl (2)'!F153,IF('Hypotheses expl (2)'!$P$153="30j",'Hypotheses expl (2)'!E153,'Hypotheses expl (2)'!D153))</f>
        <v>2100</v>
      </c>
      <c r="F100" s="390">
        <f>IF('Hypotheses expl (2)'!$P$153="0j",'Hypotheses expl (2)'!G153,IF('Hypotheses expl (2)'!$P$153="30j",'Hypotheses expl (2)'!F153,'Hypotheses expl (2)'!E153))</f>
        <v>2100</v>
      </c>
      <c r="G100" s="390">
        <f>IF('Hypotheses expl (2)'!$P$153="0j",'Hypotheses expl (2)'!H153,IF('Hypotheses expl (2)'!$P$153="30j",'Hypotheses expl (2)'!G153,'Hypotheses expl (2)'!F153))</f>
        <v>2100</v>
      </c>
      <c r="H100" s="390">
        <f>IF('Hypotheses expl (2)'!$P$153="0j",'Hypotheses expl (2)'!I153,IF('Hypotheses expl (2)'!$P$153="30j",'Hypotheses expl (2)'!H153,'Hypotheses expl (2)'!G153))</f>
        <v>2100</v>
      </c>
      <c r="I100" s="390">
        <f>IF('Hypotheses expl (2)'!$P$153="0j",'Hypotheses expl (2)'!J153,IF('Hypotheses expl (2)'!$P$153="30j",'Hypotheses expl (2)'!I153,'Hypotheses expl (2)'!H153))</f>
        <v>2100</v>
      </c>
      <c r="J100" s="390">
        <f>IF('Hypotheses expl (2)'!$P$153="0j",'Hypotheses expl (2)'!K153,IF('Hypotheses expl (2)'!$P$153="30j",'Hypotheses expl (2)'!J153,'Hypotheses expl (2)'!I153))</f>
        <v>2100</v>
      </c>
      <c r="K100" s="390">
        <f>IF('Hypotheses expl (2)'!$P$153="0j",'Hypotheses expl (2)'!L153,IF('Hypotheses expl (2)'!$P$153="30j",'Hypotheses expl (2)'!K153,'Hypotheses expl (2)'!J153))</f>
        <v>2100</v>
      </c>
      <c r="L100" s="390">
        <f>IF('Hypotheses expl (2)'!$P$153="0j",'Hypotheses expl (2)'!M153,IF('Hypotheses expl (2)'!$P$153="30j",'Hypotheses expl (2)'!L153,'Hypotheses expl (2)'!K153))</f>
        <v>2100</v>
      </c>
      <c r="M100" s="390">
        <f>IF('Hypotheses expl (2)'!$P$153="0j",'Hypotheses expl (2)'!N153,IF('Hypotheses expl (2)'!$P$153="30j",'Hypotheses expl (2)'!M153,'Hypotheses expl (2)'!L153))</f>
        <v>2100</v>
      </c>
      <c r="N100" s="410">
        <f>SUM(B100:M100)/12</f>
        <v>2100</v>
      </c>
    </row>
    <row r="101" outlineLevel="1">
      <c r="A101" s="393" t="s">
        <v>390</v>
      </c>
      <c r="B101" s="390">
        <v>5215</v>
      </c>
      <c r="C101" s="390">
        <v>5215</v>
      </c>
      <c r="D101" s="390">
        <v>5215</v>
      </c>
      <c r="E101" s="390">
        <v>5215</v>
      </c>
      <c r="F101" s="390">
        <v>5215</v>
      </c>
      <c r="G101" s="390">
        <v>5215</v>
      </c>
      <c r="H101" s="390">
        <v>5215</v>
      </c>
      <c r="I101" s="390">
        <v>5215</v>
      </c>
      <c r="J101" s="390">
        <v>5215</v>
      </c>
      <c r="K101" s="390">
        <v>5215</v>
      </c>
      <c r="L101" s="390">
        <v>5215</v>
      </c>
      <c r="M101" s="390">
        <v>5215</v>
      </c>
      <c r="N101" s="410">
        <f>SUM(B101:M101)/12</f>
        <v>5215</v>
      </c>
    </row>
    <row r="102">
      <c r="A102" s="391" t="str">
        <f>'Compte résultat prévi'!A102</f>
        <v xml:space="preserve">Autres charges de gestion courante</v>
      </c>
      <c r="B102" s="388">
        <f>SUM(B103:B105)</f>
        <v>0</v>
      </c>
      <c r="C102" s="388">
        <f t="shared" ref="C102:M102" si="344">SUM(C103:C105)</f>
        <v>0</v>
      </c>
      <c r="D102" s="388">
        <f t="shared" si="344"/>
        <v>0</v>
      </c>
      <c r="E102" s="388">
        <f t="shared" si="344"/>
        <v>0</v>
      </c>
      <c r="F102" s="388">
        <f t="shared" si="344"/>
        <v>0</v>
      </c>
      <c r="G102" s="388">
        <f t="shared" si="344"/>
        <v>0</v>
      </c>
      <c r="H102" s="388">
        <f t="shared" si="344"/>
        <v>0</v>
      </c>
      <c r="I102" s="388">
        <f t="shared" si="344"/>
        <v>0</v>
      </c>
      <c r="J102" s="388">
        <f t="shared" si="344"/>
        <v>0</v>
      </c>
      <c r="K102" s="388">
        <f t="shared" si="344"/>
        <v>0</v>
      </c>
      <c r="L102" s="388">
        <f t="shared" si="344"/>
        <v>0</v>
      </c>
      <c r="M102" s="388">
        <f t="shared" si="344"/>
        <v>0</v>
      </c>
      <c r="N102" s="410">
        <f>SUM(B102:M102)/12</f>
        <v>0</v>
      </c>
    </row>
    <row r="103" outlineLevel="1">
      <c r="A103" s="393" t="str">
        <f>'Compte résultat prévi'!A103</f>
        <v xml:space="preserve">Pertes sur créances irrécouvrables</v>
      </c>
      <c r="B103" s="390">
        <f>IF('Hypotheses expl (2)'!$P$154="0j",'Hypotheses expl (2)'!C154,IF('Hypotheses expl (2)'!$P$154="30j",'Hypotheses expl (2)'!B154,'Hypotheses expl (2)'!A154))</f>
        <v>0</v>
      </c>
      <c r="C103" s="390">
        <f>IF('Hypotheses expl (2)'!$P$154="0j",'Hypotheses expl (2)'!D154,IF('Hypotheses expl (2)'!$P$154="30j",'Hypotheses expl (2)'!C154,'Hypotheses expl (2)'!B154))</f>
        <v>0</v>
      </c>
      <c r="D103" s="390">
        <f>IF('Hypotheses expl (2)'!$P$154="0j",'Hypotheses expl (2)'!E154,IF('Hypotheses expl (2)'!$P$154="30j",'Hypotheses expl (2)'!D154,'Hypotheses expl (2)'!C154))</f>
        <v>0</v>
      </c>
      <c r="E103" s="390">
        <f>IF('Hypotheses expl (2)'!$P$154="0j",'Hypotheses expl (2)'!F154,IF('Hypotheses expl (2)'!$P$154="30j",'Hypotheses expl (2)'!E154,'Hypotheses expl (2)'!D154))</f>
        <v>0</v>
      </c>
      <c r="F103" s="390">
        <f>IF('Hypotheses expl (2)'!$P$154="0j",'Hypotheses expl (2)'!G154,IF('Hypotheses expl (2)'!$P$154="30j",'Hypotheses expl (2)'!F154,'Hypotheses expl (2)'!E154))</f>
        <v>0</v>
      </c>
      <c r="G103" s="390">
        <f>IF('Hypotheses expl (2)'!$P$154="0j",'Hypotheses expl (2)'!H154,IF('Hypotheses expl (2)'!$P$154="30j",'Hypotheses expl (2)'!G154,'Hypotheses expl (2)'!F154))</f>
        <v>0</v>
      </c>
      <c r="H103" s="390">
        <f>IF('Hypotheses expl (2)'!$P$154="0j",'Hypotheses expl (2)'!I154,IF('Hypotheses expl (2)'!$P$154="30j",'Hypotheses expl (2)'!H154,'Hypotheses expl (2)'!G154))</f>
        <v>0</v>
      </c>
      <c r="I103" s="390">
        <f>IF('Hypotheses expl (2)'!$P$154="0j",'Hypotheses expl (2)'!J154,IF('Hypotheses expl (2)'!$P$154="30j",'Hypotheses expl (2)'!I154,'Hypotheses expl (2)'!H154))</f>
        <v>0</v>
      </c>
      <c r="J103" s="390">
        <f>IF('Hypotheses expl (2)'!$P$154="0j",'Hypotheses expl (2)'!K154,IF('Hypotheses expl (2)'!$P$154="30j",'Hypotheses expl (2)'!J154,'Hypotheses expl (2)'!I154))</f>
        <v>0</v>
      </c>
      <c r="K103" s="390">
        <f>IF('Hypotheses expl (2)'!$P$154="0j",'Hypotheses expl (2)'!L154,IF('Hypotheses expl (2)'!$P$154="30j",'Hypotheses expl (2)'!K154,'Hypotheses expl (2)'!J154))</f>
        <v>0</v>
      </c>
      <c r="L103" s="390">
        <f>IF('Hypotheses expl (2)'!$P$154="0j",'Hypotheses expl (2)'!M154,IF('Hypotheses expl (2)'!$P$154="30j",'Hypotheses expl (2)'!L154,'Hypotheses expl (2)'!K154))</f>
        <v>0</v>
      </c>
      <c r="M103" s="390"/>
      <c r="N103" s="410">
        <f>SUM(B103:M103)/12</f>
        <v>0</v>
      </c>
    </row>
    <row r="104" outlineLevel="1">
      <c r="A104" s="393" t="str">
        <f>'Compte résultat prévi'!A104</f>
        <v xml:space="preserve">Cotisations vie statuaire</v>
      </c>
      <c r="B104" s="390">
        <f>IF('Hypotheses expl (2)'!$P$155="0j",'Hypotheses expl (2)'!C155,IF('Hypotheses expl (2)'!$P$155="30j",'Hypotheses expl (2)'!B155,'Hypotheses expl (2)'!A155))</f>
        <v>0</v>
      </c>
      <c r="C104" s="390">
        <f>IF('Hypotheses expl (2)'!$P$155="0j",'Hypotheses expl (2)'!D155,IF('Hypotheses expl (2)'!$P$155="30j",'Hypotheses expl (2)'!C155,'Hypotheses expl (2)'!B155))</f>
        <v>0</v>
      </c>
      <c r="D104" s="390">
        <f>IF('Hypotheses expl (2)'!$P$155="0j",'Hypotheses expl (2)'!E155,IF('Hypotheses expl (2)'!$P$155="30j",'Hypotheses expl (2)'!D155,'Hypotheses expl (2)'!C155))</f>
        <v>0</v>
      </c>
      <c r="E104" s="390">
        <f>IF('Hypotheses expl (2)'!$P$155="0j",'Hypotheses expl (2)'!F155,IF('Hypotheses expl (2)'!$P$155="30j",'Hypotheses expl (2)'!E155,'Hypotheses expl (2)'!D155))</f>
        <v>0</v>
      </c>
      <c r="F104" s="390">
        <f>IF('Hypotheses expl (2)'!$P$155="0j",'Hypotheses expl (2)'!G155,IF('Hypotheses expl (2)'!$P$155="30j",'Hypotheses expl (2)'!F155,'Hypotheses expl (2)'!E155))</f>
        <v>0</v>
      </c>
      <c r="G104" s="390">
        <f>IF('Hypotheses expl (2)'!$P$155="0j",'Hypotheses expl (2)'!H155,IF('Hypotheses expl (2)'!$P$155="30j",'Hypotheses expl (2)'!G155,'Hypotheses expl (2)'!F155))</f>
        <v>0</v>
      </c>
      <c r="H104" s="390">
        <f>IF('Hypotheses expl (2)'!$P$155="0j",'Hypotheses expl (2)'!I155,IF('Hypotheses expl (2)'!$P$155="30j",'Hypotheses expl (2)'!H155,'Hypotheses expl (2)'!G155))</f>
        <v>0</v>
      </c>
      <c r="I104" s="390">
        <f>IF('Hypotheses expl (2)'!$P$155="0j",'Hypotheses expl (2)'!J155,IF('Hypotheses expl (2)'!$P$155="30j",'Hypotheses expl (2)'!I155,'Hypotheses expl (2)'!H155))</f>
        <v>0</v>
      </c>
      <c r="J104" s="390">
        <f>IF('Hypotheses expl (2)'!$P$155="0j",'Hypotheses expl (2)'!K155,IF('Hypotheses expl (2)'!$P$155="30j",'Hypotheses expl (2)'!J155,'Hypotheses expl (2)'!I155))</f>
        <v>0</v>
      </c>
      <c r="K104" s="390">
        <f>IF('Hypotheses expl (2)'!$P$155="0j",'Hypotheses expl (2)'!L155,IF('Hypotheses expl (2)'!$P$155="30j",'Hypotheses expl (2)'!K155,'Hypotheses expl (2)'!J155))</f>
        <v>0</v>
      </c>
      <c r="L104" s="390">
        <f>IF('Hypotheses expl (2)'!$P$155="0j",'Hypotheses expl (2)'!M155,IF('Hypotheses expl (2)'!$P$155="30j",'Hypotheses expl (2)'!L155,'Hypotheses expl (2)'!K155))</f>
        <v>0</v>
      </c>
      <c r="M104" s="390"/>
      <c r="N104" s="410">
        <f>SUM(B104:M104)/12</f>
        <v>0</v>
      </c>
    </row>
    <row r="105" outlineLevel="1">
      <c r="A105" s="393" t="str">
        <f>'Compte résultat prévi'!A105</f>
        <v xml:space="preserve">Autres charges de gestion courante</v>
      </c>
      <c r="B105" s="390">
        <f>IF('Hypotheses expl (2)'!$P$156="0j",'Hypotheses expl (2)'!C156,IF('Hypotheses expl (2)'!$P$156="30j",'Hypotheses expl (2)'!B156,'Hypotheses expl (2)'!A156))</f>
        <v>0</v>
      </c>
      <c r="C105" s="390">
        <f>IF('Hypotheses expl (2)'!$P$156="0j",'Hypotheses expl (2)'!D156,IF('Hypotheses expl (2)'!$P$156="30j",'Hypotheses expl (2)'!C156,'Hypotheses expl (2)'!B156))</f>
        <v>0</v>
      </c>
      <c r="D105" s="390">
        <f>IF('Hypotheses expl (2)'!$P$156="0j",'Hypotheses expl (2)'!E156,IF('Hypotheses expl (2)'!$P$156="30j",'Hypotheses expl (2)'!D156,'Hypotheses expl (2)'!C156))</f>
        <v>0</v>
      </c>
      <c r="E105" s="390">
        <f>IF('Hypotheses expl (2)'!$P$156="0j",'Hypotheses expl (2)'!F156,IF('Hypotheses expl (2)'!$P$156="30j",'Hypotheses expl (2)'!E156,'Hypotheses expl (2)'!D156))</f>
        <v>0</v>
      </c>
      <c r="F105" s="390">
        <f>IF('Hypotheses expl (2)'!$P$156="0j",'Hypotheses expl (2)'!G156,IF('Hypotheses expl (2)'!$P$156="30j",'Hypotheses expl (2)'!F156,'Hypotheses expl (2)'!E156))</f>
        <v>0</v>
      </c>
      <c r="G105" s="390">
        <f>IF('Hypotheses expl (2)'!$P$156="0j",'Hypotheses expl (2)'!H156,IF('Hypotheses expl (2)'!$P$156="30j",'Hypotheses expl (2)'!G156,'Hypotheses expl (2)'!F156))</f>
        <v>0</v>
      </c>
      <c r="H105" s="390">
        <f>IF('Hypotheses expl (2)'!$P$156="0j",'Hypotheses expl (2)'!I156,IF('Hypotheses expl (2)'!$P$156="30j",'Hypotheses expl (2)'!H156,'Hypotheses expl (2)'!G156))</f>
        <v>0</v>
      </c>
      <c r="I105" s="390">
        <f>IF('Hypotheses expl (2)'!$P$156="0j",'Hypotheses expl (2)'!J156,IF('Hypotheses expl (2)'!$P$156="30j",'Hypotheses expl (2)'!I156,'Hypotheses expl (2)'!H156))</f>
        <v>0</v>
      </c>
      <c r="J105" s="390">
        <f>IF('Hypotheses expl (2)'!$P$156="0j",'Hypotheses expl (2)'!K156,IF('Hypotheses expl (2)'!$P$156="30j",'Hypotheses expl (2)'!J156,'Hypotheses expl (2)'!I156))</f>
        <v>0</v>
      </c>
      <c r="K105" s="390">
        <f>IF('Hypotheses expl (2)'!$P$156="0j",'Hypotheses expl (2)'!L156,IF('Hypotheses expl (2)'!$P$156="30j",'Hypotheses expl (2)'!K156,'Hypotheses expl (2)'!J156))</f>
        <v>0</v>
      </c>
      <c r="L105" s="390">
        <f>IF('Hypotheses expl (2)'!$P$156="0j",'Hypotheses expl (2)'!M156,IF('Hypotheses expl (2)'!$P$156="30j",'Hypotheses expl (2)'!L156,'Hypotheses expl (2)'!K156))</f>
        <v>0</v>
      </c>
      <c r="M105" s="390"/>
      <c r="N105" s="410">
        <f>SUM(B105:M105)/12</f>
        <v>0</v>
      </c>
    </row>
    <row r="106">
      <c r="A106" s="391" t="str">
        <f>'Compte résultat prévi'!A113</f>
        <v xml:space="preserve">Charges financières</v>
      </c>
      <c r="B106" s="388">
        <f>SUM(B107:B107)</f>
        <v>40000</v>
      </c>
      <c r="C106" s="388">
        <f t="shared" ref="C106:M106" si="345">SUM(C107:C107)</f>
        <v>0</v>
      </c>
      <c r="D106" s="388">
        <f t="shared" si="345"/>
        <v>0</v>
      </c>
      <c r="E106" s="388">
        <f t="shared" si="345"/>
        <v>0</v>
      </c>
      <c r="F106" s="388">
        <f t="shared" si="345"/>
        <v>0</v>
      </c>
      <c r="G106" s="388">
        <f t="shared" si="345"/>
        <v>0</v>
      </c>
      <c r="H106" s="388">
        <f t="shared" si="345"/>
        <v>0</v>
      </c>
      <c r="I106" s="388">
        <f t="shared" si="345"/>
        <v>0</v>
      </c>
      <c r="J106" s="388">
        <f t="shared" si="345"/>
        <v>0</v>
      </c>
      <c r="K106" s="388">
        <f t="shared" si="345"/>
        <v>1000</v>
      </c>
      <c r="L106" s="388">
        <f t="shared" si="345"/>
        <v>1000</v>
      </c>
      <c r="M106" s="388">
        <f t="shared" si="345"/>
        <v>1000</v>
      </c>
    </row>
    <row r="107" outlineLevel="1">
      <c r="A107" s="393" t="str">
        <f>'Compte résultat prévi'!A114</f>
        <v xml:space="preserve">Autres charges financières</v>
      </c>
      <c r="B107" s="390">
        <v>40000</v>
      </c>
      <c r="C107" s="390">
        <f>IF('Hypotheses expl (2)'!$P$157="0j",'Hypotheses expl (2)'!D157,IF('Hypotheses expl (2)'!$P$157="30j",'Hypotheses expl (2)'!C157,'Hypotheses expl (2)'!B157))</f>
        <v>0</v>
      </c>
      <c r="D107" s="390">
        <f>IF('Hypotheses expl (2)'!$P$157="0j",'Hypotheses expl (2)'!E157,IF('Hypotheses expl (2)'!$P$157="30j",'Hypotheses expl (2)'!D157,'Hypotheses expl (2)'!C157))</f>
        <v>0</v>
      </c>
      <c r="E107" s="390">
        <f>IF('Hypotheses expl (2)'!$P$157="0j",'Hypotheses expl (2)'!F157,IF('Hypotheses expl (2)'!$P$157="30j",'Hypotheses expl (2)'!E157,'Hypotheses expl (2)'!D157))</f>
        <v>0</v>
      </c>
      <c r="F107" s="390">
        <f>IF('Hypotheses expl (2)'!$P$157="0j",'Hypotheses expl (2)'!G157,IF('Hypotheses expl (2)'!$P$157="30j",'Hypotheses expl (2)'!F157,'Hypotheses expl (2)'!E157))</f>
        <v>0</v>
      </c>
      <c r="G107" s="390">
        <f>IF('Hypotheses expl (2)'!$P$157="0j",'Hypotheses expl (2)'!H157,IF('Hypotheses expl (2)'!$P$157="30j",'Hypotheses expl (2)'!G157,'Hypotheses expl (2)'!F157))</f>
        <v>0</v>
      </c>
      <c r="H107" s="390">
        <f>IF('Hypotheses expl (2)'!$P$157="0j",'Hypotheses expl (2)'!I157,IF('Hypotheses expl (2)'!$P$157="30j",'Hypotheses expl (2)'!H157,'Hypotheses expl (2)'!G157))</f>
        <v>0</v>
      </c>
      <c r="I107" s="390">
        <f>IF('Hypotheses expl (2)'!$P$157="0j",'Hypotheses expl (2)'!J157,IF('Hypotheses expl (2)'!$P$157="30j",'Hypotheses expl (2)'!I157,'Hypotheses expl (2)'!H157))</f>
        <v>0</v>
      </c>
      <c r="J107" s="390">
        <f>IF('Hypotheses expl (2)'!$P$157="0j",'Hypotheses expl (2)'!K157,IF('Hypotheses expl (2)'!$P$157="30j",'Hypotheses expl (2)'!J157,'Hypotheses expl (2)'!I157))</f>
        <v>0</v>
      </c>
      <c r="K107" s="390">
        <f>IF('Hypotheses expl (2)'!$P$157="0j",'Hypotheses expl (2)'!L157,IF('Hypotheses expl (2)'!$P$157="30j",'Hypotheses expl (2)'!K157,'Hypotheses expl (2)'!J157))</f>
        <v>1000</v>
      </c>
      <c r="L107" s="390">
        <f>IF('Hypotheses expl (2)'!$P$157="0j",'Hypotheses expl (2)'!M157,IF('Hypotheses expl (2)'!$P$157="30j",'Hypotheses expl (2)'!L157,'Hypotheses expl (2)'!K157))</f>
        <v>1000</v>
      </c>
      <c r="M107" s="390">
        <f>IF('Hypotheses expl (2)'!$P$157="0j",'Hypotheses expl (2)'!N157,IF('Hypotheses expl (2)'!$P$157="30j",'Hypotheses expl (2)'!M157,'Hypotheses expl (2)'!L157))</f>
        <v>1000</v>
      </c>
      <c r="N107" s="410">
        <f>SUM(B107:M107)/12</f>
        <v>3583.3333333333335</v>
      </c>
    </row>
    <row r="108">
      <c r="A108" s="391" t="str">
        <f>'Compte résultat prévi'!A120</f>
        <v xml:space="preserve">Charges exceptionnelles</v>
      </c>
      <c r="B108" s="388">
        <f>SUM(B110:B111)</f>
        <v>58699</v>
      </c>
      <c r="C108" s="388">
        <f t="shared" ref="C108:F108" si="346">SUM(C110:C111)</f>
        <v>19554</v>
      </c>
      <c r="D108" s="388">
        <f t="shared" si="346"/>
        <v>19554</v>
      </c>
      <c r="E108" s="388">
        <f t="shared" si="346"/>
        <v>19554</v>
      </c>
      <c r="F108" s="388">
        <f t="shared" si="346"/>
        <v>89554</v>
      </c>
      <c r="G108" s="388">
        <f>SUM(G109:G111)</f>
        <v>20154</v>
      </c>
      <c r="H108" s="388">
        <f t="shared" ref="H108:M108" si="347">SUM(H109:H111)</f>
        <v>25554</v>
      </c>
      <c r="I108" s="388">
        <f t="shared" si="347"/>
        <v>0</v>
      </c>
      <c r="J108" s="388">
        <f t="shared" si="347"/>
        <v>1500</v>
      </c>
      <c r="K108" s="388">
        <f t="shared" si="347"/>
        <v>0</v>
      </c>
      <c r="L108" s="388">
        <f t="shared" si="347"/>
        <v>0</v>
      </c>
      <c r="M108" s="388">
        <f t="shared" si="347"/>
        <v>0</v>
      </c>
      <c r="N108" s="410">
        <f>SUM(B108:M108)/12</f>
        <v>21176.916666666668</v>
      </c>
    </row>
    <row r="109">
      <c r="A109" s="412" t="s">
        <v>405</v>
      </c>
      <c r="B109" s="390"/>
      <c r="C109" s="390"/>
      <c r="D109" s="390"/>
      <c r="E109" s="390"/>
      <c r="F109" s="390"/>
      <c r="G109" s="390">
        <v>600</v>
      </c>
      <c r="H109" s="390">
        <v>6000</v>
      </c>
      <c r="I109" s="390"/>
      <c r="J109" s="390">
        <f>1500</f>
        <v>1500</v>
      </c>
      <c r="K109" s="390"/>
      <c r="L109" s="390"/>
      <c r="M109" s="390"/>
      <c r="N109" s="410">
        <f>SUM(B109:M109)/12</f>
        <v>675</v>
      </c>
    </row>
    <row r="110" outlineLevel="1">
      <c r="A110" s="393" t="str">
        <f>'Compte résultat prévi'!A121</f>
        <v xml:space="preserve">Provisions pour risques et charges</v>
      </c>
      <c r="B110" s="390"/>
      <c r="C110" s="390">
        <f>IF('Hypotheses expl (2)'!$P$159="0j",'Hypotheses expl (2)'!D159,IF('Hypotheses expl (2)'!$P$159="30j",'Hypotheses expl (2)'!C159,'Hypotheses expl (2)'!B159))</f>
        <v>0</v>
      </c>
      <c r="D110" s="390">
        <v>0</v>
      </c>
      <c r="E110" s="390">
        <f>IF('Hypotheses expl (2)'!$P$159="0j",'Hypotheses expl (2)'!F159,IF('Hypotheses expl (2)'!$P$159="30j",'Hypotheses expl (2)'!E159,'Hypotheses expl (2)'!D159))</f>
        <v>0</v>
      </c>
      <c r="F110" s="390">
        <v>70000</v>
      </c>
      <c r="G110" s="390">
        <f>IF('Hypotheses expl (2)'!$P$159="0j",'Hypotheses expl (2)'!H159,IF('Hypotheses expl (2)'!$P$159="30j",'Hypotheses expl (2)'!G159,'Hypotheses expl (2)'!F159))</f>
        <v>0</v>
      </c>
      <c r="H110" s="390">
        <f>IF('Hypotheses expl (2)'!$P$159="0j",'Hypotheses expl (2)'!I159,IF('Hypotheses expl (2)'!$P$159="30j",'Hypotheses expl (2)'!H159,'Hypotheses expl (2)'!G159))</f>
        <v>0</v>
      </c>
      <c r="I110" s="390">
        <f>IF('Hypotheses expl (2)'!$P$159="0j",'Hypotheses expl (2)'!J159,IF('Hypotheses expl (2)'!$P$159="30j",'Hypotheses expl (2)'!I159,'Hypotheses expl (2)'!H159))</f>
        <v>0</v>
      </c>
      <c r="J110" s="390">
        <f>IF('Hypotheses expl (2)'!$P$159="0j",'Hypotheses expl (2)'!K159,IF('Hypotheses expl (2)'!$P$159="30j",'Hypotheses expl (2)'!J159,'Hypotheses expl (2)'!I159))</f>
        <v>0</v>
      </c>
      <c r="K110" s="390">
        <f>IF('Hypotheses expl (2)'!$P$159="0j",'Hypotheses expl (2)'!L159,IF('Hypotheses expl (2)'!$P$159="30j",'Hypotheses expl (2)'!K159,'Hypotheses expl (2)'!J159))</f>
        <v>0</v>
      </c>
      <c r="L110" s="390">
        <f>IF('Hypotheses expl (2)'!$P$159="0j",'Hypotheses expl (2)'!M159,IF('Hypotheses expl (2)'!$P$159="30j",'Hypotheses expl (2)'!L159,'Hypotheses expl (2)'!K159))</f>
        <v>0</v>
      </c>
      <c r="M110" s="390">
        <f>IF('Hypotheses expl (2)'!$P$159="0j",'Hypotheses expl (2)'!N159,IF('Hypotheses expl (2)'!$P$159="30j",'Hypotheses expl (2)'!M159,'Hypotheses expl (2)'!L159))</f>
        <v>0</v>
      </c>
      <c r="N110" s="410">
        <f>SUM(B110:M110)/12</f>
        <v>5833.333333333333</v>
      </c>
    </row>
    <row r="111" outlineLevel="1">
      <c r="A111" s="393" t="str">
        <f>'Compte résultat prévi'!A122</f>
        <v xml:space="preserve">Autres charges exceptionnelles</v>
      </c>
      <c r="B111" s="390">
        <v>58699</v>
      </c>
      <c r="C111" s="390">
        <v>19554</v>
      </c>
      <c r="D111" s="390">
        <v>19554</v>
      </c>
      <c r="E111" s="390">
        <v>19554</v>
      </c>
      <c r="F111" s="390">
        <v>19554</v>
      </c>
      <c r="G111" s="390">
        <v>19554</v>
      </c>
      <c r="H111" s="390">
        <v>19554</v>
      </c>
      <c r="I111" s="390"/>
      <c r="J111" s="390">
        <v>0</v>
      </c>
      <c r="K111" s="390">
        <v>0</v>
      </c>
      <c r="L111" s="390"/>
      <c r="M111" s="390">
        <f>IF('Hypotheses expl (2)'!$P$160="0j",'Hypotheses expl (2)'!N160,IF('Hypotheses expl (2)'!$P$160="30j",'Hypotheses expl (2)'!M160,'Hypotheses expl (2)'!L160))</f>
        <v>0</v>
      </c>
      <c r="N111" s="410">
        <f>SUM(B111:M111)/12</f>
        <v>14668.583333333334</v>
      </c>
    </row>
    <row r="112" s="36" customFormat="1">
      <c r="B112" s="375"/>
      <c r="C112" s="375"/>
      <c r="D112" s="375"/>
      <c r="E112" s="375"/>
      <c r="F112" s="375"/>
      <c r="G112" s="375"/>
      <c r="H112" s="375"/>
      <c r="I112" s="381"/>
      <c r="J112" s="381"/>
      <c r="K112" s="381"/>
      <c r="L112" s="381"/>
      <c r="M112" s="381"/>
      <c r="N112" s="410"/>
    </row>
    <row r="113" s="383" customFormat="1">
      <c r="A113" s="384" t="s">
        <v>367</v>
      </c>
      <c r="B113" s="385">
        <f>SUM(B114:B117)</f>
        <v>0</v>
      </c>
      <c r="C113" s="385">
        <f t="shared" ref="C113:H113" si="348">SUM(C114:C117)</f>
        <v>0</v>
      </c>
      <c r="D113" s="385">
        <f t="shared" si="348"/>
        <v>0</v>
      </c>
      <c r="E113" s="385">
        <f t="shared" si="348"/>
        <v>0</v>
      </c>
      <c r="F113" s="385">
        <f t="shared" si="348"/>
        <v>0</v>
      </c>
      <c r="G113" s="385">
        <f t="shared" si="348"/>
        <v>0</v>
      </c>
      <c r="H113" s="385">
        <f t="shared" si="348"/>
        <v>0</v>
      </c>
      <c r="I113" s="385">
        <f>SUM(I114:I117)</f>
        <v>0</v>
      </c>
      <c r="J113" s="385">
        <f t="shared" ref="J113:M113" si="349">SUM(J114:J117)</f>
        <v>0</v>
      </c>
      <c r="K113" s="385">
        <f t="shared" si="349"/>
        <v>0</v>
      </c>
      <c r="L113" s="385">
        <f t="shared" si="349"/>
        <v>0</v>
      </c>
      <c r="M113" s="385">
        <f t="shared" si="349"/>
        <v>0</v>
      </c>
      <c r="N113" s="410"/>
      <c r="O113" s="36"/>
      <c r="P113" s="36"/>
      <c r="Q113" s="36"/>
      <c r="R113" s="36"/>
      <c r="S113" s="36"/>
      <c r="T113" s="36"/>
      <c r="U113" s="36"/>
      <c r="V113" s="36"/>
      <c r="W113" s="36"/>
      <c r="X113" s="36"/>
      <c r="Y113" s="36"/>
      <c r="Z113" s="36"/>
      <c r="AA113" s="36"/>
      <c r="AB113" s="36"/>
      <c r="AC113" s="36"/>
      <c r="AD113" s="36"/>
      <c r="AE113" s="36"/>
      <c r="AF113" s="36"/>
      <c r="AG113" s="36"/>
      <c r="AH113" s="36"/>
      <c r="AI113" s="36"/>
      <c r="AJ113" s="36"/>
      <c r="AK113" s="36"/>
      <c r="AL113" s="36"/>
    </row>
    <row r="114">
      <c r="A114" s="393" t="s">
        <v>302</v>
      </c>
      <c r="B114" s="394">
        <f>'Hypotheses hors expl (2)'!C10</f>
        <v>0</v>
      </c>
      <c r="C114" s="394">
        <f>'Hypotheses hors expl (2)'!D10</f>
        <v>0</v>
      </c>
      <c r="D114" s="394">
        <f>'Hypotheses hors expl (2)'!E10</f>
        <v>0</v>
      </c>
      <c r="E114" s="394">
        <f>'Hypotheses hors expl (2)'!F10</f>
        <v>0</v>
      </c>
      <c r="F114" s="394">
        <f>'Hypotheses hors expl (2)'!G10</f>
        <v>0</v>
      </c>
      <c r="G114" s="394">
        <f>'Hypotheses hors expl (2)'!H10</f>
        <v>0</v>
      </c>
      <c r="H114" s="394">
        <f>'Hypotheses hors expl (2)'!I10</f>
        <v>0</v>
      </c>
      <c r="I114" s="394">
        <f>'Hypotheses hors expl (2)'!J10</f>
        <v>0</v>
      </c>
      <c r="J114" s="394">
        <f>'Hypotheses hors expl (2)'!K10</f>
        <v>0</v>
      </c>
      <c r="K114" s="394">
        <f>'Hypotheses hors expl (2)'!L10</f>
        <v>0</v>
      </c>
      <c r="L114" s="394">
        <f>'Hypotheses hors expl (2)'!M10</f>
        <v>0</v>
      </c>
      <c r="M114" s="394">
        <f>'Hypotheses hors expl (2)'!N10</f>
        <v>0</v>
      </c>
    </row>
    <row r="115">
      <c r="A115" s="393" t="s">
        <v>303</v>
      </c>
      <c r="B115" s="394">
        <f>'Hypotheses hors expl (2)'!C11</f>
        <v>0</v>
      </c>
      <c r="C115" s="394">
        <f>'Hypotheses hors expl (2)'!D11</f>
        <v>0</v>
      </c>
      <c r="D115" s="394">
        <f>'Hypotheses hors expl (2)'!E11</f>
        <v>0</v>
      </c>
      <c r="E115" s="394">
        <f>'Hypotheses hors expl (2)'!F11</f>
        <v>0</v>
      </c>
      <c r="F115" s="394">
        <f>'Hypotheses hors expl (2)'!G11</f>
        <v>0</v>
      </c>
      <c r="G115" s="394">
        <f>'Hypotheses hors expl (2)'!H11</f>
        <v>0</v>
      </c>
      <c r="H115" s="394">
        <f>'Hypotheses hors expl (2)'!I11</f>
        <v>0</v>
      </c>
      <c r="I115" s="394">
        <f>'Hypotheses hors expl (2)'!J11</f>
        <v>0</v>
      </c>
      <c r="J115" s="394">
        <f>'Hypotheses hors expl (2)'!K11</f>
        <v>0</v>
      </c>
      <c r="K115" s="394">
        <f>'Hypotheses hors expl (2)'!L11</f>
        <v>0</v>
      </c>
      <c r="L115" s="394">
        <f>'Hypotheses hors expl (2)'!M11</f>
        <v>0</v>
      </c>
      <c r="M115" s="394">
        <f>'Hypotheses hors expl (2)'!N11</f>
        <v>0</v>
      </c>
    </row>
    <row r="116">
      <c r="A116" s="393" t="s">
        <v>304</v>
      </c>
      <c r="B116" s="394">
        <f>'Hypotheses hors expl (2)'!C12</f>
        <v>0</v>
      </c>
      <c r="C116" s="394">
        <f>'Hypotheses hors expl (2)'!D12</f>
        <v>0</v>
      </c>
      <c r="D116" s="394">
        <f>'Hypotheses hors expl (2)'!E12</f>
        <v>0</v>
      </c>
      <c r="E116" s="394">
        <f>'Hypotheses hors expl (2)'!F12</f>
        <v>0</v>
      </c>
      <c r="F116" s="394">
        <f>'Hypotheses hors expl (2)'!G12</f>
        <v>0</v>
      </c>
      <c r="G116" s="394">
        <f>'Hypotheses hors expl (2)'!H12</f>
        <v>0</v>
      </c>
      <c r="H116" s="394">
        <f>'Hypotheses hors expl (2)'!I12</f>
        <v>0</v>
      </c>
      <c r="I116" s="394">
        <f>'Hypotheses hors expl (2)'!J12</f>
        <v>0</v>
      </c>
      <c r="J116" s="394">
        <f>'Hypotheses hors expl (2)'!K12</f>
        <v>0</v>
      </c>
      <c r="K116" s="394">
        <f>'Hypotheses hors expl (2)'!L12</f>
        <v>0</v>
      </c>
      <c r="L116" s="394">
        <f>'Hypotheses hors expl (2)'!M12</f>
        <v>0</v>
      </c>
      <c r="M116" s="394">
        <f>'Hypotheses hors expl (2)'!N12</f>
        <v>0</v>
      </c>
    </row>
    <row r="117">
      <c r="A117" s="393" t="s">
        <v>300</v>
      </c>
      <c r="B117" s="394">
        <f>'Hypotheses hors expl (2)'!C13</f>
        <v>0</v>
      </c>
      <c r="C117" s="394">
        <f>'Hypotheses hors expl (2)'!D13</f>
        <v>0</v>
      </c>
      <c r="D117" s="394">
        <f>'Hypotheses hors expl (2)'!E13</f>
        <v>0</v>
      </c>
      <c r="E117" s="394">
        <f>'Hypotheses hors expl (2)'!F13</f>
        <v>0</v>
      </c>
      <c r="F117" s="394">
        <f>'Hypotheses hors expl (2)'!G13</f>
        <v>0</v>
      </c>
      <c r="G117" s="394">
        <f>'Hypotheses hors expl (2)'!H13</f>
        <v>0</v>
      </c>
      <c r="H117" s="394">
        <f>'Hypotheses hors expl (2)'!I13</f>
        <v>0</v>
      </c>
      <c r="I117" s="394">
        <f>'Hypotheses hors expl (2)'!J13</f>
        <v>0</v>
      </c>
      <c r="J117" s="394">
        <f>'Hypotheses hors expl (2)'!K13</f>
        <v>0</v>
      </c>
      <c r="K117" s="394">
        <f>'Hypotheses hors expl (2)'!L13</f>
        <v>0</v>
      </c>
      <c r="L117" s="394">
        <f>'Hypotheses hors expl (2)'!M13</f>
        <v>0</v>
      </c>
      <c r="M117" s="394">
        <f>'Hypotheses hors expl (2)'!N13</f>
        <v>0</v>
      </c>
    </row>
    <row r="118" s="36" customFormat="1">
      <c r="B118" s="375"/>
      <c r="C118" s="375"/>
      <c r="D118" s="375"/>
      <c r="E118" s="375"/>
      <c r="F118" s="375"/>
      <c r="G118" s="375"/>
      <c r="H118" s="375"/>
      <c r="I118" s="381"/>
      <c r="J118" s="381"/>
      <c r="K118" s="381"/>
      <c r="L118" s="381"/>
      <c r="M118" s="381"/>
      <c r="N118" s="410"/>
    </row>
    <row r="119" s="383" customFormat="1">
      <c r="A119" s="384" t="s">
        <v>368</v>
      </c>
      <c r="B119" s="364"/>
      <c r="C119" s="364"/>
      <c r="D119" s="364"/>
      <c r="E119" s="364"/>
      <c r="F119" s="364"/>
      <c r="G119" s="364"/>
      <c r="H119" s="364"/>
      <c r="I119" s="364"/>
      <c r="J119" s="364"/>
      <c r="K119" s="364"/>
      <c r="L119" s="364"/>
      <c r="M119" s="364"/>
      <c r="N119" s="410"/>
      <c r="O119" s="36"/>
      <c r="P119" s="36"/>
      <c r="Q119" s="36"/>
      <c r="R119" s="36"/>
      <c r="S119" s="36"/>
      <c r="T119" s="36"/>
      <c r="U119" s="36"/>
      <c r="V119" s="36"/>
      <c r="W119" s="36"/>
      <c r="X119" s="36"/>
      <c r="Y119" s="36"/>
      <c r="Z119" s="36"/>
      <c r="AA119" s="36"/>
      <c r="AB119" s="36"/>
      <c r="AC119" s="36"/>
      <c r="AD119" s="36"/>
      <c r="AE119" s="36"/>
      <c r="AF119" s="36"/>
      <c r="AG119" s="36"/>
      <c r="AH119" s="36"/>
      <c r="AI119" s="36"/>
      <c r="AJ119" s="36"/>
      <c r="AK119" s="36"/>
      <c r="AL119" s="36"/>
    </row>
    <row r="120" s="383" customFormat="1">
      <c r="A120" s="384" t="s">
        <v>369</v>
      </c>
      <c r="B120" s="364"/>
      <c r="C120" s="364"/>
      <c r="D120" s="364"/>
      <c r="E120" s="364"/>
      <c r="F120" s="364"/>
      <c r="G120" s="364"/>
      <c r="H120" s="364"/>
      <c r="I120" s="364"/>
      <c r="J120" s="364"/>
      <c r="K120" s="364"/>
      <c r="L120" s="364"/>
      <c r="M120" s="364"/>
      <c r="N120" s="410"/>
      <c r="O120" s="36"/>
      <c r="P120" s="36"/>
      <c r="Q120" s="36"/>
      <c r="R120" s="36"/>
      <c r="S120" s="36"/>
      <c r="T120" s="36"/>
      <c r="U120" s="36"/>
      <c r="V120" s="36"/>
      <c r="W120" s="36"/>
      <c r="X120" s="36"/>
      <c r="Y120" s="36"/>
      <c r="Z120" s="36"/>
      <c r="AA120" s="36"/>
      <c r="AB120" s="36"/>
      <c r="AC120" s="36"/>
      <c r="AD120" s="36"/>
      <c r="AE120" s="36"/>
      <c r="AF120" s="36"/>
      <c r="AG120" s="36"/>
      <c r="AH120" s="36"/>
      <c r="AI120" s="36"/>
      <c r="AJ120" s="36"/>
      <c r="AK120" s="36"/>
      <c r="AL120" s="36"/>
    </row>
    <row r="121" s="36" customFormat="1" ht="15">
      <c r="B121" s="375"/>
      <c r="C121" s="375"/>
      <c r="D121" s="375"/>
      <c r="E121" s="375"/>
      <c r="F121" s="375"/>
      <c r="G121" s="375"/>
      <c r="H121" s="375"/>
      <c r="I121" s="381"/>
      <c r="J121" s="381"/>
      <c r="K121" s="381"/>
      <c r="L121" s="381"/>
      <c r="M121" s="381"/>
      <c r="N121" s="410"/>
    </row>
    <row r="122" ht="15">
      <c r="A122" s="405" t="s">
        <v>370</v>
      </c>
      <c r="B122" s="406">
        <f>+B6+B42-B47-B113+B119-B120</f>
        <v>373482.28600000002</v>
      </c>
      <c r="C122" s="406">
        <f>C4+C6+C42-C47-C113+C119-C120</f>
        <v>-24839.413651926559</v>
      </c>
      <c r="D122" s="406">
        <f>D4+D6+D42-D47-D113+D119-D120</f>
        <v>-166113.4628775435</v>
      </c>
      <c r="E122" s="406">
        <f>E4+E6+E42-E47-E113+E119-E120</f>
        <v>22841.77448083958</v>
      </c>
      <c r="F122" s="406">
        <f>F4+F6+F42-F47-F113+F119-F120</f>
        <v>606307.1021612226</v>
      </c>
      <c r="G122" s="406">
        <f t="shared" ref="G122:M122" si="350">G4+G6+G42-G47-G113+G119-G120</f>
        <v>89176.195225605625</v>
      </c>
      <c r="H122" s="406">
        <f t="shared" si="350"/>
        <v>143044.29179598868</v>
      </c>
      <c r="I122" s="406">
        <f t="shared" si="350"/>
        <v>48932.737893646117</v>
      </c>
      <c r="J122" s="406">
        <f t="shared" si="350"/>
        <v>31841.738231303549</v>
      </c>
      <c r="K122" s="406">
        <f t="shared" si="350"/>
        <v>40564.382686696888</v>
      </c>
      <c r="L122" s="406">
        <f t="shared" si="350"/>
        <v>-1085.4302059097681</v>
      </c>
      <c r="M122" s="406">
        <f t="shared" si="350"/>
        <v>123852.59510148357</v>
      </c>
    </row>
    <row r="123" s="36" customFormat="1">
      <c r="B123" s="375"/>
      <c r="C123" s="375"/>
      <c r="D123" s="375"/>
      <c r="E123" s="375"/>
      <c r="F123" s="375"/>
      <c r="G123" s="375"/>
      <c r="H123" s="375"/>
      <c r="I123" s="381"/>
      <c r="J123" s="381"/>
      <c r="K123" s="381"/>
      <c r="L123" s="381"/>
      <c r="M123" s="381"/>
      <c r="N123" s="410"/>
    </row>
    <row r="124" s="36" customFormat="1" ht="15">
      <c r="B124" s="375"/>
      <c r="C124" s="375"/>
      <c r="D124" s="375"/>
      <c r="E124" s="375"/>
      <c r="F124" s="375"/>
      <c r="G124" s="375"/>
      <c r="H124" s="375"/>
      <c r="I124" s="381"/>
      <c r="J124" s="381"/>
      <c r="K124" s="381"/>
      <c r="L124" s="381"/>
      <c r="M124" s="381"/>
      <c r="N124" s="410"/>
    </row>
    <row r="125" ht="15">
      <c r="A125" s="405" t="s">
        <v>391</v>
      </c>
      <c r="B125" s="406">
        <v>0</v>
      </c>
      <c r="C125" s="406">
        <v>0</v>
      </c>
      <c r="D125" s="406">
        <v>300000</v>
      </c>
      <c r="E125" s="406"/>
      <c r="F125" s="406">
        <v>0</v>
      </c>
      <c r="G125" s="406">
        <v>0</v>
      </c>
      <c r="H125" s="406">
        <v>0</v>
      </c>
      <c r="I125" s="406">
        <v>0</v>
      </c>
      <c r="J125" s="406">
        <v>0</v>
      </c>
      <c r="K125" s="406">
        <v>0</v>
      </c>
      <c r="L125" s="406"/>
      <c r="M125" s="406"/>
    </row>
    <row r="126" s="36" customFormat="1" ht="15">
      <c r="A126" s="405" t="s">
        <v>391</v>
      </c>
      <c r="B126" s="406">
        <v>-242000</v>
      </c>
      <c r="C126" s="406"/>
      <c r="D126" s="406"/>
      <c r="E126" s="406"/>
      <c r="F126" s="406">
        <v>-300000</v>
      </c>
      <c r="G126" s="406"/>
      <c r="H126" s="406"/>
      <c r="I126" s="406"/>
      <c r="J126" s="406"/>
      <c r="K126" s="406">
        <v>0</v>
      </c>
      <c r="L126" s="406"/>
      <c r="M126" s="406"/>
      <c r="N126" s="410"/>
      <c r="O126" s="375"/>
      <c r="P126" s="375"/>
      <c r="Q126" s="375"/>
      <c r="R126" s="375"/>
      <c r="S126" s="375"/>
      <c r="T126" s="375"/>
      <c r="U126" s="375"/>
      <c r="V126" s="381"/>
      <c r="W126" s="381"/>
      <c r="X126" s="381"/>
      <c r="Y126" s="381"/>
      <c r="Z126" s="381"/>
    </row>
    <row r="127" s="36" customFormat="1" ht="15">
      <c r="B127" s="375"/>
      <c r="C127" s="375"/>
      <c r="D127" s="375"/>
      <c r="E127" s="375"/>
      <c r="F127" s="375"/>
      <c r="G127" s="375"/>
      <c r="H127" s="375"/>
      <c r="I127" s="381"/>
      <c r="J127" s="381"/>
      <c r="K127" s="381"/>
      <c r="L127" s="381"/>
      <c r="M127" s="381"/>
      <c r="N127" s="410"/>
      <c r="O127" s="375"/>
      <c r="P127" s="375"/>
      <c r="Q127" s="375"/>
      <c r="R127" s="375"/>
      <c r="S127" s="375"/>
      <c r="T127" s="375"/>
      <c r="U127" s="375"/>
      <c r="V127" s="381"/>
      <c r="W127" s="381"/>
      <c r="X127" s="381"/>
      <c r="Y127" s="381"/>
      <c r="Z127" s="381"/>
    </row>
    <row r="128" ht="15">
      <c r="A128" s="379" t="s">
        <v>371</v>
      </c>
      <c r="B128" s="407">
        <f>B122+B126</f>
        <v>131482.28600000002</v>
      </c>
      <c r="C128" s="407">
        <f t="shared" ref="C128:M128" si="351">C122-C125</f>
        <v>-24839.413651926559</v>
      </c>
      <c r="D128" s="407">
        <f>D122+D125</f>
        <v>133886.5371224565</v>
      </c>
      <c r="E128" s="407">
        <f t="shared" si="351"/>
        <v>22841.77448083958</v>
      </c>
      <c r="F128" s="407">
        <f>F122+F126</f>
        <v>306307.1021612226</v>
      </c>
      <c r="G128" s="407">
        <f t="shared" si="351"/>
        <v>89176.195225605625</v>
      </c>
      <c r="H128" s="407">
        <f t="shared" si="351"/>
        <v>143044.29179598868</v>
      </c>
      <c r="I128" s="407">
        <f t="shared" si="351"/>
        <v>48932.737893646117</v>
      </c>
      <c r="J128" s="407">
        <f t="shared" si="351"/>
        <v>31841.738231303549</v>
      </c>
      <c r="K128" s="407">
        <f t="shared" si="351"/>
        <v>40564.382686696888</v>
      </c>
      <c r="L128" s="407">
        <f t="shared" si="351"/>
        <v>-1085.4302059097681</v>
      </c>
      <c r="M128" s="407">
        <f t="shared" si="351"/>
        <v>123852.59510148357</v>
      </c>
    </row>
    <row r="129" s="36" customFormat="1">
      <c r="B129" s="375"/>
      <c r="C129" s="375"/>
      <c r="D129" s="375"/>
      <c r="E129" s="375"/>
      <c r="F129" s="375"/>
      <c r="G129" s="375"/>
      <c r="H129" s="375"/>
      <c r="I129" s="381"/>
      <c r="J129" s="381"/>
      <c r="K129" s="381"/>
      <c r="L129" s="381"/>
      <c r="M129" s="381"/>
      <c r="N129" s="410"/>
    </row>
    <row r="130" s="36" customFormat="1">
      <c r="B130" s="375"/>
      <c r="C130" s="375"/>
      <c r="D130" s="375"/>
      <c r="E130" s="375"/>
      <c r="F130" s="375"/>
      <c r="G130" s="375"/>
      <c r="H130" s="375"/>
      <c r="I130" s="381"/>
      <c r="J130" s="381"/>
      <c r="K130" s="381"/>
      <c r="L130" s="381"/>
      <c r="M130" s="413" t="s">
        <v>406</v>
      </c>
      <c r="N130" s="410">
        <f>SUM(N7:N40)</f>
        <v>243482.88750000001</v>
      </c>
    </row>
    <row r="131" s="36" customFormat="1">
      <c r="B131" s="375"/>
      <c r="C131" s="375"/>
      <c r="D131" s="375"/>
      <c r="E131" s="375"/>
      <c r="F131" s="375"/>
      <c r="G131" s="375"/>
      <c r="H131" s="375"/>
      <c r="I131" s="375"/>
      <c r="J131" s="375"/>
      <c r="K131" s="375"/>
      <c r="L131" s="375"/>
      <c r="M131" s="414" t="s">
        <v>407</v>
      </c>
      <c r="N131" s="410">
        <f>SUM(N49:N111)</f>
        <v>241276.00185615974</v>
      </c>
    </row>
    <row r="132" s="36" customFormat="1">
      <c r="B132" s="375"/>
      <c r="C132" s="409"/>
      <c r="D132" s="375"/>
      <c r="E132" s="375"/>
      <c r="F132" s="375"/>
      <c r="G132" s="375"/>
      <c r="H132" s="375"/>
      <c r="I132" s="375"/>
      <c r="J132" s="375"/>
      <c r="K132" s="375"/>
      <c r="L132" s="375"/>
      <c r="M132" s="414" t="s">
        <v>408</v>
      </c>
      <c r="N132" s="410">
        <f>N130-N131</f>
        <v>2206.8856438402727</v>
      </c>
    </row>
    <row r="133" s="36" customFormat="1">
      <c r="B133" s="375"/>
      <c r="C133" s="375"/>
      <c r="D133" s="375"/>
      <c r="E133" s="375"/>
      <c r="F133" s="375"/>
      <c r="G133" s="375"/>
      <c r="H133" s="375"/>
      <c r="I133" s="375"/>
      <c r="J133" s="375"/>
      <c r="K133" s="375"/>
      <c r="L133" s="375"/>
      <c r="M133" s="375"/>
      <c r="N133" s="410"/>
    </row>
    <row r="134" s="36" customFormat="1">
      <c r="B134" s="375"/>
      <c r="C134" s="375"/>
      <c r="D134" s="375"/>
      <c r="E134" s="375"/>
      <c r="F134" s="375"/>
      <c r="G134" s="375"/>
      <c r="H134" s="375"/>
      <c r="I134" s="375"/>
      <c r="J134" s="375"/>
      <c r="K134" s="375"/>
      <c r="L134" s="375"/>
      <c r="M134" s="375"/>
      <c r="N134" s="410"/>
    </row>
    <row r="135" s="36" customFormat="1">
      <c r="B135" s="375"/>
      <c r="C135" s="375"/>
      <c r="D135" s="375"/>
      <c r="E135" s="375"/>
      <c r="F135" s="375"/>
      <c r="G135" s="375"/>
      <c r="H135" s="375"/>
      <c r="I135" s="375"/>
      <c r="J135" s="375"/>
      <c r="K135" s="375"/>
      <c r="L135" s="375"/>
      <c r="M135" s="375"/>
      <c r="N135" s="410"/>
    </row>
    <row r="136" s="36" customFormat="1">
      <c r="B136" s="375"/>
      <c r="C136" s="375"/>
      <c r="D136" s="375"/>
      <c r="E136" s="375"/>
      <c r="F136" s="375"/>
      <c r="G136" s="375"/>
      <c r="H136" s="375"/>
      <c r="I136" s="375"/>
      <c r="J136" s="375"/>
      <c r="K136" s="375"/>
      <c r="L136" s="375"/>
      <c r="M136" s="375"/>
      <c r="N136" s="410"/>
    </row>
    <row r="137" s="36" customFormat="1">
      <c r="B137" s="375"/>
      <c r="C137" s="375"/>
      <c r="D137" s="375"/>
      <c r="E137" s="375"/>
      <c r="F137" s="375"/>
      <c r="G137" s="375"/>
      <c r="H137" s="375"/>
      <c r="I137" s="375"/>
      <c r="J137" s="375"/>
      <c r="K137" s="375"/>
      <c r="L137" s="375"/>
      <c r="M137" s="375"/>
      <c r="N137" s="410"/>
    </row>
    <row r="138" s="36" customFormat="1">
      <c r="B138" s="375"/>
      <c r="C138" s="375"/>
      <c r="D138" s="375"/>
      <c r="E138" s="375"/>
      <c r="F138" s="375"/>
      <c r="G138" s="375"/>
      <c r="H138" s="375"/>
      <c r="I138" s="375"/>
      <c r="J138" s="375"/>
      <c r="K138" s="375"/>
      <c r="L138" s="375"/>
      <c r="M138" s="375"/>
      <c r="N138" s="410"/>
    </row>
    <row r="139" s="36" customFormat="1">
      <c r="B139" s="375"/>
      <c r="C139" s="375"/>
      <c r="D139" s="375"/>
      <c r="E139" s="375"/>
      <c r="F139" s="375"/>
      <c r="G139" s="375"/>
      <c r="H139" s="375"/>
      <c r="I139" s="375"/>
      <c r="J139" s="375"/>
      <c r="K139" s="375"/>
      <c r="L139" s="375"/>
      <c r="M139" s="375"/>
      <c r="N139" s="410"/>
    </row>
    <row r="140" s="36" customFormat="1">
      <c r="B140" s="375"/>
      <c r="C140" s="375"/>
      <c r="D140" s="375"/>
      <c r="E140" s="375"/>
      <c r="F140" s="375"/>
      <c r="G140" s="375"/>
      <c r="H140" s="375"/>
      <c r="I140" s="375"/>
      <c r="J140" s="375"/>
      <c r="K140" s="375"/>
      <c r="L140" s="375"/>
      <c r="M140" s="375"/>
      <c r="N140" s="410"/>
    </row>
    <row r="141" s="36" customFormat="1">
      <c r="B141" s="375"/>
      <c r="C141" s="375"/>
      <c r="D141" s="375"/>
      <c r="E141" s="375"/>
      <c r="F141" s="375"/>
      <c r="G141" s="375"/>
      <c r="H141" s="375"/>
      <c r="I141" s="375"/>
      <c r="J141" s="375"/>
      <c r="K141" s="375"/>
      <c r="L141" s="375"/>
      <c r="M141" s="375"/>
      <c r="N141" s="410"/>
    </row>
    <row r="142" s="36" customFormat="1">
      <c r="B142" s="375"/>
      <c r="C142" s="375"/>
      <c r="D142" s="375"/>
      <c r="E142" s="375"/>
      <c r="F142" s="375"/>
      <c r="G142" s="375"/>
      <c r="H142" s="375"/>
      <c r="I142" s="375"/>
      <c r="J142" s="375"/>
      <c r="K142" s="375"/>
      <c r="L142" s="375"/>
      <c r="M142" s="375"/>
      <c r="N142" s="410"/>
    </row>
    <row r="143" s="36" customFormat="1">
      <c r="B143" s="375"/>
      <c r="C143" s="375"/>
      <c r="D143" s="375"/>
      <c r="E143" s="375"/>
      <c r="F143" s="375"/>
      <c r="G143" s="375"/>
      <c r="H143" s="375"/>
      <c r="I143" s="375"/>
      <c r="J143" s="375"/>
      <c r="K143" s="375"/>
      <c r="L143" s="375"/>
      <c r="M143" s="375"/>
      <c r="N143" s="410"/>
    </row>
    <row r="144" s="36" customFormat="1">
      <c r="B144" s="375"/>
      <c r="C144" s="375"/>
      <c r="D144" s="375"/>
      <c r="E144" s="375"/>
      <c r="F144" s="375"/>
      <c r="G144" s="375"/>
      <c r="H144" s="375"/>
      <c r="I144" s="375"/>
      <c r="J144" s="375"/>
      <c r="K144" s="375"/>
      <c r="L144" s="375"/>
      <c r="M144" s="375"/>
      <c r="N144" s="410"/>
    </row>
    <row r="145" s="36" customFormat="1">
      <c r="B145" s="375"/>
      <c r="C145" s="375"/>
      <c r="D145" s="375"/>
      <c r="E145" s="375"/>
      <c r="F145" s="375"/>
      <c r="G145" s="375"/>
      <c r="H145" s="375"/>
      <c r="I145" s="375"/>
      <c r="J145" s="375"/>
      <c r="K145" s="375"/>
      <c r="L145" s="375"/>
      <c r="M145" s="375"/>
      <c r="N145" s="410"/>
    </row>
    <row r="146" s="36" customFormat="1">
      <c r="B146" s="375"/>
      <c r="C146" s="375"/>
      <c r="D146" s="375"/>
      <c r="E146" s="375"/>
      <c r="F146" s="375"/>
      <c r="G146" s="375"/>
      <c r="H146" s="375"/>
      <c r="I146" s="375"/>
      <c r="J146" s="375"/>
      <c r="K146" s="375"/>
      <c r="L146" s="375"/>
      <c r="M146" s="375"/>
      <c r="N146" s="410"/>
    </row>
    <row r="147" s="36" customFormat="1">
      <c r="B147" s="375"/>
      <c r="C147" s="375"/>
      <c r="D147" s="375"/>
      <c r="E147" s="375"/>
      <c r="F147" s="375"/>
      <c r="G147" s="375"/>
      <c r="H147" s="375"/>
      <c r="I147" s="375"/>
      <c r="J147" s="375"/>
      <c r="K147" s="375"/>
      <c r="L147" s="375"/>
      <c r="M147" s="375"/>
      <c r="N147" s="410"/>
    </row>
    <row r="148" s="36" customFormat="1">
      <c r="B148" s="375"/>
      <c r="C148" s="375"/>
      <c r="D148" s="375"/>
      <c r="E148" s="375"/>
      <c r="F148" s="375"/>
      <c r="G148" s="375"/>
      <c r="H148" s="375"/>
      <c r="I148" s="375"/>
      <c r="J148" s="375"/>
      <c r="K148" s="375"/>
      <c r="L148" s="375"/>
      <c r="M148" s="375"/>
      <c r="N148" s="410"/>
    </row>
    <row r="149" s="36" customFormat="1">
      <c r="B149" s="375"/>
      <c r="C149" s="375"/>
      <c r="D149" s="375"/>
      <c r="E149" s="375"/>
      <c r="F149" s="375"/>
      <c r="G149" s="375"/>
      <c r="H149" s="375"/>
      <c r="I149" s="375"/>
      <c r="J149" s="375"/>
      <c r="K149" s="375"/>
      <c r="L149" s="375"/>
      <c r="M149" s="375"/>
      <c r="N149" s="410"/>
    </row>
    <row r="150" s="36" customFormat="1">
      <c r="B150" s="375"/>
      <c r="C150" s="375"/>
      <c r="D150" s="375"/>
      <c r="E150" s="375"/>
      <c r="F150" s="375"/>
      <c r="G150" s="375"/>
      <c r="H150" s="375"/>
      <c r="I150" s="375"/>
      <c r="J150" s="375"/>
      <c r="K150" s="375"/>
      <c r="L150" s="375"/>
      <c r="M150" s="375"/>
      <c r="N150" s="410"/>
    </row>
    <row r="151" s="36" customFormat="1">
      <c r="B151" s="375"/>
      <c r="C151" s="375"/>
      <c r="D151" s="375"/>
      <c r="E151" s="375"/>
      <c r="F151" s="375"/>
      <c r="G151" s="375"/>
      <c r="H151" s="375"/>
      <c r="I151" s="375"/>
      <c r="J151" s="375"/>
      <c r="K151" s="375"/>
      <c r="L151" s="375"/>
      <c r="M151" s="375"/>
      <c r="N151" s="410"/>
    </row>
    <row r="152" s="36" customFormat="1">
      <c r="B152" s="375"/>
      <c r="C152" s="375"/>
      <c r="D152" s="375"/>
      <c r="E152" s="375"/>
      <c r="F152" s="375"/>
      <c r="G152" s="375"/>
      <c r="H152" s="375"/>
      <c r="I152" s="375"/>
      <c r="J152" s="375"/>
      <c r="K152" s="375"/>
      <c r="L152" s="375"/>
      <c r="M152" s="375"/>
      <c r="N152" s="410"/>
    </row>
    <row r="153" s="36" customFormat="1">
      <c r="B153" s="375"/>
      <c r="C153" s="375"/>
      <c r="D153" s="375"/>
      <c r="E153" s="375"/>
      <c r="F153" s="375"/>
      <c r="G153" s="375"/>
      <c r="H153" s="375"/>
      <c r="I153" s="375"/>
      <c r="J153" s="375"/>
      <c r="K153" s="375"/>
      <c r="L153" s="375"/>
      <c r="M153" s="375"/>
      <c r="N153" s="410"/>
    </row>
    <row r="154" s="36" customFormat="1">
      <c r="B154" s="375"/>
      <c r="C154" s="375"/>
      <c r="D154" s="375"/>
      <c r="E154" s="375"/>
      <c r="F154" s="375"/>
      <c r="G154" s="375"/>
      <c r="H154" s="375"/>
      <c r="I154" s="375"/>
      <c r="J154" s="375"/>
      <c r="K154" s="375"/>
      <c r="L154" s="375"/>
      <c r="M154" s="375"/>
      <c r="N154" s="410"/>
    </row>
    <row r="155" s="36" customFormat="1">
      <c r="B155" s="375"/>
      <c r="C155" s="375"/>
      <c r="D155" s="375"/>
      <c r="E155" s="375"/>
      <c r="F155" s="375"/>
      <c r="G155" s="375"/>
      <c r="H155" s="375"/>
      <c r="I155" s="375"/>
      <c r="J155" s="375"/>
      <c r="K155" s="375"/>
      <c r="L155" s="375"/>
      <c r="M155" s="375"/>
      <c r="N155" s="410"/>
    </row>
    <row r="156" s="36" customFormat="1">
      <c r="B156" s="375"/>
      <c r="C156" s="375"/>
      <c r="D156" s="375"/>
      <c r="E156" s="375"/>
      <c r="F156" s="375"/>
      <c r="G156" s="375"/>
      <c r="H156" s="375"/>
      <c r="I156" s="375"/>
      <c r="J156" s="375"/>
      <c r="K156" s="375"/>
      <c r="L156" s="375"/>
      <c r="M156" s="375"/>
      <c r="N156" s="410"/>
    </row>
    <row r="157" s="36" customFormat="1">
      <c r="B157" s="375"/>
      <c r="C157" s="375"/>
      <c r="D157" s="375"/>
      <c r="E157" s="375"/>
      <c r="F157" s="375"/>
      <c r="G157" s="375"/>
      <c r="H157" s="375"/>
      <c r="I157" s="375"/>
      <c r="J157" s="375"/>
      <c r="K157" s="375"/>
      <c r="L157" s="375"/>
      <c r="M157" s="375"/>
      <c r="N157" s="410"/>
    </row>
    <row r="158" s="36" customFormat="1">
      <c r="B158" s="375"/>
      <c r="C158" s="375"/>
      <c r="D158" s="375"/>
      <c r="E158" s="375"/>
      <c r="F158" s="375"/>
      <c r="G158" s="375"/>
      <c r="H158" s="375"/>
      <c r="I158" s="375"/>
      <c r="J158" s="375"/>
      <c r="K158" s="375"/>
      <c r="L158" s="375"/>
      <c r="M158" s="375"/>
      <c r="N158" s="410"/>
    </row>
    <row r="159" s="36" customFormat="1">
      <c r="B159" s="375"/>
      <c r="C159" s="375"/>
      <c r="D159" s="375"/>
      <c r="E159" s="375"/>
      <c r="F159" s="375"/>
      <c r="G159" s="375"/>
      <c r="H159" s="375"/>
      <c r="I159" s="375"/>
      <c r="J159" s="375"/>
      <c r="K159" s="375"/>
      <c r="L159" s="375"/>
      <c r="M159" s="375"/>
      <c r="N159" s="410"/>
    </row>
    <row r="160" s="36" customFormat="1">
      <c r="B160" s="375"/>
      <c r="C160" s="375"/>
      <c r="D160" s="375"/>
      <c r="E160" s="375"/>
      <c r="F160" s="375"/>
      <c r="G160" s="375"/>
      <c r="H160" s="375"/>
      <c r="I160" s="375"/>
      <c r="J160" s="375"/>
      <c r="K160" s="375"/>
      <c r="L160" s="375"/>
      <c r="M160" s="375"/>
      <c r="N160" s="410"/>
    </row>
    <row r="161" s="36" customFormat="1">
      <c r="B161" s="375"/>
      <c r="C161" s="375"/>
      <c r="D161" s="375"/>
      <c r="E161" s="375"/>
      <c r="F161" s="375"/>
      <c r="G161" s="375"/>
      <c r="H161" s="375"/>
      <c r="I161" s="375"/>
      <c r="J161" s="375"/>
      <c r="K161" s="375"/>
      <c r="L161" s="375"/>
      <c r="M161" s="375"/>
      <c r="N161" s="410"/>
    </row>
    <row r="162" s="36" customFormat="1">
      <c r="B162" s="375"/>
      <c r="C162" s="375"/>
      <c r="D162" s="375"/>
      <c r="E162" s="375"/>
      <c r="F162" s="375"/>
      <c r="G162" s="375"/>
      <c r="H162" s="375"/>
      <c r="I162" s="375"/>
      <c r="J162" s="375"/>
      <c r="K162" s="375"/>
      <c r="L162" s="375"/>
      <c r="M162" s="375"/>
      <c r="N162" s="410"/>
    </row>
    <row r="163" s="36" customFormat="1">
      <c r="B163" s="375"/>
      <c r="C163" s="375"/>
      <c r="D163" s="375"/>
      <c r="E163" s="375"/>
      <c r="F163" s="375"/>
      <c r="G163" s="375"/>
      <c r="H163" s="375"/>
      <c r="I163" s="375"/>
      <c r="J163" s="375"/>
      <c r="K163" s="375"/>
      <c r="L163" s="375"/>
      <c r="M163" s="375"/>
      <c r="N163" s="410"/>
    </row>
    <row r="164" s="36" customFormat="1">
      <c r="B164" s="375"/>
      <c r="C164" s="375"/>
      <c r="D164" s="375"/>
      <c r="E164" s="375"/>
      <c r="F164" s="375"/>
      <c r="G164" s="375"/>
      <c r="H164" s="375"/>
      <c r="I164" s="375"/>
      <c r="J164" s="375"/>
      <c r="K164" s="375"/>
      <c r="L164" s="375"/>
      <c r="M164" s="375"/>
      <c r="N164" s="410"/>
    </row>
    <row r="165" s="36" customFormat="1">
      <c r="B165" s="375"/>
      <c r="C165" s="375"/>
      <c r="D165" s="375"/>
      <c r="E165" s="375"/>
      <c r="F165" s="375"/>
      <c r="G165" s="375"/>
      <c r="H165" s="375"/>
      <c r="I165" s="375"/>
      <c r="J165" s="375"/>
      <c r="K165" s="375"/>
      <c r="L165" s="375"/>
      <c r="M165" s="375"/>
      <c r="N165" s="410"/>
    </row>
    <row r="166" s="36" customFormat="1">
      <c r="B166" s="375"/>
      <c r="C166" s="375"/>
      <c r="D166" s="375"/>
      <c r="E166" s="375"/>
      <c r="F166" s="375"/>
      <c r="G166" s="375"/>
      <c r="H166" s="375"/>
      <c r="I166" s="375"/>
      <c r="J166" s="375"/>
      <c r="K166" s="375"/>
      <c r="L166" s="375"/>
      <c r="M166" s="375"/>
      <c r="N166" s="410"/>
    </row>
    <row r="167" s="36" customFormat="1">
      <c r="B167" s="375"/>
      <c r="C167" s="375"/>
      <c r="D167" s="375"/>
      <c r="E167" s="375"/>
      <c r="F167" s="375"/>
      <c r="G167" s="375"/>
      <c r="H167" s="375"/>
      <c r="I167" s="375"/>
      <c r="J167" s="375"/>
      <c r="K167" s="375"/>
      <c r="L167" s="375"/>
      <c r="M167" s="375"/>
      <c r="N167" s="410"/>
    </row>
    <row r="168" s="36" customFormat="1">
      <c r="B168" s="375"/>
      <c r="C168" s="375"/>
      <c r="D168" s="375"/>
      <c r="E168" s="375"/>
      <c r="F168" s="375"/>
      <c r="G168" s="375"/>
      <c r="H168" s="375"/>
      <c r="I168" s="375"/>
      <c r="J168" s="375"/>
      <c r="K168" s="375"/>
      <c r="L168" s="375"/>
      <c r="M168" s="375"/>
      <c r="N168" s="410"/>
    </row>
    <row r="169" s="36" customFormat="1">
      <c r="B169" s="375"/>
      <c r="C169" s="375"/>
      <c r="D169" s="375"/>
      <c r="E169" s="375"/>
      <c r="F169" s="375"/>
      <c r="G169" s="375"/>
      <c r="H169" s="375"/>
      <c r="I169" s="375"/>
      <c r="J169" s="375"/>
      <c r="K169" s="375"/>
      <c r="L169" s="375"/>
      <c r="M169" s="375"/>
      <c r="N169" s="410"/>
    </row>
    <row r="170" s="36" customFormat="1">
      <c r="B170" s="375"/>
      <c r="C170" s="375"/>
      <c r="D170" s="375"/>
      <c r="E170" s="375"/>
      <c r="F170" s="375"/>
      <c r="G170" s="375"/>
      <c r="H170" s="375"/>
      <c r="I170" s="375"/>
      <c r="J170" s="375"/>
      <c r="K170" s="375"/>
      <c r="L170" s="375"/>
      <c r="M170" s="375"/>
      <c r="N170" s="410"/>
    </row>
    <row r="171" s="36" customFormat="1">
      <c r="B171" s="375"/>
      <c r="C171" s="375"/>
      <c r="D171" s="375"/>
      <c r="E171" s="375"/>
      <c r="F171" s="375"/>
      <c r="G171" s="375"/>
      <c r="H171" s="375"/>
      <c r="I171" s="375"/>
      <c r="J171" s="375"/>
      <c r="K171" s="375"/>
      <c r="L171" s="375"/>
      <c r="M171" s="375"/>
      <c r="N171" s="410"/>
    </row>
    <row r="172" s="36" customFormat="1">
      <c r="B172" s="375"/>
      <c r="C172" s="375"/>
      <c r="D172" s="375"/>
      <c r="E172" s="375"/>
      <c r="F172" s="375"/>
      <c r="G172" s="375"/>
      <c r="H172" s="375"/>
      <c r="I172" s="375"/>
      <c r="J172" s="375"/>
      <c r="K172" s="375"/>
      <c r="L172" s="375"/>
      <c r="M172" s="375"/>
      <c r="N172" s="410"/>
    </row>
    <row r="173" s="36" customFormat="1">
      <c r="B173" s="375"/>
      <c r="C173" s="375"/>
      <c r="D173" s="375"/>
      <c r="E173" s="375"/>
      <c r="F173" s="375"/>
      <c r="G173" s="375"/>
      <c r="H173" s="375"/>
      <c r="I173" s="375"/>
      <c r="J173" s="375"/>
      <c r="K173" s="375"/>
      <c r="L173" s="375"/>
      <c r="M173" s="375"/>
      <c r="N173" s="410"/>
    </row>
    <row r="174" s="36" customFormat="1">
      <c r="B174" s="375"/>
      <c r="C174" s="375"/>
      <c r="D174" s="375"/>
      <c r="E174" s="375"/>
      <c r="F174" s="375"/>
      <c r="G174" s="375"/>
      <c r="H174" s="375"/>
      <c r="I174" s="375"/>
      <c r="J174" s="375"/>
      <c r="K174" s="375"/>
      <c r="L174" s="375"/>
      <c r="M174" s="375"/>
      <c r="N174" s="410"/>
    </row>
    <row r="175" s="36" customFormat="1">
      <c r="B175" s="375"/>
      <c r="C175" s="375"/>
      <c r="D175" s="375"/>
      <c r="E175" s="375"/>
      <c r="F175" s="375"/>
      <c r="G175" s="375"/>
      <c r="H175" s="375"/>
      <c r="I175" s="375"/>
      <c r="J175" s="375"/>
      <c r="K175" s="375"/>
      <c r="L175" s="375"/>
      <c r="M175" s="375"/>
      <c r="N175" s="410"/>
    </row>
    <row r="176" s="36" customFormat="1">
      <c r="B176" s="375"/>
      <c r="C176" s="375"/>
      <c r="D176" s="375"/>
      <c r="E176" s="375"/>
      <c r="F176" s="375"/>
      <c r="G176" s="375"/>
      <c r="H176" s="375"/>
      <c r="I176" s="375"/>
      <c r="J176" s="375"/>
      <c r="K176" s="375"/>
      <c r="L176" s="375"/>
      <c r="M176" s="375"/>
      <c r="N176" s="410"/>
    </row>
    <row r="177" s="36" customFormat="1">
      <c r="B177" s="375"/>
      <c r="C177" s="375"/>
      <c r="D177" s="375"/>
      <c r="E177" s="375"/>
      <c r="F177" s="375"/>
      <c r="G177" s="375"/>
      <c r="H177" s="375"/>
      <c r="I177" s="375"/>
      <c r="J177" s="375"/>
      <c r="K177" s="375"/>
      <c r="L177" s="375"/>
      <c r="M177" s="375"/>
      <c r="N177" s="410"/>
    </row>
    <row r="178" s="36" customFormat="1">
      <c r="B178" s="375"/>
      <c r="C178" s="375"/>
      <c r="D178" s="375"/>
      <c r="E178" s="375"/>
      <c r="F178" s="375"/>
      <c r="G178" s="375"/>
      <c r="H178" s="375"/>
      <c r="I178" s="375"/>
      <c r="J178" s="375"/>
      <c r="K178" s="375"/>
      <c r="L178" s="375"/>
      <c r="M178" s="375"/>
      <c r="N178" s="410"/>
    </row>
  </sheetData>
  <printOptions headings="0" gridLines="0"/>
  <pageMargins left="0.23622047244094491" right="0.23622047244094491" top="0.74803149606299213" bottom="0.74803149606299213" header="0.31496062992125984" footer="0.31496062992125984"/>
  <pageSetup paperSize="9" scale="52" fitToWidth="1" fitToHeight="2" pageOrder="downThenOver" orientation="landscape" usePrinterDefaults="1" blackAndWhite="0" draft="0" cellComments="none" useFirstPageNumber="0" errors="displayed" horizontalDpi="300" verticalDpi="300" copies="1"/>
  <headerFooter/>
  <drawing r:id="rId1"/>
</worksheet>
</file>

<file path=xl/worksheets/sheet1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sheetPr codeName="Feuil20">
    <tabColor rgb="FF00B0F0"/>
    <outlinePr applyStyles="0" summaryBelow="1" summaryRight="1" showOutlineSymbols="1"/>
    <pageSetUpPr autoPageBreaks="1" fitToPage="1"/>
  </sheetPr>
  <sheetViews>
    <sheetView zoomScale="91" workbookViewId="0">
      <selection activeCell="F7" activeCellId="0" sqref="F7"/>
    </sheetView>
  </sheetViews>
  <sheetFormatPr baseColWidth="10" defaultColWidth="10.6640625" defaultRowHeight="14.4"/>
  <cols>
    <col bestFit="1" customWidth="1" min="1" max="1" style="144" width="68.33203125"/>
    <col bestFit="1" customWidth="1" min="2" max="2" style="144" width="12.44140625"/>
    <col bestFit="1" customWidth="1" min="3" max="3" style="144" width="11"/>
    <col bestFit="1" customWidth="1" min="4" max="4" style="144" width="11.5546875"/>
    <col min="5" max="16384" style="144" width="10.6640625"/>
  </cols>
  <sheetData>
    <row r="1" ht="21">
      <c r="A1" s="346" t="s">
        <v>409</v>
      </c>
    </row>
    <row r="2" ht="15"/>
    <row r="3" s="415" customFormat="1" ht="13.800000000000001">
      <c r="A3" s="416" t="s">
        <v>410</v>
      </c>
      <c r="B3" s="417">
        <f>'Compte résultat prévi'!C3</f>
        <v>45291</v>
      </c>
      <c r="C3" s="417">
        <f>DATE(YEAR(B3)+1,MONTH(B3),DAY(B3))</f>
        <v>45657</v>
      </c>
      <c r="D3" s="418">
        <f>DATE(YEAR(C3)+1,MONTH(C3),DAY(C3))</f>
        <v>46022</v>
      </c>
    </row>
    <row r="4" s="415" customFormat="1" ht="13.800000000000001">
      <c r="A4" s="419"/>
      <c r="B4" s="420"/>
      <c r="C4" s="420"/>
      <c r="D4" s="421"/>
    </row>
    <row r="5" s="415" customFormat="1" ht="13.800000000000001">
      <c r="A5" s="422" t="s">
        <v>411</v>
      </c>
      <c r="B5" s="423">
        <f t="shared" ref="B5:D5" si="352">SUM(B6:B8)</f>
        <v>0</v>
      </c>
      <c r="C5" s="423">
        <f t="shared" si="352"/>
        <v>0</v>
      </c>
      <c r="D5" s="423">
        <f t="shared" si="352"/>
        <v>0</v>
      </c>
    </row>
    <row r="6" s="424" customFormat="1" ht="13.800000000000001">
      <c r="A6" s="425" t="s">
        <v>412</v>
      </c>
      <c r="B6" s="426"/>
      <c r="C6" s="426"/>
      <c r="D6" s="426"/>
    </row>
    <row r="7" s="424" customFormat="1" ht="13.800000000000001">
      <c r="A7" s="425" t="s">
        <v>413</v>
      </c>
      <c r="B7" s="426"/>
      <c r="C7" s="426"/>
      <c r="D7" s="426"/>
    </row>
    <row r="8" s="424" customFormat="1" ht="13.800000000000001">
      <c r="A8" s="425" t="s">
        <v>414</v>
      </c>
      <c r="B8" s="426"/>
      <c r="C8" s="426"/>
      <c r="D8" s="426"/>
    </row>
    <row r="9" s="415" customFormat="1" ht="13.800000000000001">
      <c r="A9" s="427" t="s">
        <v>415</v>
      </c>
      <c r="B9" s="428">
        <f t="shared" ref="B9:D9" si="353">B10</f>
        <v>0</v>
      </c>
      <c r="C9" s="428">
        <f t="shared" si="353"/>
        <v>0</v>
      </c>
      <c r="D9" s="428">
        <f t="shared" si="353"/>
        <v>0</v>
      </c>
    </row>
    <row r="10" s="415" customFormat="1" ht="13.800000000000001">
      <c r="A10" s="429" t="s">
        <v>416</v>
      </c>
      <c r="B10" s="430"/>
      <c r="C10" s="430"/>
      <c r="D10" s="430"/>
      <c r="E10" s="431"/>
    </row>
    <row r="11" s="415" customFormat="1" ht="13.800000000000001">
      <c r="A11" s="427" t="s">
        <v>417</v>
      </c>
      <c r="B11" s="432"/>
      <c r="C11" s="432"/>
      <c r="D11" s="432"/>
      <c r="E11" s="433"/>
    </row>
    <row r="12" s="415" customFormat="1" ht="13.800000000000001">
      <c r="A12" s="427" t="s">
        <v>418</v>
      </c>
      <c r="B12" s="432"/>
      <c r="C12" s="432"/>
      <c r="D12" s="432"/>
    </row>
    <row r="13" s="415" customFormat="1">
      <c r="A13" s="434" t="s">
        <v>419</v>
      </c>
      <c r="B13" s="435">
        <f>+B5+B9+B11+B12</f>
        <v>0</v>
      </c>
      <c r="C13" s="435">
        <f>+C5+C9+C11+C12</f>
        <v>0</v>
      </c>
      <c r="D13" s="435">
        <f>+D5+D9+D11+D12</f>
        <v>0</v>
      </c>
    </row>
    <row r="14" s="415" customFormat="1"/>
    <row r="15" s="415" customFormat="1" ht="14.699999999999999" customHeight="1">
      <c r="A15" s="416" t="s">
        <v>420</v>
      </c>
      <c r="B15" s="417">
        <f>B3</f>
        <v>45291</v>
      </c>
      <c r="C15" s="417">
        <f t="shared" ref="C15:D15" si="354">C3</f>
        <v>45657</v>
      </c>
      <c r="D15" s="417">
        <f t="shared" si="354"/>
        <v>46022</v>
      </c>
    </row>
    <row r="16" s="415" customFormat="1" ht="13.800000000000001">
      <c r="A16" s="419"/>
      <c r="B16" s="436"/>
      <c r="C16" s="436"/>
      <c r="D16" s="436"/>
    </row>
    <row r="17" s="415" customFormat="1" ht="13.800000000000001">
      <c r="A17" s="437" t="s">
        <v>421</v>
      </c>
      <c r="B17" s="438"/>
      <c r="C17" s="438"/>
      <c r="D17" s="438"/>
    </row>
    <row r="18" s="415" customFormat="1" ht="13.800000000000001">
      <c r="A18" s="439" t="s">
        <v>422</v>
      </c>
      <c r="B18" s="440">
        <f t="shared" ref="B18:D21" si="355">SUM(B19:B20)</f>
        <v>0</v>
      </c>
      <c r="C18" s="440">
        <f t="shared" si="355"/>
        <v>0</v>
      </c>
      <c r="D18" s="440">
        <f t="shared" si="355"/>
        <v>0</v>
      </c>
    </row>
    <row r="19" s="415" customFormat="1" ht="13.800000000000001">
      <c r="A19" s="425" t="s">
        <v>298</v>
      </c>
      <c r="B19" s="426"/>
      <c r="C19" s="426"/>
      <c r="D19" s="426"/>
    </row>
    <row r="20" s="415" customFormat="1" ht="13.800000000000001">
      <c r="A20" s="425" t="s">
        <v>423</v>
      </c>
      <c r="B20" s="426"/>
      <c r="C20" s="426"/>
      <c r="D20" s="426"/>
    </row>
    <row r="21" s="415" customFormat="1" ht="13.800000000000001">
      <c r="A21" s="439" t="s">
        <v>424</v>
      </c>
      <c r="B21" s="440">
        <f t="shared" si="355"/>
        <v>0</v>
      </c>
      <c r="C21" s="440">
        <f t="shared" si="355"/>
        <v>0</v>
      </c>
      <c r="D21" s="440">
        <f t="shared" si="355"/>
        <v>0</v>
      </c>
    </row>
    <row r="22" s="415" customFormat="1" ht="13.800000000000001">
      <c r="A22" s="425" t="s">
        <v>425</v>
      </c>
      <c r="B22" s="426"/>
      <c r="C22" s="426"/>
      <c r="D22" s="426"/>
    </row>
    <row r="23" s="415" customFormat="1" ht="13.800000000000001">
      <c r="A23" s="425" t="s">
        <v>426</v>
      </c>
      <c r="B23" s="426"/>
      <c r="C23" s="426"/>
      <c r="D23" s="426"/>
    </row>
    <row r="24" s="415" customFormat="1" ht="13.800000000000001">
      <c r="A24" s="437" t="s">
        <v>427</v>
      </c>
      <c r="B24" s="441">
        <f t="shared" ref="B24:D24" si="356">+SUM(B25:B25)</f>
        <v>0</v>
      </c>
      <c r="C24" s="441">
        <f t="shared" si="356"/>
        <v>0</v>
      </c>
      <c r="D24" s="441">
        <f t="shared" si="356"/>
        <v>0</v>
      </c>
    </row>
    <row r="25" s="415" customFormat="1" ht="13.800000000000001">
      <c r="A25" s="425" t="s">
        <v>428</v>
      </c>
      <c r="B25" s="426"/>
      <c r="C25" s="426"/>
      <c r="D25" s="426"/>
    </row>
    <row r="26" s="415" customFormat="1" ht="13.800000000000001">
      <c r="A26" s="437" t="s">
        <v>418</v>
      </c>
      <c r="B26" s="442"/>
      <c r="C26" s="442"/>
      <c r="D26" s="442"/>
    </row>
    <row r="27" s="415" customFormat="1">
      <c r="A27" s="443" t="s">
        <v>429</v>
      </c>
      <c r="B27" s="444">
        <f t="shared" ref="B27:D27" si="357">+B18+B17+B24+B26+B21</f>
        <v>0</v>
      </c>
      <c r="C27" s="444">
        <f t="shared" si="357"/>
        <v>0</v>
      </c>
      <c r="D27" s="444">
        <f t="shared" si="357"/>
        <v>0</v>
      </c>
    </row>
    <row r="28" s="415" customFormat="1"/>
    <row r="29" s="415" customFormat="1">
      <c r="A29" s="445" t="s">
        <v>430</v>
      </c>
      <c r="B29" s="446">
        <v>0</v>
      </c>
    </row>
    <row r="30" s="415" customFormat="1" ht="13.800000000000001">
      <c r="A30" s="447" t="s">
        <v>431</v>
      </c>
      <c r="B30" s="446">
        <f>+B27-B13</f>
        <v>0</v>
      </c>
      <c r="C30" s="446">
        <f>+C27-C13</f>
        <v>0</v>
      </c>
      <c r="D30" s="446">
        <f>+D27-D13</f>
        <v>0</v>
      </c>
    </row>
    <row r="31" s="415" customFormat="1" ht="15" customHeight="1">
      <c r="A31" s="443" t="s">
        <v>432</v>
      </c>
      <c r="B31" s="448">
        <f>B29+B30</f>
        <v>0</v>
      </c>
      <c r="C31" s="444">
        <f>B31+C30</f>
        <v>0</v>
      </c>
      <c r="D31" s="444">
        <f>C31+D30</f>
        <v>0</v>
      </c>
    </row>
  </sheetData>
  <sheetProtection autoFilter="1" deleteColumns="1" deleteRows="1" formatCells="1" formatColumns="1" formatRows="1" insertColumns="1" insertHyperlinks="1" insertRows="1" pivotTables="1" selectLockedCells="1" selectUnlockedCells="0" sheet="0" sort="1"/>
  <mergeCells count="8">
    <mergeCell ref="B3:B4"/>
    <mergeCell ref="B15:B16"/>
    <mergeCell ref="A15:A16"/>
    <mergeCell ref="C15:C16"/>
    <mergeCell ref="D15:D16"/>
    <mergeCell ref="A3:A4"/>
    <mergeCell ref="C3:C4"/>
    <mergeCell ref="D3:D4"/>
  </mergeCells>
  <conditionalFormatting sqref="B12:K12">
    <cfRule type="cellIs" priority="8" operator="greaterThan">
      <formula>#REF!/360</formula>
    </cfRule>
  </conditionalFormatting>
  <printOptions headings="0" gridLines="0" horizontalCentered="1"/>
  <pageMargins left="0.70866141732283472" right="0.70866141732283472" top="0.74803149606299213" bottom="0.74803149606299213" header="0.31496062992125984" footer="0.31496062992125984"/>
  <pageSetup paperSize="8" scale="100" fitToWidth="1" fitToHeight="1" pageOrder="downThenOver" orientation="portrait" usePrinterDefaults="1" blackAndWhite="0" draft="0" cellComments="none" useFirstPageNumber="0" errors="displayed" horizontalDpi="600" verticalDpi="600" copies="1"/>
  <headerFooter>
    <oddHeader>&amp;L&amp;G&amp;R&amp;P / &amp;N
&amp;"-,Italique"&amp;10Date d'édition : &amp;D</oddHeader>
  </headerFooter>
  <drawing r:id="rId1"/>
  <legacyDrawingHF r:id="rId2"/>
  <extLst>
    <ext xmlns:x14="http://schemas.microsoft.com/office/spreadsheetml/2009/9/main" uri="{78C0D931-6437-407d-A8EE-F0AAD7539E65}">
      <x14:conditionalFormattings>
        <x14:conditionalFormatting xmlns:xm="http://schemas.microsoft.com/office/excel/2006/main">
          <x14:cfRule type="cellIs" priority="1" operator="lessThan" id="{00FB00AC-0050-4FA5-BDD5-0070009C00EC}">
            <xm:f>0</xm:f>
            <x14:dxf>
              <font>
                <b/>
                <i val="0"/>
              </font>
              <fill>
                <patternFill patternType="solid">
                  <fgColor rgb="FFC00000"/>
                  <bgColor rgb="FFC00000"/>
                </patternFill>
              </fill>
            </x14:dxf>
          </x14:cfRule>
          <xm:sqref>B31:D31</xm:sqref>
        </x14:conditionalFormatting>
      </x14:conditionalFormattings>
    </ext>
  </extLst>
</worksheet>
</file>

<file path=xl/worksheets/sheet1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sheetPr>
    <outlinePr applyStyles="0" summaryBelow="1" summaryRight="1" showOutlineSymbols="1"/>
    <pageSetUpPr autoPageBreaks="1" fitToPage="1"/>
  </sheetPr>
  <sheetViews>
    <sheetView zoomScale="90" workbookViewId="0">
      <selection activeCell="E53" activeCellId="0" sqref="E53"/>
    </sheetView>
  </sheetViews>
  <sheetFormatPr baseColWidth="10" defaultColWidth="11.44140625" defaultRowHeight="14.4"/>
  <cols>
    <col bestFit="1" customWidth="1" min="1" max="1" style="36" width="11.6640625"/>
    <col customWidth="1" min="2" max="3" style="36" width="11.6640625"/>
    <col bestFit="1" customWidth="1" min="4" max="4" style="36" width="15.6640625"/>
    <col customWidth="1" min="5" max="5" style="36" width="11.6640625"/>
    <col bestFit="1" customWidth="1" min="6" max="6" style="36" width="68.44140625"/>
    <col bestFit="1" customWidth="1" min="7" max="7" style="169" width="23.109375"/>
    <col bestFit="1" customWidth="1" min="8" max="8" style="169" width="11.33203125"/>
    <col bestFit="1" customWidth="1" min="9" max="9" style="169" width="11.44140625"/>
    <col bestFit="1" customWidth="1" min="10" max="10" style="169" width="11.33203125"/>
    <col min="11" max="256" style="36" width="10.6640625"/>
    <col bestFit="1" customWidth="1" min="257" max="257" style="36" width="11.6640625"/>
    <col customWidth="1" min="258" max="259" style="36" width="11.6640625"/>
    <col bestFit="1" customWidth="1" min="260" max="260" style="36" width="15.33203125"/>
    <col customWidth="1" min="261" max="261" style="36" width="11.6640625"/>
    <col bestFit="1" customWidth="1" min="262" max="262" style="36" width="54.33203125"/>
    <col bestFit="1" customWidth="1" min="263" max="263" style="36" width="13.44140625"/>
    <col min="264" max="264" style="36" width="10.6640625"/>
    <col bestFit="1" customWidth="1" min="265" max="265" style="36" width="11.44140625"/>
    <col min="266" max="512" style="36" width="10.6640625"/>
    <col bestFit="1" customWidth="1" min="513" max="513" style="36" width="11.6640625"/>
    <col customWidth="1" min="514" max="515" style="36" width="11.6640625"/>
    <col bestFit="1" customWidth="1" min="516" max="516" style="36" width="15.33203125"/>
    <col customWidth="1" min="517" max="517" style="36" width="11.6640625"/>
    <col bestFit="1" customWidth="1" min="518" max="518" style="36" width="54.33203125"/>
    <col bestFit="1" customWidth="1" min="519" max="519" style="36" width="13.44140625"/>
    <col min="520" max="520" style="36" width="10.6640625"/>
    <col bestFit="1" customWidth="1" min="521" max="521" style="36" width="11.44140625"/>
    <col min="522" max="768" style="36" width="10.6640625"/>
    <col bestFit="1" customWidth="1" min="769" max="769" style="36" width="11.6640625"/>
    <col customWidth="1" min="770" max="771" style="36" width="11.6640625"/>
    <col bestFit="1" customWidth="1" min="772" max="772" style="36" width="15.33203125"/>
    <col customWidth="1" min="773" max="773" style="36" width="11.6640625"/>
    <col bestFit="1" customWidth="1" min="774" max="774" style="36" width="54.33203125"/>
    <col bestFit="1" customWidth="1" min="775" max="775" style="36" width="13.44140625"/>
    <col min="776" max="776" style="36" width="10.6640625"/>
    <col bestFit="1" customWidth="1" min="777" max="777" style="36" width="11.44140625"/>
    <col min="778" max="1024" style="36" width="10.6640625"/>
    <col bestFit="1" customWidth="1" min="1025" max="1025" style="36" width="11.6640625"/>
    <col customWidth="1" min="1026" max="1027" style="36" width="11.6640625"/>
    <col bestFit="1" customWidth="1" min="1028" max="1028" style="36" width="15.33203125"/>
    <col customWidth="1" min="1029" max="1029" style="36" width="11.6640625"/>
    <col bestFit="1" customWidth="1" min="1030" max="1030" style="36" width="54.33203125"/>
    <col bestFit="1" customWidth="1" min="1031" max="1031" style="36" width="13.44140625"/>
    <col min="1032" max="1032" style="36" width="10.6640625"/>
    <col bestFit="1" customWidth="1" min="1033" max="1033" style="36" width="11.44140625"/>
    <col min="1034" max="1280" style="36" width="10.6640625"/>
    <col bestFit="1" customWidth="1" min="1281" max="1281" style="36" width="11.6640625"/>
    <col customWidth="1" min="1282" max="1283" style="36" width="11.6640625"/>
    <col bestFit="1" customWidth="1" min="1284" max="1284" style="36" width="15.33203125"/>
    <col customWidth="1" min="1285" max="1285" style="36" width="11.6640625"/>
    <col bestFit="1" customWidth="1" min="1286" max="1286" style="36" width="54.33203125"/>
    <col bestFit="1" customWidth="1" min="1287" max="1287" style="36" width="13.44140625"/>
    <col min="1288" max="1288" style="36" width="10.6640625"/>
    <col bestFit="1" customWidth="1" min="1289" max="1289" style="36" width="11.44140625"/>
    <col min="1290" max="1536" style="36" width="10.6640625"/>
    <col bestFit="1" customWidth="1" min="1537" max="1537" style="36" width="11.6640625"/>
    <col customWidth="1" min="1538" max="1539" style="36" width="11.6640625"/>
    <col bestFit="1" customWidth="1" min="1540" max="1540" style="36" width="15.33203125"/>
    <col customWidth="1" min="1541" max="1541" style="36" width="11.6640625"/>
    <col bestFit="1" customWidth="1" min="1542" max="1542" style="36" width="54.33203125"/>
    <col bestFit="1" customWidth="1" min="1543" max="1543" style="36" width="13.44140625"/>
    <col min="1544" max="1544" style="36" width="10.6640625"/>
    <col bestFit="1" customWidth="1" min="1545" max="1545" style="36" width="11.44140625"/>
    <col min="1546" max="1792" style="36" width="10.6640625"/>
    <col bestFit="1" customWidth="1" min="1793" max="1793" style="36" width="11.6640625"/>
    <col customWidth="1" min="1794" max="1795" style="36" width="11.6640625"/>
    <col bestFit="1" customWidth="1" min="1796" max="1796" style="36" width="15.33203125"/>
    <col customWidth="1" min="1797" max="1797" style="36" width="11.6640625"/>
    <col bestFit="1" customWidth="1" min="1798" max="1798" style="36" width="54.33203125"/>
    <col bestFit="1" customWidth="1" min="1799" max="1799" style="36" width="13.44140625"/>
    <col min="1800" max="1800" style="36" width="10.6640625"/>
    <col bestFit="1" customWidth="1" min="1801" max="1801" style="36" width="11.44140625"/>
    <col min="1802" max="2048" style="36" width="10.6640625"/>
    <col bestFit="1" customWidth="1" min="2049" max="2049" style="36" width="11.6640625"/>
    <col customWidth="1" min="2050" max="2051" style="36" width="11.6640625"/>
    <col bestFit="1" customWidth="1" min="2052" max="2052" style="36" width="15.33203125"/>
    <col customWidth="1" min="2053" max="2053" style="36" width="11.6640625"/>
    <col bestFit="1" customWidth="1" min="2054" max="2054" style="36" width="54.33203125"/>
    <col bestFit="1" customWidth="1" min="2055" max="2055" style="36" width="13.44140625"/>
    <col min="2056" max="2056" style="36" width="10.6640625"/>
    <col bestFit="1" customWidth="1" min="2057" max="2057" style="36" width="11.44140625"/>
    <col min="2058" max="2304" style="36" width="10.6640625"/>
    <col bestFit="1" customWidth="1" min="2305" max="2305" style="36" width="11.6640625"/>
    <col customWidth="1" min="2306" max="2307" style="36" width="11.6640625"/>
    <col bestFit="1" customWidth="1" min="2308" max="2308" style="36" width="15.33203125"/>
    <col customWidth="1" min="2309" max="2309" style="36" width="11.6640625"/>
    <col bestFit="1" customWidth="1" min="2310" max="2310" style="36" width="54.33203125"/>
    <col bestFit="1" customWidth="1" min="2311" max="2311" style="36" width="13.44140625"/>
    <col min="2312" max="2312" style="36" width="10.6640625"/>
    <col bestFit="1" customWidth="1" min="2313" max="2313" style="36" width="11.44140625"/>
    <col min="2314" max="2560" style="36" width="10.6640625"/>
    <col bestFit="1" customWidth="1" min="2561" max="2561" style="36" width="11.6640625"/>
    <col customWidth="1" min="2562" max="2563" style="36" width="11.6640625"/>
    <col bestFit="1" customWidth="1" min="2564" max="2564" style="36" width="15.33203125"/>
    <col customWidth="1" min="2565" max="2565" style="36" width="11.6640625"/>
    <col bestFit="1" customWidth="1" min="2566" max="2566" style="36" width="54.33203125"/>
    <col bestFit="1" customWidth="1" min="2567" max="2567" style="36" width="13.44140625"/>
    <col min="2568" max="2568" style="36" width="10.6640625"/>
    <col bestFit="1" customWidth="1" min="2569" max="2569" style="36" width="11.44140625"/>
    <col min="2570" max="2816" style="36" width="10.6640625"/>
    <col bestFit="1" customWidth="1" min="2817" max="2817" style="36" width="11.6640625"/>
    <col customWidth="1" min="2818" max="2819" style="36" width="11.6640625"/>
    <col bestFit="1" customWidth="1" min="2820" max="2820" style="36" width="15.33203125"/>
    <col customWidth="1" min="2821" max="2821" style="36" width="11.6640625"/>
    <col bestFit="1" customWidth="1" min="2822" max="2822" style="36" width="54.33203125"/>
    <col bestFit="1" customWidth="1" min="2823" max="2823" style="36" width="13.44140625"/>
    <col min="2824" max="2824" style="36" width="10.6640625"/>
    <col bestFit="1" customWidth="1" min="2825" max="2825" style="36" width="11.44140625"/>
    <col min="2826" max="3072" style="36" width="10.6640625"/>
    <col bestFit="1" customWidth="1" min="3073" max="3073" style="36" width="11.6640625"/>
    <col customWidth="1" min="3074" max="3075" style="36" width="11.6640625"/>
    <col bestFit="1" customWidth="1" min="3076" max="3076" style="36" width="15.33203125"/>
    <col customWidth="1" min="3077" max="3077" style="36" width="11.6640625"/>
    <col bestFit="1" customWidth="1" min="3078" max="3078" style="36" width="54.33203125"/>
    <col bestFit="1" customWidth="1" min="3079" max="3079" style="36" width="13.44140625"/>
    <col min="3080" max="3080" style="36" width="10.6640625"/>
    <col bestFit="1" customWidth="1" min="3081" max="3081" style="36" width="11.44140625"/>
    <col min="3082" max="3328" style="36" width="10.6640625"/>
    <col bestFit="1" customWidth="1" min="3329" max="3329" style="36" width="11.6640625"/>
    <col customWidth="1" min="3330" max="3331" style="36" width="11.6640625"/>
    <col bestFit="1" customWidth="1" min="3332" max="3332" style="36" width="15.33203125"/>
    <col customWidth="1" min="3333" max="3333" style="36" width="11.6640625"/>
    <col bestFit="1" customWidth="1" min="3334" max="3334" style="36" width="54.33203125"/>
    <col bestFit="1" customWidth="1" min="3335" max="3335" style="36" width="13.44140625"/>
    <col min="3336" max="3336" style="36" width="10.6640625"/>
    <col bestFit="1" customWidth="1" min="3337" max="3337" style="36" width="11.44140625"/>
    <col min="3338" max="3584" style="36" width="10.6640625"/>
    <col bestFit="1" customWidth="1" min="3585" max="3585" style="36" width="11.6640625"/>
    <col customWidth="1" min="3586" max="3587" style="36" width="11.6640625"/>
    <col bestFit="1" customWidth="1" min="3588" max="3588" style="36" width="15.33203125"/>
    <col customWidth="1" min="3589" max="3589" style="36" width="11.6640625"/>
    <col bestFit="1" customWidth="1" min="3590" max="3590" style="36" width="54.33203125"/>
    <col bestFit="1" customWidth="1" min="3591" max="3591" style="36" width="13.44140625"/>
    <col min="3592" max="3592" style="36" width="10.6640625"/>
    <col bestFit="1" customWidth="1" min="3593" max="3593" style="36" width="11.44140625"/>
    <col min="3594" max="3840" style="36" width="10.6640625"/>
    <col bestFit="1" customWidth="1" min="3841" max="3841" style="36" width="11.6640625"/>
    <col customWidth="1" min="3842" max="3843" style="36" width="11.6640625"/>
    <col bestFit="1" customWidth="1" min="3844" max="3844" style="36" width="15.33203125"/>
    <col customWidth="1" min="3845" max="3845" style="36" width="11.6640625"/>
    <col bestFit="1" customWidth="1" min="3846" max="3846" style="36" width="54.33203125"/>
    <col bestFit="1" customWidth="1" min="3847" max="3847" style="36" width="13.44140625"/>
    <col min="3848" max="3848" style="36" width="10.6640625"/>
    <col bestFit="1" customWidth="1" min="3849" max="3849" style="36" width="11.44140625"/>
    <col min="3850" max="4096" style="36" width="10.6640625"/>
    <col bestFit="1" customWidth="1" min="4097" max="4097" style="36" width="11.6640625"/>
    <col customWidth="1" min="4098" max="4099" style="36" width="11.6640625"/>
    <col bestFit="1" customWidth="1" min="4100" max="4100" style="36" width="15.33203125"/>
    <col customWidth="1" min="4101" max="4101" style="36" width="11.6640625"/>
    <col bestFit="1" customWidth="1" min="4102" max="4102" style="36" width="54.33203125"/>
    <col bestFit="1" customWidth="1" min="4103" max="4103" style="36" width="13.44140625"/>
    <col min="4104" max="4104" style="36" width="10.6640625"/>
    <col bestFit="1" customWidth="1" min="4105" max="4105" style="36" width="11.44140625"/>
    <col min="4106" max="4352" style="36" width="10.6640625"/>
    <col bestFit="1" customWidth="1" min="4353" max="4353" style="36" width="11.6640625"/>
    <col customWidth="1" min="4354" max="4355" style="36" width="11.6640625"/>
    <col bestFit="1" customWidth="1" min="4356" max="4356" style="36" width="15.33203125"/>
    <col customWidth="1" min="4357" max="4357" style="36" width="11.6640625"/>
    <col bestFit="1" customWidth="1" min="4358" max="4358" style="36" width="54.33203125"/>
    <col bestFit="1" customWidth="1" min="4359" max="4359" style="36" width="13.44140625"/>
    <col min="4360" max="4360" style="36" width="10.6640625"/>
    <col bestFit="1" customWidth="1" min="4361" max="4361" style="36" width="11.44140625"/>
    <col min="4362" max="4608" style="36" width="10.6640625"/>
    <col bestFit="1" customWidth="1" min="4609" max="4609" style="36" width="11.6640625"/>
    <col customWidth="1" min="4610" max="4611" style="36" width="11.6640625"/>
    <col bestFit="1" customWidth="1" min="4612" max="4612" style="36" width="15.33203125"/>
    <col customWidth="1" min="4613" max="4613" style="36" width="11.6640625"/>
    <col bestFit="1" customWidth="1" min="4614" max="4614" style="36" width="54.33203125"/>
    <col bestFit="1" customWidth="1" min="4615" max="4615" style="36" width="13.44140625"/>
    <col min="4616" max="4616" style="36" width="10.6640625"/>
    <col bestFit="1" customWidth="1" min="4617" max="4617" style="36" width="11.44140625"/>
    <col min="4618" max="4864" style="36" width="10.6640625"/>
    <col bestFit="1" customWidth="1" min="4865" max="4865" style="36" width="11.6640625"/>
    <col customWidth="1" min="4866" max="4867" style="36" width="11.6640625"/>
    <col bestFit="1" customWidth="1" min="4868" max="4868" style="36" width="15.33203125"/>
    <col customWidth="1" min="4869" max="4869" style="36" width="11.6640625"/>
    <col bestFit="1" customWidth="1" min="4870" max="4870" style="36" width="54.33203125"/>
    <col bestFit="1" customWidth="1" min="4871" max="4871" style="36" width="13.44140625"/>
    <col min="4872" max="4872" style="36" width="10.6640625"/>
    <col bestFit="1" customWidth="1" min="4873" max="4873" style="36" width="11.44140625"/>
    <col min="4874" max="5120" style="36" width="10.6640625"/>
    <col bestFit="1" customWidth="1" min="5121" max="5121" style="36" width="11.6640625"/>
    <col customWidth="1" min="5122" max="5123" style="36" width="11.6640625"/>
    <col bestFit="1" customWidth="1" min="5124" max="5124" style="36" width="15.33203125"/>
    <col customWidth="1" min="5125" max="5125" style="36" width="11.6640625"/>
    <col bestFit="1" customWidth="1" min="5126" max="5126" style="36" width="54.33203125"/>
    <col bestFit="1" customWidth="1" min="5127" max="5127" style="36" width="13.44140625"/>
    <col min="5128" max="5128" style="36" width="10.6640625"/>
    <col bestFit="1" customWidth="1" min="5129" max="5129" style="36" width="11.44140625"/>
    <col min="5130" max="5376" style="36" width="10.6640625"/>
    <col bestFit="1" customWidth="1" min="5377" max="5377" style="36" width="11.6640625"/>
    <col customWidth="1" min="5378" max="5379" style="36" width="11.6640625"/>
    <col bestFit="1" customWidth="1" min="5380" max="5380" style="36" width="15.33203125"/>
    <col customWidth="1" min="5381" max="5381" style="36" width="11.6640625"/>
    <col bestFit="1" customWidth="1" min="5382" max="5382" style="36" width="54.33203125"/>
    <col bestFit="1" customWidth="1" min="5383" max="5383" style="36" width="13.44140625"/>
    <col min="5384" max="5384" style="36" width="10.6640625"/>
    <col bestFit="1" customWidth="1" min="5385" max="5385" style="36" width="11.44140625"/>
    <col min="5386" max="5632" style="36" width="10.6640625"/>
    <col bestFit="1" customWidth="1" min="5633" max="5633" style="36" width="11.6640625"/>
    <col customWidth="1" min="5634" max="5635" style="36" width="11.6640625"/>
    <col bestFit="1" customWidth="1" min="5636" max="5636" style="36" width="15.33203125"/>
    <col customWidth="1" min="5637" max="5637" style="36" width="11.6640625"/>
    <col bestFit="1" customWidth="1" min="5638" max="5638" style="36" width="54.33203125"/>
    <col bestFit="1" customWidth="1" min="5639" max="5639" style="36" width="13.44140625"/>
    <col min="5640" max="5640" style="36" width="10.6640625"/>
    <col bestFit="1" customWidth="1" min="5641" max="5641" style="36" width="11.44140625"/>
    <col min="5642" max="5888" style="36" width="10.6640625"/>
    <col bestFit="1" customWidth="1" min="5889" max="5889" style="36" width="11.6640625"/>
    <col customWidth="1" min="5890" max="5891" style="36" width="11.6640625"/>
    <col bestFit="1" customWidth="1" min="5892" max="5892" style="36" width="15.33203125"/>
    <col customWidth="1" min="5893" max="5893" style="36" width="11.6640625"/>
    <col bestFit="1" customWidth="1" min="5894" max="5894" style="36" width="54.33203125"/>
    <col bestFit="1" customWidth="1" min="5895" max="5895" style="36" width="13.44140625"/>
    <col min="5896" max="5896" style="36" width="10.6640625"/>
    <col bestFit="1" customWidth="1" min="5897" max="5897" style="36" width="11.44140625"/>
    <col min="5898" max="6144" style="36" width="10.6640625"/>
    <col bestFit="1" customWidth="1" min="6145" max="6145" style="36" width="11.6640625"/>
    <col customWidth="1" min="6146" max="6147" style="36" width="11.6640625"/>
    <col bestFit="1" customWidth="1" min="6148" max="6148" style="36" width="15.33203125"/>
    <col customWidth="1" min="6149" max="6149" style="36" width="11.6640625"/>
    <col bestFit="1" customWidth="1" min="6150" max="6150" style="36" width="54.33203125"/>
    <col bestFit="1" customWidth="1" min="6151" max="6151" style="36" width="13.44140625"/>
    <col min="6152" max="6152" style="36" width="10.6640625"/>
    <col bestFit="1" customWidth="1" min="6153" max="6153" style="36" width="11.44140625"/>
    <col min="6154" max="6400" style="36" width="10.6640625"/>
    <col bestFit="1" customWidth="1" min="6401" max="6401" style="36" width="11.6640625"/>
    <col customWidth="1" min="6402" max="6403" style="36" width="11.6640625"/>
    <col bestFit="1" customWidth="1" min="6404" max="6404" style="36" width="15.33203125"/>
    <col customWidth="1" min="6405" max="6405" style="36" width="11.6640625"/>
    <col bestFit="1" customWidth="1" min="6406" max="6406" style="36" width="54.33203125"/>
    <col bestFit="1" customWidth="1" min="6407" max="6407" style="36" width="13.44140625"/>
    <col min="6408" max="6408" style="36" width="10.6640625"/>
    <col bestFit="1" customWidth="1" min="6409" max="6409" style="36" width="11.44140625"/>
    <col min="6410" max="6656" style="36" width="10.6640625"/>
    <col bestFit="1" customWidth="1" min="6657" max="6657" style="36" width="11.6640625"/>
    <col customWidth="1" min="6658" max="6659" style="36" width="11.6640625"/>
    <col bestFit="1" customWidth="1" min="6660" max="6660" style="36" width="15.33203125"/>
    <col customWidth="1" min="6661" max="6661" style="36" width="11.6640625"/>
    <col bestFit="1" customWidth="1" min="6662" max="6662" style="36" width="54.33203125"/>
    <col bestFit="1" customWidth="1" min="6663" max="6663" style="36" width="13.44140625"/>
    <col min="6664" max="6664" style="36" width="10.6640625"/>
    <col bestFit="1" customWidth="1" min="6665" max="6665" style="36" width="11.44140625"/>
    <col min="6666" max="6912" style="36" width="10.6640625"/>
    <col bestFit="1" customWidth="1" min="6913" max="6913" style="36" width="11.6640625"/>
    <col customWidth="1" min="6914" max="6915" style="36" width="11.6640625"/>
    <col bestFit="1" customWidth="1" min="6916" max="6916" style="36" width="15.33203125"/>
    <col customWidth="1" min="6917" max="6917" style="36" width="11.6640625"/>
    <col bestFit="1" customWidth="1" min="6918" max="6918" style="36" width="54.33203125"/>
    <col bestFit="1" customWidth="1" min="6919" max="6919" style="36" width="13.44140625"/>
    <col min="6920" max="6920" style="36" width="10.6640625"/>
    <col bestFit="1" customWidth="1" min="6921" max="6921" style="36" width="11.44140625"/>
    <col min="6922" max="7168" style="36" width="10.6640625"/>
    <col bestFit="1" customWidth="1" min="7169" max="7169" style="36" width="11.6640625"/>
    <col customWidth="1" min="7170" max="7171" style="36" width="11.6640625"/>
    <col bestFit="1" customWidth="1" min="7172" max="7172" style="36" width="15.33203125"/>
    <col customWidth="1" min="7173" max="7173" style="36" width="11.6640625"/>
    <col bestFit="1" customWidth="1" min="7174" max="7174" style="36" width="54.33203125"/>
    <col bestFit="1" customWidth="1" min="7175" max="7175" style="36" width="13.44140625"/>
    <col min="7176" max="7176" style="36" width="10.6640625"/>
    <col bestFit="1" customWidth="1" min="7177" max="7177" style="36" width="11.44140625"/>
    <col min="7178" max="7424" style="36" width="10.6640625"/>
    <col bestFit="1" customWidth="1" min="7425" max="7425" style="36" width="11.6640625"/>
    <col customWidth="1" min="7426" max="7427" style="36" width="11.6640625"/>
    <col bestFit="1" customWidth="1" min="7428" max="7428" style="36" width="15.33203125"/>
    <col customWidth="1" min="7429" max="7429" style="36" width="11.6640625"/>
    <col bestFit="1" customWidth="1" min="7430" max="7430" style="36" width="54.33203125"/>
    <col bestFit="1" customWidth="1" min="7431" max="7431" style="36" width="13.44140625"/>
    <col min="7432" max="7432" style="36" width="10.6640625"/>
    <col bestFit="1" customWidth="1" min="7433" max="7433" style="36" width="11.44140625"/>
    <col min="7434" max="7680" style="36" width="10.6640625"/>
    <col bestFit="1" customWidth="1" min="7681" max="7681" style="36" width="11.6640625"/>
    <col customWidth="1" min="7682" max="7683" style="36" width="11.6640625"/>
    <col bestFit="1" customWidth="1" min="7684" max="7684" style="36" width="15.33203125"/>
    <col customWidth="1" min="7685" max="7685" style="36" width="11.6640625"/>
    <col bestFit="1" customWidth="1" min="7686" max="7686" style="36" width="54.33203125"/>
    <col bestFit="1" customWidth="1" min="7687" max="7687" style="36" width="13.44140625"/>
    <col min="7688" max="7688" style="36" width="10.6640625"/>
    <col bestFit="1" customWidth="1" min="7689" max="7689" style="36" width="11.44140625"/>
    <col min="7690" max="7936" style="36" width="10.6640625"/>
    <col bestFit="1" customWidth="1" min="7937" max="7937" style="36" width="11.6640625"/>
    <col customWidth="1" min="7938" max="7939" style="36" width="11.6640625"/>
    <col bestFit="1" customWidth="1" min="7940" max="7940" style="36" width="15.33203125"/>
    <col customWidth="1" min="7941" max="7941" style="36" width="11.6640625"/>
    <col bestFit="1" customWidth="1" min="7942" max="7942" style="36" width="54.33203125"/>
    <col bestFit="1" customWidth="1" min="7943" max="7943" style="36" width="13.44140625"/>
    <col min="7944" max="7944" style="36" width="10.6640625"/>
    <col bestFit="1" customWidth="1" min="7945" max="7945" style="36" width="11.44140625"/>
    <col min="7946" max="8192" style="36" width="10.6640625"/>
    <col bestFit="1" customWidth="1" min="8193" max="8193" style="36" width="11.6640625"/>
    <col customWidth="1" min="8194" max="8195" style="36" width="11.6640625"/>
    <col bestFit="1" customWidth="1" min="8196" max="8196" style="36" width="15.33203125"/>
    <col customWidth="1" min="8197" max="8197" style="36" width="11.6640625"/>
    <col bestFit="1" customWidth="1" min="8198" max="8198" style="36" width="54.33203125"/>
    <col bestFit="1" customWidth="1" min="8199" max="8199" style="36" width="13.44140625"/>
    <col min="8200" max="8200" style="36" width="10.6640625"/>
    <col bestFit="1" customWidth="1" min="8201" max="8201" style="36" width="11.44140625"/>
    <col min="8202" max="8448" style="36" width="10.6640625"/>
    <col bestFit="1" customWidth="1" min="8449" max="8449" style="36" width="11.6640625"/>
    <col customWidth="1" min="8450" max="8451" style="36" width="11.6640625"/>
    <col bestFit="1" customWidth="1" min="8452" max="8452" style="36" width="15.33203125"/>
    <col customWidth="1" min="8453" max="8453" style="36" width="11.6640625"/>
    <col bestFit="1" customWidth="1" min="8454" max="8454" style="36" width="54.33203125"/>
    <col bestFit="1" customWidth="1" min="8455" max="8455" style="36" width="13.44140625"/>
    <col min="8456" max="8456" style="36" width="10.6640625"/>
    <col bestFit="1" customWidth="1" min="8457" max="8457" style="36" width="11.44140625"/>
    <col min="8458" max="8704" style="36" width="10.6640625"/>
    <col bestFit="1" customWidth="1" min="8705" max="8705" style="36" width="11.6640625"/>
    <col customWidth="1" min="8706" max="8707" style="36" width="11.6640625"/>
    <col bestFit="1" customWidth="1" min="8708" max="8708" style="36" width="15.33203125"/>
    <col customWidth="1" min="8709" max="8709" style="36" width="11.6640625"/>
    <col bestFit="1" customWidth="1" min="8710" max="8710" style="36" width="54.33203125"/>
    <col bestFit="1" customWidth="1" min="8711" max="8711" style="36" width="13.44140625"/>
    <col min="8712" max="8712" style="36" width="10.6640625"/>
    <col bestFit="1" customWidth="1" min="8713" max="8713" style="36" width="11.44140625"/>
    <col min="8714" max="8960" style="36" width="10.6640625"/>
    <col bestFit="1" customWidth="1" min="8961" max="8961" style="36" width="11.6640625"/>
    <col customWidth="1" min="8962" max="8963" style="36" width="11.6640625"/>
    <col bestFit="1" customWidth="1" min="8964" max="8964" style="36" width="15.33203125"/>
    <col customWidth="1" min="8965" max="8965" style="36" width="11.6640625"/>
    <col bestFit="1" customWidth="1" min="8966" max="8966" style="36" width="54.33203125"/>
    <col bestFit="1" customWidth="1" min="8967" max="8967" style="36" width="13.44140625"/>
    <col min="8968" max="8968" style="36" width="10.6640625"/>
    <col bestFit="1" customWidth="1" min="8969" max="8969" style="36" width="11.44140625"/>
    <col min="8970" max="9216" style="36" width="10.6640625"/>
    <col bestFit="1" customWidth="1" min="9217" max="9217" style="36" width="11.6640625"/>
    <col customWidth="1" min="9218" max="9219" style="36" width="11.6640625"/>
    <col bestFit="1" customWidth="1" min="9220" max="9220" style="36" width="15.33203125"/>
    <col customWidth="1" min="9221" max="9221" style="36" width="11.6640625"/>
    <col bestFit="1" customWidth="1" min="9222" max="9222" style="36" width="54.33203125"/>
    <col bestFit="1" customWidth="1" min="9223" max="9223" style="36" width="13.44140625"/>
    <col min="9224" max="9224" style="36" width="10.6640625"/>
    <col bestFit="1" customWidth="1" min="9225" max="9225" style="36" width="11.44140625"/>
    <col min="9226" max="9472" style="36" width="10.6640625"/>
    <col bestFit="1" customWidth="1" min="9473" max="9473" style="36" width="11.6640625"/>
    <col customWidth="1" min="9474" max="9475" style="36" width="11.6640625"/>
    <col bestFit="1" customWidth="1" min="9476" max="9476" style="36" width="15.33203125"/>
    <col customWidth="1" min="9477" max="9477" style="36" width="11.6640625"/>
    <col bestFit="1" customWidth="1" min="9478" max="9478" style="36" width="54.33203125"/>
    <col bestFit="1" customWidth="1" min="9479" max="9479" style="36" width="13.44140625"/>
    <col min="9480" max="9480" style="36" width="10.6640625"/>
    <col bestFit="1" customWidth="1" min="9481" max="9481" style="36" width="11.44140625"/>
    <col min="9482" max="9728" style="36" width="10.6640625"/>
    <col bestFit="1" customWidth="1" min="9729" max="9729" style="36" width="11.6640625"/>
    <col customWidth="1" min="9730" max="9731" style="36" width="11.6640625"/>
    <col bestFit="1" customWidth="1" min="9732" max="9732" style="36" width="15.33203125"/>
    <col customWidth="1" min="9733" max="9733" style="36" width="11.6640625"/>
    <col bestFit="1" customWidth="1" min="9734" max="9734" style="36" width="54.33203125"/>
    <col bestFit="1" customWidth="1" min="9735" max="9735" style="36" width="13.44140625"/>
    <col min="9736" max="9736" style="36" width="10.6640625"/>
    <col bestFit="1" customWidth="1" min="9737" max="9737" style="36" width="11.44140625"/>
    <col min="9738" max="9984" style="36" width="10.6640625"/>
    <col bestFit="1" customWidth="1" min="9985" max="9985" style="36" width="11.6640625"/>
    <col customWidth="1" min="9986" max="9987" style="36" width="11.6640625"/>
    <col bestFit="1" customWidth="1" min="9988" max="9988" style="36" width="15.33203125"/>
    <col customWidth="1" min="9989" max="9989" style="36" width="11.6640625"/>
    <col bestFit="1" customWidth="1" min="9990" max="9990" style="36" width="54.33203125"/>
    <col bestFit="1" customWidth="1" min="9991" max="9991" style="36" width="13.44140625"/>
    <col min="9992" max="9992" style="36" width="10.6640625"/>
    <col bestFit="1" customWidth="1" min="9993" max="9993" style="36" width="11.44140625"/>
    <col min="9994" max="10240" style="36" width="10.6640625"/>
    <col bestFit="1" customWidth="1" min="10241" max="10241" style="36" width="11.6640625"/>
    <col customWidth="1" min="10242" max="10243" style="36" width="11.6640625"/>
    <col bestFit="1" customWidth="1" min="10244" max="10244" style="36" width="15.33203125"/>
    <col customWidth="1" min="10245" max="10245" style="36" width="11.6640625"/>
    <col bestFit="1" customWidth="1" min="10246" max="10246" style="36" width="54.33203125"/>
    <col bestFit="1" customWidth="1" min="10247" max="10247" style="36" width="13.44140625"/>
    <col min="10248" max="10248" style="36" width="10.6640625"/>
    <col bestFit="1" customWidth="1" min="10249" max="10249" style="36" width="11.44140625"/>
    <col min="10250" max="10496" style="36" width="10.6640625"/>
    <col bestFit="1" customWidth="1" min="10497" max="10497" style="36" width="11.6640625"/>
    <col customWidth="1" min="10498" max="10499" style="36" width="11.6640625"/>
    <col bestFit="1" customWidth="1" min="10500" max="10500" style="36" width="15.33203125"/>
    <col customWidth="1" min="10501" max="10501" style="36" width="11.6640625"/>
    <col bestFit="1" customWidth="1" min="10502" max="10502" style="36" width="54.33203125"/>
    <col bestFit="1" customWidth="1" min="10503" max="10503" style="36" width="13.44140625"/>
    <col min="10504" max="10504" style="36" width="10.6640625"/>
    <col bestFit="1" customWidth="1" min="10505" max="10505" style="36" width="11.44140625"/>
    <col min="10506" max="10752" style="36" width="10.6640625"/>
    <col bestFit="1" customWidth="1" min="10753" max="10753" style="36" width="11.6640625"/>
    <col customWidth="1" min="10754" max="10755" style="36" width="11.6640625"/>
    <col bestFit="1" customWidth="1" min="10756" max="10756" style="36" width="15.33203125"/>
    <col customWidth="1" min="10757" max="10757" style="36" width="11.6640625"/>
    <col bestFit="1" customWidth="1" min="10758" max="10758" style="36" width="54.33203125"/>
    <col bestFit="1" customWidth="1" min="10759" max="10759" style="36" width="13.44140625"/>
    <col min="10760" max="10760" style="36" width="10.6640625"/>
    <col bestFit="1" customWidth="1" min="10761" max="10761" style="36" width="11.44140625"/>
    <col min="10762" max="11008" style="36" width="10.6640625"/>
    <col bestFit="1" customWidth="1" min="11009" max="11009" style="36" width="11.6640625"/>
    <col customWidth="1" min="11010" max="11011" style="36" width="11.6640625"/>
    <col bestFit="1" customWidth="1" min="11012" max="11012" style="36" width="15.33203125"/>
    <col customWidth="1" min="11013" max="11013" style="36" width="11.6640625"/>
    <col bestFit="1" customWidth="1" min="11014" max="11014" style="36" width="54.33203125"/>
    <col bestFit="1" customWidth="1" min="11015" max="11015" style="36" width="13.44140625"/>
    <col min="11016" max="11016" style="36" width="10.6640625"/>
    <col bestFit="1" customWidth="1" min="11017" max="11017" style="36" width="11.44140625"/>
    <col min="11018" max="11264" style="36" width="10.6640625"/>
    <col bestFit="1" customWidth="1" min="11265" max="11265" style="36" width="11.6640625"/>
    <col customWidth="1" min="11266" max="11267" style="36" width="11.6640625"/>
    <col bestFit="1" customWidth="1" min="11268" max="11268" style="36" width="15.33203125"/>
    <col customWidth="1" min="11269" max="11269" style="36" width="11.6640625"/>
    <col bestFit="1" customWidth="1" min="11270" max="11270" style="36" width="54.33203125"/>
    <col bestFit="1" customWidth="1" min="11271" max="11271" style="36" width="13.44140625"/>
    <col min="11272" max="11272" style="36" width="10.6640625"/>
    <col bestFit="1" customWidth="1" min="11273" max="11273" style="36" width="11.44140625"/>
    <col min="11274" max="11520" style="36" width="10.6640625"/>
    <col bestFit="1" customWidth="1" min="11521" max="11521" style="36" width="11.6640625"/>
    <col customWidth="1" min="11522" max="11523" style="36" width="11.6640625"/>
    <col bestFit="1" customWidth="1" min="11524" max="11524" style="36" width="15.33203125"/>
    <col customWidth="1" min="11525" max="11525" style="36" width="11.6640625"/>
    <col bestFit="1" customWidth="1" min="11526" max="11526" style="36" width="54.33203125"/>
    <col bestFit="1" customWidth="1" min="11527" max="11527" style="36" width="13.44140625"/>
    <col min="11528" max="11528" style="36" width="10.6640625"/>
    <col bestFit="1" customWidth="1" min="11529" max="11529" style="36" width="11.44140625"/>
    <col min="11530" max="11776" style="36" width="10.6640625"/>
    <col bestFit="1" customWidth="1" min="11777" max="11777" style="36" width="11.6640625"/>
    <col customWidth="1" min="11778" max="11779" style="36" width="11.6640625"/>
    <col bestFit="1" customWidth="1" min="11780" max="11780" style="36" width="15.33203125"/>
    <col customWidth="1" min="11781" max="11781" style="36" width="11.6640625"/>
    <col bestFit="1" customWidth="1" min="11782" max="11782" style="36" width="54.33203125"/>
    <col bestFit="1" customWidth="1" min="11783" max="11783" style="36" width="13.44140625"/>
    <col min="11784" max="11784" style="36" width="10.6640625"/>
    <col bestFit="1" customWidth="1" min="11785" max="11785" style="36" width="11.44140625"/>
    <col min="11786" max="12032" style="36" width="10.6640625"/>
    <col bestFit="1" customWidth="1" min="12033" max="12033" style="36" width="11.6640625"/>
    <col customWidth="1" min="12034" max="12035" style="36" width="11.6640625"/>
    <col bestFit="1" customWidth="1" min="12036" max="12036" style="36" width="15.33203125"/>
    <col customWidth="1" min="12037" max="12037" style="36" width="11.6640625"/>
    <col bestFit="1" customWidth="1" min="12038" max="12038" style="36" width="54.33203125"/>
    <col bestFit="1" customWidth="1" min="12039" max="12039" style="36" width="13.44140625"/>
    <col min="12040" max="12040" style="36" width="10.6640625"/>
    <col bestFit="1" customWidth="1" min="12041" max="12041" style="36" width="11.44140625"/>
    <col min="12042" max="12288" style="36" width="10.6640625"/>
    <col bestFit="1" customWidth="1" min="12289" max="12289" style="36" width="11.6640625"/>
    <col customWidth="1" min="12290" max="12291" style="36" width="11.6640625"/>
    <col bestFit="1" customWidth="1" min="12292" max="12292" style="36" width="15.33203125"/>
    <col customWidth="1" min="12293" max="12293" style="36" width="11.6640625"/>
    <col bestFit="1" customWidth="1" min="12294" max="12294" style="36" width="54.33203125"/>
    <col bestFit="1" customWidth="1" min="12295" max="12295" style="36" width="13.44140625"/>
    <col min="12296" max="12296" style="36" width="10.6640625"/>
    <col bestFit="1" customWidth="1" min="12297" max="12297" style="36" width="11.44140625"/>
    <col min="12298" max="12544" style="36" width="10.6640625"/>
    <col bestFit="1" customWidth="1" min="12545" max="12545" style="36" width="11.6640625"/>
    <col customWidth="1" min="12546" max="12547" style="36" width="11.6640625"/>
    <col bestFit="1" customWidth="1" min="12548" max="12548" style="36" width="15.33203125"/>
    <col customWidth="1" min="12549" max="12549" style="36" width="11.6640625"/>
    <col bestFit="1" customWidth="1" min="12550" max="12550" style="36" width="54.33203125"/>
    <col bestFit="1" customWidth="1" min="12551" max="12551" style="36" width="13.44140625"/>
    <col min="12552" max="12552" style="36" width="10.6640625"/>
    <col bestFit="1" customWidth="1" min="12553" max="12553" style="36" width="11.44140625"/>
    <col min="12554" max="12800" style="36" width="10.6640625"/>
    <col bestFit="1" customWidth="1" min="12801" max="12801" style="36" width="11.6640625"/>
    <col customWidth="1" min="12802" max="12803" style="36" width="11.6640625"/>
    <col bestFit="1" customWidth="1" min="12804" max="12804" style="36" width="15.33203125"/>
    <col customWidth="1" min="12805" max="12805" style="36" width="11.6640625"/>
    <col bestFit="1" customWidth="1" min="12806" max="12806" style="36" width="54.33203125"/>
    <col bestFit="1" customWidth="1" min="12807" max="12807" style="36" width="13.44140625"/>
    <col min="12808" max="12808" style="36" width="10.6640625"/>
    <col bestFit="1" customWidth="1" min="12809" max="12809" style="36" width="11.44140625"/>
    <col min="12810" max="13056" style="36" width="10.6640625"/>
    <col bestFit="1" customWidth="1" min="13057" max="13057" style="36" width="11.6640625"/>
    <col customWidth="1" min="13058" max="13059" style="36" width="11.6640625"/>
    <col bestFit="1" customWidth="1" min="13060" max="13060" style="36" width="15.33203125"/>
    <col customWidth="1" min="13061" max="13061" style="36" width="11.6640625"/>
    <col bestFit="1" customWidth="1" min="13062" max="13062" style="36" width="54.33203125"/>
    <col bestFit="1" customWidth="1" min="13063" max="13063" style="36" width="13.44140625"/>
    <col min="13064" max="13064" style="36" width="10.6640625"/>
    <col bestFit="1" customWidth="1" min="13065" max="13065" style="36" width="11.44140625"/>
    <col min="13066" max="13312" style="36" width="10.6640625"/>
    <col bestFit="1" customWidth="1" min="13313" max="13313" style="36" width="11.6640625"/>
    <col customWidth="1" min="13314" max="13315" style="36" width="11.6640625"/>
    <col bestFit="1" customWidth="1" min="13316" max="13316" style="36" width="15.33203125"/>
    <col customWidth="1" min="13317" max="13317" style="36" width="11.6640625"/>
    <col bestFit="1" customWidth="1" min="13318" max="13318" style="36" width="54.33203125"/>
    <col bestFit="1" customWidth="1" min="13319" max="13319" style="36" width="13.44140625"/>
    <col min="13320" max="13320" style="36" width="10.6640625"/>
    <col bestFit="1" customWidth="1" min="13321" max="13321" style="36" width="11.44140625"/>
    <col min="13322" max="13568" style="36" width="10.6640625"/>
    <col bestFit="1" customWidth="1" min="13569" max="13569" style="36" width="11.6640625"/>
    <col customWidth="1" min="13570" max="13571" style="36" width="11.6640625"/>
    <col bestFit="1" customWidth="1" min="13572" max="13572" style="36" width="15.33203125"/>
    <col customWidth="1" min="13573" max="13573" style="36" width="11.6640625"/>
    <col bestFit="1" customWidth="1" min="13574" max="13574" style="36" width="54.33203125"/>
    <col bestFit="1" customWidth="1" min="13575" max="13575" style="36" width="13.44140625"/>
    <col min="13576" max="13576" style="36" width="10.6640625"/>
    <col bestFit="1" customWidth="1" min="13577" max="13577" style="36" width="11.44140625"/>
    <col min="13578" max="13824" style="36" width="10.6640625"/>
    <col bestFit="1" customWidth="1" min="13825" max="13825" style="36" width="11.6640625"/>
    <col customWidth="1" min="13826" max="13827" style="36" width="11.6640625"/>
    <col bestFit="1" customWidth="1" min="13828" max="13828" style="36" width="15.33203125"/>
    <col customWidth="1" min="13829" max="13829" style="36" width="11.6640625"/>
    <col bestFit="1" customWidth="1" min="13830" max="13830" style="36" width="54.33203125"/>
    <col bestFit="1" customWidth="1" min="13831" max="13831" style="36" width="13.44140625"/>
    <col min="13832" max="13832" style="36" width="10.6640625"/>
    <col bestFit="1" customWidth="1" min="13833" max="13833" style="36" width="11.44140625"/>
    <col min="13834" max="14080" style="36" width="10.6640625"/>
    <col bestFit="1" customWidth="1" min="14081" max="14081" style="36" width="11.6640625"/>
    <col customWidth="1" min="14082" max="14083" style="36" width="11.6640625"/>
    <col bestFit="1" customWidth="1" min="14084" max="14084" style="36" width="15.33203125"/>
    <col customWidth="1" min="14085" max="14085" style="36" width="11.6640625"/>
    <col bestFit="1" customWidth="1" min="14086" max="14086" style="36" width="54.33203125"/>
    <col bestFit="1" customWidth="1" min="14087" max="14087" style="36" width="13.44140625"/>
    <col min="14088" max="14088" style="36" width="10.6640625"/>
    <col bestFit="1" customWidth="1" min="14089" max="14089" style="36" width="11.44140625"/>
    <col min="14090" max="14336" style="36" width="10.6640625"/>
    <col bestFit="1" customWidth="1" min="14337" max="14337" style="36" width="11.6640625"/>
    <col customWidth="1" min="14338" max="14339" style="36" width="11.6640625"/>
    <col bestFit="1" customWidth="1" min="14340" max="14340" style="36" width="15.33203125"/>
    <col customWidth="1" min="14341" max="14341" style="36" width="11.6640625"/>
    <col bestFit="1" customWidth="1" min="14342" max="14342" style="36" width="54.33203125"/>
    <col bestFit="1" customWidth="1" min="14343" max="14343" style="36" width="13.44140625"/>
    <col min="14344" max="14344" style="36" width="10.6640625"/>
    <col bestFit="1" customWidth="1" min="14345" max="14345" style="36" width="11.44140625"/>
    <col min="14346" max="14592" style="36" width="10.6640625"/>
    <col bestFit="1" customWidth="1" min="14593" max="14593" style="36" width="11.6640625"/>
    <col customWidth="1" min="14594" max="14595" style="36" width="11.6640625"/>
    <col bestFit="1" customWidth="1" min="14596" max="14596" style="36" width="15.33203125"/>
    <col customWidth="1" min="14597" max="14597" style="36" width="11.6640625"/>
    <col bestFit="1" customWidth="1" min="14598" max="14598" style="36" width="54.33203125"/>
    <col bestFit="1" customWidth="1" min="14599" max="14599" style="36" width="13.44140625"/>
    <col min="14600" max="14600" style="36" width="10.6640625"/>
    <col bestFit="1" customWidth="1" min="14601" max="14601" style="36" width="11.44140625"/>
    <col min="14602" max="14848" style="36" width="10.6640625"/>
    <col bestFit="1" customWidth="1" min="14849" max="14849" style="36" width="11.6640625"/>
    <col customWidth="1" min="14850" max="14851" style="36" width="11.6640625"/>
    <col bestFit="1" customWidth="1" min="14852" max="14852" style="36" width="15.33203125"/>
    <col customWidth="1" min="14853" max="14853" style="36" width="11.6640625"/>
    <col bestFit="1" customWidth="1" min="14854" max="14854" style="36" width="54.33203125"/>
    <col bestFit="1" customWidth="1" min="14855" max="14855" style="36" width="13.44140625"/>
    <col min="14856" max="14856" style="36" width="10.6640625"/>
    <col bestFit="1" customWidth="1" min="14857" max="14857" style="36" width="11.44140625"/>
    <col min="14858" max="15104" style="36" width="10.6640625"/>
    <col bestFit="1" customWidth="1" min="15105" max="15105" style="36" width="11.6640625"/>
    <col customWidth="1" min="15106" max="15107" style="36" width="11.6640625"/>
    <col bestFit="1" customWidth="1" min="15108" max="15108" style="36" width="15.33203125"/>
    <col customWidth="1" min="15109" max="15109" style="36" width="11.6640625"/>
    <col bestFit="1" customWidth="1" min="15110" max="15110" style="36" width="54.33203125"/>
    <col bestFit="1" customWidth="1" min="15111" max="15111" style="36" width="13.44140625"/>
    <col min="15112" max="15112" style="36" width="10.6640625"/>
    <col bestFit="1" customWidth="1" min="15113" max="15113" style="36" width="11.44140625"/>
    <col min="15114" max="15360" style="36" width="10.6640625"/>
    <col bestFit="1" customWidth="1" min="15361" max="15361" style="36" width="11.6640625"/>
    <col customWidth="1" min="15362" max="15363" style="36" width="11.6640625"/>
    <col bestFit="1" customWidth="1" min="15364" max="15364" style="36" width="15.33203125"/>
    <col customWidth="1" min="15365" max="15365" style="36" width="11.6640625"/>
    <col bestFit="1" customWidth="1" min="15366" max="15366" style="36" width="54.33203125"/>
    <col bestFit="1" customWidth="1" min="15367" max="15367" style="36" width="13.44140625"/>
    <col min="15368" max="15368" style="36" width="10.6640625"/>
    <col bestFit="1" customWidth="1" min="15369" max="15369" style="36" width="11.44140625"/>
    <col min="15370" max="15616" style="36" width="10.6640625"/>
    <col bestFit="1" customWidth="1" min="15617" max="15617" style="36" width="11.6640625"/>
    <col customWidth="1" min="15618" max="15619" style="36" width="11.6640625"/>
    <col bestFit="1" customWidth="1" min="15620" max="15620" style="36" width="15.33203125"/>
    <col customWidth="1" min="15621" max="15621" style="36" width="11.6640625"/>
    <col bestFit="1" customWidth="1" min="15622" max="15622" style="36" width="54.33203125"/>
    <col bestFit="1" customWidth="1" min="15623" max="15623" style="36" width="13.44140625"/>
    <col min="15624" max="15624" style="36" width="10.6640625"/>
    <col bestFit="1" customWidth="1" min="15625" max="15625" style="36" width="11.44140625"/>
    <col min="15626" max="15872" style="36" width="10.6640625"/>
    <col bestFit="1" customWidth="1" min="15873" max="15873" style="36" width="11.6640625"/>
    <col customWidth="1" min="15874" max="15875" style="36" width="11.6640625"/>
    <col bestFit="1" customWidth="1" min="15876" max="15876" style="36" width="15.33203125"/>
    <col customWidth="1" min="15877" max="15877" style="36" width="11.6640625"/>
    <col bestFit="1" customWidth="1" min="15878" max="15878" style="36" width="54.33203125"/>
    <col bestFit="1" customWidth="1" min="15879" max="15879" style="36" width="13.44140625"/>
    <col min="15880" max="15880" style="36" width="10.6640625"/>
    <col bestFit="1" customWidth="1" min="15881" max="15881" style="36" width="11.44140625"/>
    <col min="15882" max="16128" style="36" width="10.6640625"/>
    <col bestFit="1" customWidth="1" min="16129" max="16129" style="36" width="11.6640625"/>
    <col customWidth="1" min="16130" max="16131" style="36" width="11.6640625"/>
    <col bestFit="1" customWidth="1" min="16132" max="16132" style="36" width="15.33203125"/>
    <col customWidth="1" min="16133" max="16133" style="36" width="11.6640625"/>
    <col bestFit="1" customWidth="1" min="16134" max="16134" style="36" width="54.33203125"/>
    <col bestFit="1" customWidth="1" min="16135" max="16135" style="36" width="13.44140625"/>
    <col min="16136" max="16136" style="36" width="10.6640625"/>
    <col bestFit="1" customWidth="1" min="16137" max="16137" style="36" width="11.44140625"/>
    <col min="16138" max="16384" style="36" width="10.6640625"/>
  </cols>
  <sheetData>
    <row r="1" ht="54" customHeight="1">
      <c r="A1" s="449" t="s">
        <v>433</v>
      </c>
      <c r="B1" s="449"/>
      <c r="C1" s="449"/>
      <c r="D1" s="450">
        <f>+'Import balance'!I3</f>
        <v>44957</v>
      </c>
    </row>
    <row r="2" ht="18">
      <c r="A2" s="451"/>
      <c r="B2" s="452"/>
      <c r="C2" s="452"/>
      <c r="D2" s="452"/>
      <c r="E2" s="452"/>
      <c r="F2" s="452"/>
      <c r="G2" s="453">
        <f>+DATE(YEAR(D1),12,31)</f>
        <v>45291</v>
      </c>
      <c r="H2" s="454" t="s">
        <v>434</v>
      </c>
      <c r="I2" s="454"/>
      <c r="J2" s="455"/>
    </row>
    <row r="3" ht="18.600000000000001">
      <c r="A3" s="456"/>
      <c r="B3" s="457"/>
      <c r="C3" s="457"/>
      <c r="D3" s="457"/>
      <c r="E3" s="457"/>
      <c r="F3" s="457"/>
      <c r="G3" s="458"/>
      <c r="H3" s="459">
        <f>+D1</f>
        <v>44957</v>
      </c>
      <c r="I3" s="459"/>
      <c r="J3" s="460"/>
    </row>
    <row r="4" ht="15">
      <c r="A4" s="379" t="s">
        <v>435</v>
      </c>
      <c r="B4" s="461" t="s">
        <v>436</v>
      </c>
      <c r="C4" s="461" t="s">
        <v>437</v>
      </c>
      <c r="D4" s="461" t="s">
        <v>438</v>
      </c>
      <c r="E4" s="461" t="s">
        <v>439</v>
      </c>
      <c r="F4" s="461" t="s">
        <v>306</v>
      </c>
      <c r="G4" s="407" t="s">
        <v>440</v>
      </c>
      <c r="H4" s="407" t="s">
        <v>440</v>
      </c>
      <c r="I4" s="407" t="s">
        <v>441</v>
      </c>
      <c r="J4" s="462" t="s">
        <v>442</v>
      </c>
    </row>
    <row r="5" ht="18">
      <c r="A5" s="463" t="s">
        <v>443</v>
      </c>
      <c r="B5" s="464"/>
      <c r="C5" s="464"/>
      <c r="D5" s="464"/>
      <c r="E5" s="464"/>
      <c r="F5" s="464"/>
      <c r="G5" s="464"/>
      <c r="H5" s="464"/>
      <c r="I5" s="464"/>
      <c r="J5" s="465"/>
    </row>
    <row r="6">
      <c r="A6" s="86"/>
      <c r="B6" s="466"/>
      <c r="C6" s="466"/>
      <c r="D6" s="466"/>
      <c r="E6" s="466"/>
      <c r="F6" s="45" t="str">
        <f>+'Compte résultat prévi'!A7</f>
        <v xml:space="preserve">Droits d'inscription</v>
      </c>
      <c r="G6" s="201">
        <f>'Compte résultat prévi'!C7</f>
        <v>106300</v>
      </c>
      <c r="H6" s="201">
        <f>SUMIF('Hypotheses expl'!$C$3:$N$3,"&lt;"&amp;'Suivi budgétaire'!$D$1,'Hypotheses expl'!C10:N10)</f>
        <v>0</v>
      </c>
      <c r="I6" s="467">
        <f>-SUMIF('Import balance'!$A$2:$A$65537,'Suivi budgétaire'!A6,'Import balance'!$E$2:$E$65537)-SUMIF('Import balance'!$A$2:$A$65537,'Suivi budgétaire'!B6,'Import balance'!$E$2:$E$65537)-SUMIF('Import balance'!$A$2:$A$65537,'Suivi budgétaire'!C6,'Import balance'!$E$2:$E$65537)-SUMIF('Import balance'!$A$2:$A$65537,'Suivi budgétaire'!D6,'Import balance'!$E$2:$E$65537)-SUMIF('Import balance'!$A$2:$A$65537,'Suivi budgétaire'!E6,'Import balance'!$E$2:$E$65537)</f>
        <v>0</v>
      </c>
      <c r="J6" s="468">
        <f t="shared" ref="J6:J9" si="358">+I6-H6</f>
        <v>0</v>
      </c>
    </row>
    <row r="7">
      <c r="A7" s="86"/>
      <c r="B7" s="466"/>
      <c r="C7" s="466"/>
      <c r="D7" s="466"/>
      <c r="E7" s="466"/>
      <c r="F7" s="45" t="str">
        <f>+'Compte résultat prévi'!A8</f>
        <v xml:space="preserve">Frais de selection</v>
      </c>
      <c r="G7" s="201">
        <f>'Compte résultat prévi'!C8</f>
        <v>42800</v>
      </c>
      <c r="H7" s="201">
        <f>SUMIF('Hypotheses expl'!$C$3:$N$3,"&lt;"&amp;'Suivi budgétaire'!$D$1,'Hypotheses expl'!C14:N14)</f>
        <v>0</v>
      </c>
      <c r="I7" s="467">
        <f>-SUMIF('Import balance'!$A$2:$A$65537,'Suivi budgétaire'!A7,'Import balance'!$E$2:$E$65537)-SUMIF('Import balance'!$A$2:$A$65537,'Suivi budgétaire'!B7,'Import balance'!$E$2:$E$65537)-SUMIF('Import balance'!$A$2:$A$65537,'Suivi budgétaire'!C7,'Import balance'!$E$2:$E$65537)-SUMIF('Import balance'!$A$2:$A$65537,'Suivi budgétaire'!D7,'Import balance'!$E$2:$E$65537)-SUMIF('Import balance'!$A$2:$A$65537,'Suivi budgétaire'!E7,'Import balance'!$E$2:$E$65537)</f>
        <v>0</v>
      </c>
      <c r="J7" s="468">
        <f t="shared" si="358"/>
        <v>0</v>
      </c>
    </row>
    <row r="8">
      <c r="A8" s="469"/>
      <c r="B8" s="470"/>
      <c r="C8" s="470"/>
      <c r="D8" s="470"/>
      <c r="E8" s="470"/>
      <c r="F8" s="45" t="str">
        <f>+'Compte résultat prévi'!A9</f>
        <v xml:space="preserve">Conventions formation (CAFERUIS, ALEFPA, Prepa, CNFPT, GAP, Formation perm)</v>
      </c>
      <c r="G8" s="201">
        <f>'Compte résultat prévi'!C9</f>
        <v>218021</v>
      </c>
      <c r="H8" s="201">
        <f>SUMIF('Hypotheses expl'!$C$3:$N$3,"&lt;"&amp;'Suivi budgétaire'!$D$1,'Hypotheses expl'!C18:N18)</f>
        <v>0</v>
      </c>
      <c r="I8" s="467">
        <f>-SUMIF('Import balance'!$A$2:$A$65537,'Suivi budgétaire'!A8,'Import balance'!$E$2:$E$65537)-SUMIF('Import balance'!$A$2:$A$65537,'Suivi budgétaire'!B8,'Import balance'!$E$2:$E$65537)-SUMIF('Import balance'!$A$2:$A$65537,'Suivi budgétaire'!C8,'Import balance'!$E$2:$E$65537)-SUMIF('Import balance'!$A$2:$A$65537,'Suivi budgétaire'!D8,'Import balance'!$E$2:$E$65537)-SUMIF('Import balance'!$A$2:$A$65537,'Suivi budgétaire'!E8,'Import balance'!$E$2:$E$65537)</f>
        <v>0</v>
      </c>
      <c r="J8" s="468">
        <f t="shared" si="358"/>
        <v>0</v>
      </c>
    </row>
    <row r="9">
      <c r="A9" s="471"/>
      <c r="B9" s="472"/>
      <c r="C9" s="472"/>
      <c r="D9" s="470"/>
      <c r="E9" s="470"/>
      <c r="F9" s="45" t="str">
        <f>+'Compte résultat prévi'!A10</f>
        <v xml:space="preserve">Conventions formation CAFERUISE</v>
      </c>
      <c r="G9" s="201">
        <f>'Compte résultat prévi'!C10</f>
        <v>0</v>
      </c>
      <c r="H9" s="201">
        <f>SUMIF('Hypotheses expl'!$C$3:$N$3,"&lt;"&amp;'Suivi budgétaire'!$D$1,'Hypotheses expl'!C22:N22)</f>
        <v>0</v>
      </c>
      <c r="I9" s="467">
        <f>-SUMIF('Import balance'!$A$2:$A$65537,'Suivi budgétaire'!A9,'Import balance'!$E$2:$E$65537)-SUMIF('Import balance'!$A$2:$A$65537,'Suivi budgétaire'!B9,'Import balance'!$E$2:$E$65537)-SUMIF('Import balance'!$A$2:$A$65537,'Suivi budgétaire'!C9,'Import balance'!$E$2:$E$65537)-SUMIF('Import balance'!$A$2:$A$65537,'Suivi budgétaire'!D9,'Import balance'!$E$2:$E$65537)-SUMIF('Import balance'!$A$2:$A$65537,'Suivi budgétaire'!E9,'Import balance'!$E$2:$E$65537)</f>
        <v>0</v>
      </c>
      <c r="J9" s="468">
        <f t="shared" si="358"/>
        <v>0</v>
      </c>
    </row>
    <row r="10">
      <c r="A10" s="472"/>
      <c r="B10" s="472"/>
      <c r="C10" s="472"/>
      <c r="D10" s="470"/>
      <c r="E10" s="470"/>
      <c r="F10" s="45" t="str">
        <f>+'Compte résultat prévi'!A11</f>
        <v>Apprentissage</v>
      </c>
      <c r="G10" s="201">
        <f>'Compte résultat prévi'!C11</f>
        <v>59508</v>
      </c>
      <c r="H10" s="201">
        <f>SUMIF('Hypotheses expl'!$C$3:$N$3,"&lt;"&amp;'Suivi budgétaire'!$D$1,'Hypotheses expl'!C26:N26)</f>
        <v>0</v>
      </c>
      <c r="I10" s="467">
        <f>-SUMIF('Import balance'!$A$2:$A$65537,'Suivi budgétaire'!A10,'Import balance'!$E$2:$E$65537)-SUMIF('Import balance'!$A$2:$A$65537,'Suivi budgétaire'!B10,'Import balance'!$E$2:$E$65537)-SUMIF('Import balance'!$A$2:$A$65537,'Suivi budgétaire'!C10,'Import balance'!$E$2:$E$65537)-SUMIF('Import balance'!$A$2:$A$65537,'Suivi budgétaire'!D10,'Import balance'!$E$2:$E$65537)-SUMIF('Import balance'!$A$2:$A$65537,'Suivi budgétaire'!E10,'Import balance'!$E$2:$E$65537)</f>
        <v>0</v>
      </c>
      <c r="J10" s="468">
        <f t="shared" ref="J10:J43" si="359">+I10-H10</f>
        <v>0</v>
      </c>
    </row>
    <row r="11">
      <c r="A11" s="469"/>
      <c r="B11" s="470"/>
      <c r="C11" s="470"/>
      <c r="D11" s="470"/>
      <c r="E11" s="470"/>
      <c r="F11" s="45" t="str">
        <f>+'Compte résultat prévi'!A12</f>
        <v>VAE</v>
      </c>
      <c r="G11" s="201">
        <f>'Compte résultat prévi'!C12</f>
        <v>33000</v>
      </c>
      <c r="H11" s="201">
        <f>SUMIF('Hypotheses expl'!$C$3:$N$3,"&lt;"&amp;'Suivi budgétaire'!$D$1,'Hypotheses expl'!C30:N30)</f>
        <v>0</v>
      </c>
      <c r="I11" s="467">
        <f>-SUMIF('Import balance'!$A$2:$A$65537,'Suivi budgétaire'!A11,'Import balance'!$E$2:$E$65537)-SUMIF('Import balance'!$A$2:$A$65537,'Suivi budgétaire'!B11,'Import balance'!$E$2:$E$65537)-SUMIF('Import balance'!$A$2:$A$65537,'Suivi budgétaire'!C11,'Import balance'!$E$2:$E$65537)-SUMIF('Import balance'!$A$2:$A$65537,'Suivi budgétaire'!D11,'Import balance'!$E$2:$E$65537)-SUMIF('Import balance'!$A$2:$A$65537,'Suivi budgétaire'!E11,'Import balance'!$E$2:$E$65537)</f>
        <v>0</v>
      </c>
      <c r="J11" s="468">
        <f t="shared" si="359"/>
        <v>0</v>
      </c>
    </row>
    <row r="12">
      <c r="A12" s="469"/>
      <c r="B12" s="470"/>
      <c r="C12" s="470"/>
      <c r="D12" s="470"/>
      <c r="E12" s="470"/>
      <c r="F12" s="45" t="str">
        <f>+'Compte résultat prévi'!A13</f>
        <v xml:space="preserve">Formation continue - micro formation</v>
      </c>
      <c r="G12" s="201">
        <f>'Compte résultat prévi'!C13</f>
        <v>0</v>
      </c>
      <c r="H12" s="201">
        <f>SUMIF('Hypotheses expl'!$C$3:$N$3,"&lt;"&amp;'Suivi budgétaire'!$D$1,'Hypotheses expl'!C34:N34)</f>
        <v>0</v>
      </c>
      <c r="I12" s="467">
        <f>-SUMIF('Import balance'!$A$2:$A$65537,'Suivi budgétaire'!A12,'Import balance'!$E$2:$E$65537)-SUMIF('Import balance'!$A$2:$A$65537,'Suivi budgétaire'!B12,'Import balance'!$E$2:$E$65537)-SUMIF('Import balance'!$A$2:$A$65537,'Suivi budgétaire'!C12,'Import balance'!$E$2:$E$65537)-SUMIF('Import balance'!$A$2:$A$65537,'Suivi budgétaire'!D12,'Import balance'!$E$2:$E$65537)-SUMIF('Import balance'!$A$2:$A$65537,'Suivi budgétaire'!E12,'Import balance'!$E$2:$E$65537)</f>
        <v>0</v>
      </c>
      <c r="J12" s="468">
        <f t="shared" si="359"/>
        <v>0</v>
      </c>
    </row>
    <row r="13">
      <c r="A13" s="469"/>
      <c r="B13" s="470"/>
      <c r="C13" s="470"/>
      <c r="D13" s="470"/>
      <c r="E13" s="470"/>
      <c r="F13" s="45" t="str">
        <f>+'Compte résultat prévi'!A14</f>
        <v>DSB</v>
      </c>
      <c r="G13" s="201">
        <f>'Compte résultat prévi'!C14</f>
        <v>8400</v>
      </c>
      <c r="H13" s="201">
        <f>SUMIF('Hypotheses expl'!$C$3:$N$3,"&lt;"&amp;'Suivi budgétaire'!$D$1,'Hypotheses expl'!C38:N38)</f>
        <v>0</v>
      </c>
      <c r="I13" s="467">
        <f>-SUMIF('Import balance'!$A$2:$A$65537,'Suivi budgétaire'!A13,'Import balance'!$E$2:$E$65537)-SUMIF('Import balance'!$A$2:$A$65537,'Suivi budgétaire'!B13,'Import balance'!$E$2:$E$65537)-SUMIF('Import balance'!$A$2:$A$65537,'Suivi budgétaire'!C13,'Import balance'!$E$2:$E$65537)-SUMIF('Import balance'!$A$2:$A$65537,'Suivi budgétaire'!D13,'Import balance'!$E$2:$E$65537)-SUMIF('Import balance'!$A$2:$A$65537,'Suivi budgétaire'!E13,'Import balance'!$E$2:$E$65537)</f>
        <v>0</v>
      </c>
      <c r="J13" s="468">
        <f t="shared" si="359"/>
        <v>0</v>
      </c>
    </row>
    <row r="14">
      <c r="A14" s="469"/>
      <c r="B14" s="470"/>
      <c r="C14" s="470"/>
      <c r="D14" s="470"/>
      <c r="E14" s="470"/>
      <c r="F14" s="45" t="str">
        <f>+'Compte résultat prévi'!A15</f>
        <v xml:space="preserve">Autres segments de CA</v>
      </c>
      <c r="G14" s="201">
        <f>'Compte résultat prévi'!C15</f>
        <v>0</v>
      </c>
      <c r="H14" s="201">
        <f>SUMIF('Hypotheses expl'!$C$3:$N$3,"&lt;"&amp;'Suivi budgétaire'!$D$1,'Hypotheses expl'!C42:N42)</f>
        <v>0</v>
      </c>
      <c r="I14" s="467">
        <f>-SUMIF('Import balance'!$A$2:$A$65537,'Suivi budgétaire'!A14,'Import balance'!$E$2:$E$65537)-SUMIF('Import balance'!$A$2:$A$65537,'Suivi budgétaire'!B14,'Import balance'!$E$2:$E$65537)-SUMIF('Import balance'!$A$2:$A$65537,'Suivi budgétaire'!C14,'Import balance'!$E$2:$E$65537)-SUMIF('Import balance'!$A$2:$A$65537,'Suivi budgétaire'!D14,'Import balance'!$E$2:$E$65537)-SUMIF('Import balance'!$A$2:$A$65537,'Suivi budgétaire'!E14,'Import balance'!$E$2:$E$65537)</f>
        <v>0</v>
      </c>
      <c r="J14" s="468">
        <f t="shared" si="359"/>
        <v>0</v>
      </c>
    </row>
    <row r="15">
      <c r="A15" s="469"/>
      <c r="B15" s="470"/>
      <c r="C15" s="470"/>
      <c r="D15" s="470"/>
      <c r="E15" s="470"/>
      <c r="F15" s="45" t="str">
        <f>+'Compte résultat prévi'!A16</f>
        <v>Cotisations</v>
      </c>
      <c r="G15" s="201">
        <f>'Compte résultat prévi'!C16</f>
        <v>0</v>
      </c>
      <c r="H15" s="201">
        <f>SUMIF('Hypotheses expl'!$C$3:$N$3,"&lt;"&amp;'Suivi budgétaire'!$D$1,'Hypotheses expl'!C46:N46)</f>
        <v>0</v>
      </c>
      <c r="I15" s="467">
        <f>-SUMIF('Import balance'!$A$2:$A$65537,'Suivi budgétaire'!A15,'Import balance'!$E$2:$E$65537)-SUMIF('Import balance'!$A$2:$A$65537,'Suivi budgétaire'!B15,'Import balance'!$E$2:$E$65537)-SUMIF('Import balance'!$A$2:$A$65537,'Suivi budgétaire'!C15,'Import balance'!$E$2:$E$65537)-SUMIF('Import balance'!$A$2:$A$65537,'Suivi budgétaire'!D15,'Import balance'!$E$2:$E$65537)-SUMIF('Import balance'!$A$2:$A$65537,'Suivi budgétaire'!E15,'Import balance'!$E$2:$E$65537)</f>
        <v>0</v>
      </c>
      <c r="J15" s="468">
        <f t="shared" si="359"/>
        <v>0</v>
      </c>
    </row>
    <row r="16">
      <c r="A16" s="469"/>
      <c r="B16" s="470"/>
      <c r="C16" s="470"/>
      <c r="D16" s="470"/>
      <c r="E16" s="470"/>
      <c r="F16" s="45" t="str">
        <f>+'Compte résultat prévi'!A17</f>
        <v xml:space="preserve">Remboursement frais site Avion</v>
      </c>
      <c r="G16" s="201">
        <f>'Compte résultat prévi'!C17</f>
        <v>22000</v>
      </c>
      <c r="H16" s="201">
        <f>SUMIF('Hypotheses expl'!$C$3:$N$3,"&lt;"&amp;'Suivi budgétaire'!$D$1,'Hypotheses expl'!C50:N50)</f>
        <v>0</v>
      </c>
      <c r="I16" s="467">
        <f>-SUMIF('Import balance'!$A$2:$A$65537,'Suivi budgétaire'!A16,'Import balance'!$E$2:$E$65537)-SUMIF('Import balance'!$A$2:$A$65537,'Suivi budgétaire'!B16,'Import balance'!$E$2:$E$65537)-SUMIF('Import balance'!$A$2:$A$65537,'Suivi budgétaire'!C16,'Import balance'!$E$2:$E$65537)-SUMIF('Import balance'!$A$2:$A$65537,'Suivi budgétaire'!D16,'Import balance'!$E$2:$E$65537)-SUMIF('Import balance'!$A$2:$A$65537,'Suivi budgétaire'!E16,'Import balance'!$E$2:$E$65537)</f>
        <v>0</v>
      </c>
      <c r="J16" s="468">
        <f t="shared" si="359"/>
        <v>0</v>
      </c>
    </row>
    <row r="17">
      <c r="A17" s="469"/>
      <c r="B17" s="470"/>
      <c r="C17" s="470"/>
      <c r="D17" s="470"/>
      <c r="E17" s="470"/>
      <c r="F17" s="45" t="e">
        <f t="shared" ref="F17:F20" si="360">+'Compte résultat prévi'!#REF!</f>
        <v>#REF!</v>
      </c>
      <c r="G17" s="201" t="e">
        <f t="shared" ref="G17:G20" si="361">'Compte résultat prévi'!#REF!</f>
        <v>#REF!</v>
      </c>
      <c r="H17" s="201">
        <f>SUMIF('Hypotheses expl'!$C$3:$N$3,"&lt;"&amp;'Suivi budgétaire'!$D$1,'Hypotheses expl'!C54:N54)</f>
        <v>0</v>
      </c>
      <c r="I17" s="467">
        <f>-SUMIF('Import balance'!$A$2:$A$65537,'Suivi budgétaire'!A17,'Import balance'!$E$2:$E$65537)-SUMIF('Import balance'!$A$2:$A$65537,'Suivi budgétaire'!B17,'Import balance'!$E$2:$E$65537)-SUMIF('Import balance'!$A$2:$A$65537,'Suivi budgétaire'!C17,'Import balance'!$E$2:$E$65537)-SUMIF('Import balance'!$A$2:$A$65537,'Suivi budgétaire'!D17,'Import balance'!$E$2:$E$65537)-SUMIF('Import balance'!$A$2:$A$65537,'Suivi budgétaire'!E17,'Import balance'!$E$2:$E$65537)</f>
        <v>0</v>
      </c>
      <c r="J17" s="468">
        <f t="shared" si="359"/>
        <v>0</v>
      </c>
    </row>
    <row r="18">
      <c r="A18" s="469"/>
      <c r="B18" s="470"/>
      <c r="C18" s="470"/>
      <c r="D18" s="470"/>
      <c r="E18" s="470"/>
      <c r="F18" s="45" t="e">
        <f t="shared" si="360"/>
        <v>#REF!</v>
      </c>
      <c r="G18" s="201" t="e">
        <f t="shared" si="361"/>
        <v>#REF!</v>
      </c>
      <c r="H18" s="201">
        <f>SUMIF('Hypotheses expl'!$C$3:$N$3,"&lt;"&amp;'Suivi budgétaire'!$D$1,'Hypotheses expl'!C58:N58)</f>
        <v>0</v>
      </c>
      <c r="I18" s="467">
        <f>-SUMIF('Import balance'!$A$2:$A$65537,'Suivi budgétaire'!A18,'Import balance'!$E$2:$E$65537)-SUMIF('Import balance'!$A$2:$A$65537,'Suivi budgétaire'!B18,'Import balance'!$E$2:$E$65537)-SUMIF('Import balance'!$A$2:$A$65537,'Suivi budgétaire'!C18,'Import balance'!$E$2:$E$65537)-SUMIF('Import balance'!$A$2:$A$65537,'Suivi budgétaire'!D18,'Import balance'!$E$2:$E$65537)-SUMIF('Import balance'!$A$2:$A$65537,'Suivi budgétaire'!E18,'Import balance'!$E$2:$E$65537)</f>
        <v>0</v>
      </c>
      <c r="J18" s="468">
        <f t="shared" si="359"/>
        <v>0</v>
      </c>
    </row>
    <row r="19">
      <c r="A19" s="469"/>
      <c r="B19" s="470"/>
      <c r="C19" s="470"/>
      <c r="D19" s="470"/>
      <c r="E19" s="470"/>
      <c r="F19" s="45" t="e">
        <f t="shared" si="360"/>
        <v>#REF!</v>
      </c>
      <c r="G19" s="201" t="e">
        <f t="shared" si="361"/>
        <v>#REF!</v>
      </c>
      <c r="H19" s="201">
        <f>SUMIF('Hypotheses expl'!$C$3:$N$3,"&lt;"&amp;'Suivi budgétaire'!$D$1,'Hypotheses expl'!C62:N62)</f>
        <v>0</v>
      </c>
      <c r="I19" s="467">
        <f>-SUMIF('Import balance'!$A$2:$A$65537,'Suivi budgétaire'!A19,'Import balance'!$E$2:$E$65537)-SUMIF('Import balance'!$A$2:$A$65537,'Suivi budgétaire'!B19,'Import balance'!$E$2:$E$65537)-SUMIF('Import balance'!$A$2:$A$65537,'Suivi budgétaire'!C19,'Import balance'!$E$2:$E$65537)-SUMIF('Import balance'!$A$2:$A$65537,'Suivi budgétaire'!D19,'Import balance'!$E$2:$E$65537)-SUMIF('Import balance'!$A$2:$A$65537,'Suivi budgétaire'!E19,'Import balance'!$E$2:$E$65537)</f>
        <v>0</v>
      </c>
      <c r="J19" s="468">
        <f t="shared" si="359"/>
        <v>0</v>
      </c>
    </row>
    <row r="20">
      <c r="A20" s="469"/>
      <c r="B20" s="470"/>
      <c r="C20" s="470"/>
      <c r="D20" s="470"/>
      <c r="E20" s="470"/>
      <c r="F20" s="45" t="e">
        <f t="shared" si="360"/>
        <v>#REF!</v>
      </c>
      <c r="G20" s="201" t="e">
        <f t="shared" si="361"/>
        <v>#REF!</v>
      </c>
      <c r="H20" s="201">
        <f>SUMIF('Hypotheses expl'!$C$3:$N$3,"&lt;"&amp;'Suivi budgétaire'!$D$1,'Hypotheses expl'!C66:N66)</f>
        <v>0</v>
      </c>
      <c r="I20" s="467">
        <f>-SUMIF('Import balance'!$A$2:$A$65537,'Suivi budgétaire'!A20,'Import balance'!$E$2:$E$65537)-SUMIF('Import balance'!$A$2:$A$65537,'Suivi budgétaire'!B20,'Import balance'!$E$2:$E$65537)-SUMIF('Import balance'!$A$2:$A$65537,'Suivi budgétaire'!C20,'Import balance'!$E$2:$E$65537)-SUMIF('Import balance'!$A$2:$A$65537,'Suivi budgétaire'!D20,'Import balance'!$E$2:$E$65537)-SUMIF('Import balance'!$A$2:$A$65537,'Suivi budgétaire'!E20,'Import balance'!$E$2:$E$65537)</f>
        <v>0</v>
      </c>
      <c r="J20" s="468">
        <f t="shared" si="359"/>
        <v>0</v>
      </c>
    </row>
    <row r="21" ht="18">
      <c r="A21" s="473" t="s">
        <v>444</v>
      </c>
      <c r="B21" s="474"/>
      <c r="C21" s="474"/>
      <c r="D21" s="474"/>
      <c r="E21" s="474"/>
      <c r="F21" s="474"/>
      <c r="G21" s="474"/>
      <c r="H21" s="474"/>
      <c r="I21" s="474"/>
      <c r="J21" s="475"/>
    </row>
    <row r="22">
      <c r="A22" s="86"/>
      <c r="B22" s="476"/>
      <c r="C22" s="476"/>
      <c r="D22" s="476"/>
      <c r="E22" s="476"/>
      <c r="F22" s="477" t="str">
        <f>'Compte résultat prévi'!A19</f>
        <v>Région</v>
      </c>
      <c r="G22" s="201">
        <f>'Compte résultat prévi'!C19</f>
        <v>1620000</v>
      </c>
      <c r="H22" s="201">
        <f>SUMIF('Hypotheses expl'!$C$6:$N$6,"&lt;"&amp;'Suivi budgétaire'!$D$1,'Hypotheses expl'!C70:N70)</f>
        <v>0</v>
      </c>
      <c r="I22" s="201">
        <f>-SUMIF('Import balance'!$A$2:$A$65537,'Suivi budgétaire'!A22,'Import balance'!$E$2:$E$65537)-SUMIF('Import balance'!$A$2:$A$65537,'Suivi budgétaire'!B22,'Import balance'!$E$2:$E$65537)-SUMIF('Import balance'!$A$2:$A$65537,'Suivi budgétaire'!C22,'Import balance'!$E$2:$E$65537)-SUMIF('Import balance'!$A$2:$A$65537,'Suivi budgétaire'!D22,'Import balance'!$E$2:$E$65537)-SUMIF('Import balance'!$A$2:$A$65537,'Suivi budgétaire'!E22,'Import balance'!$E$2:$E$65537)</f>
        <v>0</v>
      </c>
      <c r="J22" s="468">
        <f t="shared" si="359"/>
        <v>0</v>
      </c>
    </row>
    <row r="23">
      <c r="A23" s="86"/>
      <c r="B23" s="466"/>
      <c r="C23" s="466"/>
      <c r="D23" s="466"/>
      <c r="E23" s="466"/>
      <c r="F23" s="477" t="str">
        <f>'Compte résultat prévi'!A20</f>
        <v>Département</v>
      </c>
      <c r="G23" s="201">
        <f>'Compte résultat prévi'!C20</f>
        <v>9200</v>
      </c>
      <c r="H23" s="201">
        <f>SUMIF('Hypotheses expl'!$C$6:$N$6,"&lt;"&amp;'Suivi budgétaire'!$D$1,'Hypotheses expl'!C71:N71)</f>
        <v>0</v>
      </c>
      <c r="I23" s="201">
        <f>-SUMIF('Import balance'!$A$2:$A$65537,'Suivi budgétaire'!A23,'Import balance'!$E$2:$E$65537)-SUMIF('Import balance'!$A$2:$A$65537,'Suivi budgétaire'!B23,'Import balance'!$E$2:$E$65537)-SUMIF('Import balance'!$A$2:$A$65537,'Suivi budgétaire'!C23,'Import balance'!$E$2:$E$65537)-SUMIF('Import balance'!$A$2:$A$65537,'Suivi budgétaire'!D23,'Import balance'!$E$2:$E$65537)-SUMIF('Import balance'!$A$2:$A$65537,'Suivi budgétaire'!E23,'Import balance'!$E$2:$E$65537)</f>
        <v>0</v>
      </c>
      <c r="J23" s="468">
        <f t="shared" si="359"/>
        <v>0</v>
      </c>
    </row>
    <row r="24">
      <c r="A24" s="86"/>
      <c r="B24" s="466"/>
      <c r="C24" s="466"/>
      <c r="D24" s="466"/>
      <c r="E24" s="466"/>
      <c r="F24" s="477" t="str">
        <f>'Compte résultat prévi'!A21</f>
        <v>Communes</v>
      </c>
      <c r="G24" s="201">
        <f>'Compte résultat prévi'!C21</f>
        <v>10000</v>
      </c>
      <c r="H24" s="201">
        <f>SUMIF('Hypotheses expl'!$C$6:$N$6,"&lt;"&amp;'Suivi budgétaire'!$D$1,'Hypotheses expl'!C72:N72)</f>
        <v>0</v>
      </c>
      <c r="I24" s="201">
        <f>-SUMIF('Import balance'!$A$2:$A$65537,'Suivi budgétaire'!A24,'Import balance'!$E$2:$E$65537)-SUMIF('Import balance'!$A$2:$A$65537,'Suivi budgétaire'!B24,'Import balance'!$E$2:$E$65537)-SUMIF('Import balance'!$A$2:$A$65537,'Suivi budgétaire'!C24,'Import balance'!$E$2:$E$65537)-SUMIF('Import balance'!$A$2:$A$65537,'Suivi budgétaire'!D24,'Import balance'!$E$2:$E$65537)-SUMIF('Import balance'!$A$2:$A$65537,'Suivi budgétaire'!E24,'Import balance'!$E$2:$E$65537)</f>
        <v>0</v>
      </c>
      <c r="J24" s="468">
        <f t="shared" si="359"/>
        <v>0</v>
      </c>
    </row>
    <row r="25">
      <c r="A25" s="469"/>
      <c r="B25" s="470"/>
      <c r="C25" s="470"/>
      <c r="D25" s="470"/>
      <c r="E25" s="470"/>
      <c r="F25" s="477" t="str">
        <f>'Compte résultat prévi'!A22</f>
        <v xml:space="preserve">Autres financeurs</v>
      </c>
      <c r="G25" s="201">
        <f>'Compte résultat prévi'!C22</f>
        <v>5000</v>
      </c>
      <c r="H25" s="201">
        <f>SUMIF('Hypotheses expl'!$C$6:$N$6,"&lt;"&amp;'Suivi budgétaire'!$D$1,'Hypotheses expl'!C73:N73)</f>
        <v>0</v>
      </c>
      <c r="I25" s="201">
        <f>-SUMIF('Import balance'!$A$2:$A$65537,'Suivi budgétaire'!A25,'Import balance'!$E$2:$E$65537)-SUMIF('Import balance'!$A$2:$A$65537,'Suivi budgétaire'!B25,'Import balance'!$E$2:$E$65537)-SUMIF('Import balance'!$A$2:$A$65537,'Suivi budgétaire'!C25,'Import balance'!$E$2:$E$65537)-SUMIF('Import balance'!$A$2:$A$65537,'Suivi budgétaire'!D25,'Import balance'!$E$2:$E$65537)-SUMIF('Import balance'!$A$2:$A$65537,'Suivi budgétaire'!E25,'Import balance'!$E$2:$E$65537)</f>
        <v>0</v>
      </c>
      <c r="J25" s="468">
        <f t="shared" si="359"/>
        <v>0</v>
      </c>
    </row>
    <row r="26">
      <c r="A26" s="86"/>
      <c r="B26" s="470"/>
      <c r="C26" s="470"/>
      <c r="D26" s="470"/>
      <c r="E26" s="470"/>
      <c r="F26" s="477" t="str">
        <f>'Compte résultat prévi'!A23</f>
        <v xml:space="preserve">Aides à l'emploi</v>
      </c>
      <c r="G26" s="201">
        <f>'Compte résultat prévi'!C23</f>
        <v>1993.5799999999999</v>
      </c>
      <c r="H26" s="201">
        <f>SUMIF('Hypotheses expl'!$C$6:$N$6,"&lt;"&amp;'Suivi budgétaire'!$D$1,'Hypotheses expl'!C74:N74)</f>
        <v>664.52499999999998</v>
      </c>
      <c r="I26" s="201">
        <f>-SUMIF('Import balance'!$A$2:$A$65537,'Suivi budgétaire'!A26,'Import balance'!$E$2:$E$65537)-SUMIF('Import balance'!$A$2:$A$65537,'Suivi budgétaire'!B26,'Import balance'!$E$2:$E$65537)-SUMIF('Import balance'!$A$2:$A$65537,'Suivi budgétaire'!C26,'Import balance'!$E$2:$E$65537)-SUMIF('Import balance'!$A$2:$A$65537,'Suivi budgétaire'!D26,'Import balance'!$E$2:$E$65537)-SUMIF('Import balance'!$A$2:$A$65537,'Suivi budgétaire'!E26,'Import balance'!$E$2:$E$65537)</f>
        <v>0</v>
      </c>
      <c r="J26" s="468">
        <f t="shared" si="359"/>
        <v>-664.52499999999998</v>
      </c>
    </row>
    <row r="27">
      <c r="A27" s="469"/>
      <c r="B27" s="470"/>
      <c r="C27" s="470"/>
      <c r="D27" s="470"/>
      <c r="E27" s="470"/>
      <c r="F27" s="477" t="str">
        <f>'Compte résultat prévi'!A24</f>
        <v xml:space="preserve">Aide apprentissage</v>
      </c>
      <c r="G27" s="201">
        <f>'Compte résultat prévi'!C24</f>
        <v>8000</v>
      </c>
      <c r="H27" s="201">
        <f>SUMIF('Hypotheses expl'!$C$6:$N$6,"&lt;"&amp;'Suivi budgétaire'!$D$1,'Hypotheses expl'!C75:N75)</f>
        <v>666.66666666666663</v>
      </c>
      <c r="I27" s="201">
        <f>-SUMIF('Import balance'!$A$2:$A$65537,'Suivi budgétaire'!A27,'Import balance'!$E$2:$E$65537)-SUMIF('Import balance'!$A$2:$A$65537,'Suivi budgétaire'!B27,'Import balance'!$E$2:$E$65537)-SUMIF('Import balance'!$A$2:$A$65537,'Suivi budgétaire'!C27,'Import balance'!$E$2:$E$65537)-SUMIF('Import balance'!$A$2:$A$65537,'Suivi budgétaire'!D27,'Import balance'!$E$2:$E$65537)-SUMIF('Import balance'!$A$2:$A$65537,'Suivi budgétaire'!E27,'Import balance'!$E$2:$E$65537)</f>
        <v>0</v>
      </c>
      <c r="J27" s="468">
        <f t="shared" si="359"/>
        <v>-666.66666666666663</v>
      </c>
    </row>
    <row r="28">
      <c r="A28" s="469"/>
      <c r="B28" s="470"/>
      <c r="C28" s="470"/>
      <c r="D28" s="470"/>
      <c r="E28" s="470"/>
      <c r="F28" s="477" t="str">
        <f>'Compte résultat prévi'!A25</f>
        <v xml:space="preserve">Financeur 7</v>
      </c>
      <c r="G28" s="201">
        <f>'Compte résultat prévi'!C25</f>
        <v>0</v>
      </c>
      <c r="H28" s="201">
        <f>SUMIF('Hypotheses expl'!$C$6:$N$6,"&lt;"&amp;'Suivi budgétaire'!$D$1,'Hypotheses expl'!C76:N76)</f>
        <v>0</v>
      </c>
      <c r="I28" s="201">
        <f>-SUMIF('Import balance'!$A$2:$A$65537,'Suivi budgétaire'!A28,'Import balance'!$E$2:$E$65537)-SUMIF('Import balance'!$A$2:$A$65537,'Suivi budgétaire'!B28,'Import balance'!$E$2:$E$65537)-SUMIF('Import balance'!$A$2:$A$65537,'Suivi budgétaire'!C28,'Import balance'!$E$2:$E$65537)-SUMIF('Import balance'!$A$2:$A$65537,'Suivi budgétaire'!D28,'Import balance'!$E$2:$E$65537)-SUMIF('Import balance'!$A$2:$A$65537,'Suivi budgétaire'!E28,'Import balance'!$E$2:$E$65537)</f>
        <v>0</v>
      </c>
      <c r="J28" s="468">
        <f t="shared" si="359"/>
        <v>0</v>
      </c>
    </row>
    <row r="29">
      <c r="A29" s="86"/>
      <c r="B29" s="470"/>
      <c r="C29" s="470"/>
      <c r="D29" s="470"/>
      <c r="E29" s="470"/>
      <c r="F29" s="477" t="str">
        <f>'Compte résultat prévi'!A26</f>
        <v xml:space="preserve">Financeur 8</v>
      </c>
      <c r="G29" s="201">
        <f>'Compte résultat prévi'!C26</f>
        <v>0</v>
      </c>
      <c r="H29" s="201">
        <f>SUMIF('Hypotheses expl'!$C$6:$N$6,"&lt;"&amp;'Suivi budgétaire'!$D$1,'Hypotheses expl'!C77:N77)</f>
        <v>0</v>
      </c>
      <c r="I29" s="201">
        <f>-SUMIF('Import balance'!$A$2:$A$65537,'Suivi budgétaire'!A29,'Import balance'!$E$2:$E$65537)-SUMIF('Import balance'!$A$2:$A$65537,'Suivi budgétaire'!B29,'Import balance'!$E$2:$E$65537)-SUMIF('Import balance'!$A$2:$A$65537,'Suivi budgétaire'!C29,'Import balance'!$E$2:$E$65537)-SUMIF('Import balance'!$A$2:$A$65537,'Suivi budgétaire'!D29,'Import balance'!$E$2:$E$65537)-SUMIF('Import balance'!$A$2:$A$65537,'Suivi budgétaire'!E29,'Import balance'!$E$2:$E$65537)</f>
        <v>0</v>
      </c>
      <c r="J29" s="468">
        <f t="shared" si="359"/>
        <v>0</v>
      </c>
    </row>
    <row r="30">
      <c r="A30" s="86"/>
      <c r="B30" s="470"/>
      <c r="C30" s="470"/>
      <c r="D30" s="470"/>
      <c r="E30" s="470"/>
      <c r="F30" s="477" t="str">
        <f>'Compte résultat prévi'!A27</f>
        <v xml:space="preserve">Financeur 9</v>
      </c>
      <c r="G30" s="201">
        <f>'Compte résultat prévi'!C27</f>
        <v>0</v>
      </c>
      <c r="H30" s="201">
        <f>SUMIF('Hypotheses expl'!$C$6:$N$6,"&lt;"&amp;'Suivi budgétaire'!$D$1,'Hypotheses expl'!C78:N78)</f>
        <v>0</v>
      </c>
      <c r="I30" s="201">
        <f>-SUMIF('Import balance'!$A$2:$A$65537,'Suivi budgétaire'!A30,'Import balance'!$E$2:$E$65537)-SUMIF('Import balance'!$A$2:$A$65537,'Suivi budgétaire'!B30,'Import balance'!$E$2:$E$65537)-SUMIF('Import balance'!$A$2:$A$65537,'Suivi budgétaire'!C30,'Import balance'!$E$2:$E$65537)-SUMIF('Import balance'!$A$2:$A$65537,'Suivi budgétaire'!D30,'Import balance'!$E$2:$E$65537)-SUMIF('Import balance'!$A$2:$A$65537,'Suivi budgétaire'!E30,'Import balance'!$E$2:$E$65537)</f>
        <v>0</v>
      </c>
      <c r="J30" s="468">
        <f t="shared" si="359"/>
        <v>0</v>
      </c>
    </row>
    <row r="31">
      <c r="A31" s="86"/>
      <c r="B31" s="470"/>
      <c r="C31" s="470"/>
      <c r="D31" s="470"/>
      <c r="E31" s="470"/>
      <c r="F31" s="477" t="str">
        <f>'Compte résultat prévi'!A28</f>
        <v xml:space="preserve">Financeur 10</v>
      </c>
      <c r="G31" s="201">
        <f>'Compte résultat prévi'!C28</f>
        <v>0</v>
      </c>
      <c r="H31" s="201">
        <f>SUMIF('Hypotheses expl'!$C$6:$N$6,"&lt;"&amp;'Suivi budgétaire'!$D$1,'Hypotheses expl'!C79:N79)</f>
        <v>0</v>
      </c>
      <c r="I31" s="201">
        <f>-SUMIF('Import balance'!$A$2:$A$65537,'Suivi budgétaire'!A31,'Import balance'!$E$2:$E$65537)-SUMIF('Import balance'!$A$2:$A$65537,'Suivi budgétaire'!B31,'Import balance'!$E$2:$E$65537)-SUMIF('Import balance'!$A$2:$A$65537,'Suivi budgétaire'!C31,'Import balance'!$E$2:$E$65537)-SUMIF('Import balance'!$A$2:$A$65537,'Suivi budgétaire'!D31,'Import balance'!$E$2:$E$65537)-SUMIF('Import balance'!$A$2:$A$65537,'Suivi budgétaire'!E31,'Import balance'!$E$2:$E$65537)</f>
        <v>0</v>
      </c>
      <c r="J31" s="468">
        <f t="shared" si="359"/>
        <v>0</v>
      </c>
    </row>
    <row r="32">
      <c r="A32" s="471"/>
      <c r="B32" s="472"/>
      <c r="C32" s="472"/>
      <c r="D32" s="472"/>
      <c r="E32" s="472"/>
      <c r="F32" s="477" t="str">
        <f>'Compte résultat prévi'!A29</f>
        <v xml:space="preserve">Financeur 11</v>
      </c>
      <c r="G32" s="201">
        <f>'Compte résultat prévi'!C29</f>
        <v>0</v>
      </c>
      <c r="H32" s="201">
        <f>SUMIF('Hypotheses expl'!$C$6:$N$6,"&lt;"&amp;'Suivi budgétaire'!$D$1,'Hypotheses expl'!C80:N80)</f>
        <v>0</v>
      </c>
      <c r="I32" s="201">
        <f>-SUMIF('Import balance'!$A$2:$A$65537,'Suivi budgétaire'!A32,'Import balance'!$E$2:$E$65537)-SUMIF('Import balance'!$A$2:$A$65537,'Suivi budgétaire'!B32,'Import balance'!$E$2:$E$65537)-SUMIF('Import balance'!$A$2:$A$65537,'Suivi budgétaire'!C32,'Import balance'!$E$2:$E$65537)-SUMIF('Import balance'!$A$2:$A$65537,'Suivi budgétaire'!D32,'Import balance'!$E$2:$E$65537)-SUMIF('Import balance'!$A$2:$A$65537,'Suivi budgétaire'!E32,'Import balance'!$E$2:$E$65537)</f>
        <v>0</v>
      </c>
      <c r="J32" s="468">
        <f t="shared" si="359"/>
        <v>0</v>
      </c>
    </row>
    <row r="33">
      <c r="A33" s="469"/>
      <c r="B33" s="470"/>
      <c r="C33" s="470"/>
      <c r="D33" s="470"/>
      <c r="E33" s="470"/>
      <c r="F33" s="477" t="str">
        <f>'Compte résultat prévi'!A30</f>
        <v xml:space="preserve">Financeur 12</v>
      </c>
      <c r="G33" s="201">
        <f>'Compte résultat prévi'!C30</f>
        <v>0</v>
      </c>
      <c r="H33" s="201">
        <f>SUMIF('Hypotheses expl'!$C$6:$N$6,"&lt;"&amp;'Suivi budgétaire'!$D$1,'Hypotheses expl'!C81:N81)</f>
        <v>0</v>
      </c>
      <c r="I33" s="201">
        <f>-SUMIF('Import balance'!$A$2:$A$65537,'Suivi budgétaire'!A33,'Import balance'!$E$2:$E$65537)-SUMIF('Import balance'!$A$2:$A$65537,'Suivi budgétaire'!B33,'Import balance'!$E$2:$E$65537)-SUMIF('Import balance'!$A$2:$A$65537,'Suivi budgétaire'!C33,'Import balance'!$E$2:$E$65537)-SUMIF('Import balance'!$A$2:$A$65537,'Suivi budgétaire'!D33,'Import balance'!$E$2:$E$65537)-SUMIF('Import balance'!$A$2:$A$65537,'Suivi budgétaire'!E33,'Import balance'!$E$2:$E$65537)</f>
        <v>0</v>
      </c>
      <c r="J33" s="468">
        <f t="shared" si="359"/>
        <v>0</v>
      </c>
    </row>
    <row r="34">
      <c r="A34" s="469"/>
      <c r="B34" s="470"/>
      <c r="C34" s="470"/>
      <c r="D34" s="470"/>
      <c r="E34" s="470"/>
      <c r="F34" s="477" t="str">
        <f>'Compte résultat prévi'!A31</f>
        <v xml:space="preserve">Financeur 13</v>
      </c>
      <c r="G34" s="201">
        <f>'Compte résultat prévi'!C31</f>
        <v>0</v>
      </c>
      <c r="H34" s="201">
        <f>SUMIF('Hypotheses expl'!$C$6:$N$6,"&lt;"&amp;'Suivi budgétaire'!$D$1,'Hypotheses expl'!C82:N82)</f>
        <v>0</v>
      </c>
      <c r="I34" s="201">
        <f>-SUMIF('Import balance'!$A$2:$A$65537,'Suivi budgétaire'!A34,'Import balance'!$E$2:$E$65537)-SUMIF('Import balance'!$A$2:$A$65537,'Suivi budgétaire'!B34,'Import balance'!$E$2:$E$65537)-SUMIF('Import balance'!$A$2:$A$65537,'Suivi budgétaire'!C34,'Import balance'!$E$2:$E$65537)-SUMIF('Import balance'!$A$2:$A$65537,'Suivi budgétaire'!D34,'Import balance'!$E$2:$E$65537)-SUMIF('Import balance'!$A$2:$A$65537,'Suivi budgétaire'!E34,'Import balance'!$E$2:$E$65537)</f>
        <v>0</v>
      </c>
      <c r="J34" s="468">
        <f t="shared" si="359"/>
        <v>0</v>
      </c>
    </row>
    <row r="35">
      <c r="A35" s="86"/>
      <c r="B35" s="470"/>
      <c r="C35" s="470"/>
      <c r="D35" s="470"/>
      <c r="E35" s="470"/>
      <c r="F35" s="477" t="str">
        <f>'Compte résultat prévi'!A32</f>
        <v xml:space="preserve">Financeur 14</v>
      </c>
      <c r="G35" s="201">
        <f>'Compte résultat prévi'!C32</f>
        <v>0</v>
      </c>
      <c r="H35" s="201">
        <f>SUMIF('Hypotheses expl'!$C$6:$N$6,"&lt;"&amp;'Suivi budgétaire'!$D$1,'Hypotheses expl'!C83:N83)</f>
        <v>0</v>
      </c>
      <c r="I35" s="201">
        <f>-SUMIF('Import balance'!$A$2:$A$65537,'Suivi budgétaire'!A35,'Import balance'!$E$2:$E$65537)-SUMIF('Import balance'!$A$2:$A$65537,'Suivi budgétaire'!B35,'Import balance'!$E$2:$E$65537)-SUMIF('Import balance'!$A$2:$A$65537,'Suivi budgétaire'!C35,'Import balance'!$E$2:$E$65537)-SUMIF('Import balance'!$A$2:$A$65537,'Suivi budgétaire'!D35,'Import balance'!$E$2:$E$65537)-SUMIF('Import balance'!$A$2:$A$65537,'Suivi budgétaire'!E35,'Import balance'!$E$2:$E$65537)</f>
        <v>0</v>
      </c>
      <c r="J35" s="468">
        <f t="shared" si="359"/>
        <v>0</v>
      </c>
    </row>
    <row r="36">
      <c r="A36" s="469"/>
      <c r="B36" s="470"/>
      <c r="C36" s="470"/>
      <c r="D36" s="470"/>
      <c r="E36" s="470"/>
      <c r="F36" s="477" t="str">
        <f>'Compte résultat prévi'!A33</f>
        <v xml:space="preserve">Financeur 15</v>
      </c>
      <c r="G36" s="201">
        <f>'Compte résultat prévi'!C33</f>
        <v>0</v>
      </c>
      <c r="H36" s="201">
        <f>SUMIF('Hypotheses expl'!$C$6:$N$6,"&lt;"&amp;'Suivi budgétaire'!$D$1,'Hypotheses expl'!C84:N84)</f>
        <v>0</v>
      </c>
      <c r="I36" s="201">
        <f>-SUMIF('Import balance'!$A$2:$A$65537,'Suivi budgétaire'!A36,'Import balance'!$E$2:$E$65537)-SUMIF('Import balance'!$A$2:$A$65537,'Suivi budgétaire'!B36,'Import balance'!$E$2:$E$65537)-SUMIF('Import balance'!$A$2:$A$65537,'Suivi budgétaire'!C36,'Import balance'!$E$2:$E$65537)-SUMIF('Import balance'!$A$2:$A$65537,'Suivi budgétaire'!D36,'Import balance'!$E$2:$E$65537)-SUMIF('Import balance'!$A$2:$A$65537,'Suivi budgétaire'!E36,'Import balance'!$E$2:$E$65537)</f>
        <v>0</v>
      </c>
      <c r="J36" s="468">
        <f t="shared" si="359"/>
        <v>0</v>
      </c>
    </row>
    <row r="37">
      <c r="A37" s="469"/>
      <c r="B37" s="470"/>
      <c r="C37" s="470"/>
      <c r="D37" s="470"/>
      <c r="E37" s="470"/>
      <c r="F37" s="477" t="str">
        <f>'Compte résultat prévi'!A34</f>
        <v xml:space="preserve">Financeur 16</v>
      </c>
      <c r="G37" s="201">
        <f>'Compte résultat prévi'!C34</f>
        <v>0</v>
      </c>
      <c r="H37" s="201">
        <f>SUMIF('Hypotheses expl'!$C$6:$N$6,"&lt;"&amp;'Suivi budgétaire'!$D$1,'Hypotheses expl'!C85:N85)</f>
        <v>0</v>
      </c>
      <c r="I37" s="201">
        <f>-SUMIF('Import balance'!$A$2:$A$65537,'Suivi budgétaire'!A37,'Import balance'!$E$2:$E$65537)-SUMIF('Import balance'!$A$2:$A$65537,'Suivi budgétaire'!B37,'Import balance'!$E$2:$E$65537)-SUMIF('Import balance'!$A$2:$A$65537,'Suivi budgétaire'!C37,'Import balance'!$E$2:$E$65537)-SUMIF('Import balance'!$A$2:$A$65537,'Suivi budgétaire'!D37,'Import balance'!$E$2:$E$65537)-SUMIF('Import balance'!$A$2:$A$65537,'Suivi budgétaire'!E37,'Import balance'!$E$2:$E$65537)</f>
        <v>0</v>
      </c>
      <c r="J37" s="468">
        <f t="shared" si="359"/>
        <v>0</v>
      </c>
    </row>
    <row r="38">
      <c r="A38" s="469"/>
      <c r="B38" s="470"/>
      <c r="C38" s="470"/>
      <c r="D38" s="470"/>
      <c r="E38" s="470"/>
      <c r="F38" s="477" t="str">
        <f>'Compte résultat prévi'!A35</f>
        <v xml:space="preserve">Financeur 17</v>
      </c>
      <c r="G38" s="201">
        <f>'Compte résultat prévi'!C35</f>
        <v>0</v>
      </c>
      <c r="H38" s="201">
        <f>SUMIF('Hypotheses expl'!$C$6:$N$6,"&lt;"&amp;'Suivi budgétaire'!$D$1,'Hypotheses expl'!C86:N86)</f>
        <v>0</v>
      </c>
      <c r="I38" s="201">
        <f>-SUMIF('Import balance'!$A$2:$A$65537,'Suivi budgétaire'!A38,'Import balance'!$E$2:$E$65537)-SUMIF('Import balance'!$A$2:$A$65537,'Suivi budgétaire'!B38,'Import balance'!$E$2:$E$65537)-SUMIF('Import balance'!$A$2:$A$65537,'Suivi budgétaire'!C38,'Import balance'!$E$2:$E$65537)-SUMIF('Import balance'!$A$2:$A$65537,'Suivi budgétaire'!D38,'Import balance'!$E$2:$E$65537)-SUMIF('Import balance'!$A$2:$A$65537,'Suivi budgétaire'!E38,'Import balance'!$E$2:$E$65537)</f>
        <v>0</v>
      </c>
      <c r="J38" s="468">
        <f t="shared" si="359"/>
        <v>0</v>
      </c>
    </row>
    <row r="39">
      <c r="A39" s="469"/>
      <c r="B39" s="470"/>
      <c r="C39" s="470"/>
      <c r="D39" s="470"/>
      <c r="E39" s="470"/>
      <c r="F39" s="477" t="str">
        <f>'Compte résultat prévi'!A36</f>
        <v xml:space="preserve">Financeur 18</v>
      </c>
      <c r="G39" s="201">
        <f>'Compte résultat prévi'!C36</f>
        <v>0</v>
      </c>
      <c r="H39" s="201">
        <f>SUMIF('Hypotheses expl'!$C$6:$N$6,"&lt;"&amp;'Suivi budgétaire'!$D$1,'Hypotheses expl'!C87:N87)</f>
        <v>0</v>
      </c>
      <c r="I39" s="201">
        <f>-SUMIF('Import balance'!$A$2:$A$65537,'Suivi budgétaire'!A39,'Import balance'!$E$2:$E$65537)-SUMIF('Import balance'!$A$2:$A$65537,'Suivi budgétaire'!B39,'Import balance'!$E$2:$E$65537)-SUMIF('Import balance'!$A$2:$A$65537,'Suivi budgétaire'!C39,'Import balance'!$E$2:$E$65537)-SUMIF('Import balance'!$A$2:$A$65537,'Suivi budgétaire'!D39,'Import balance'!$E$2:$E$65537)-SUMIF('Import balance'!$A$2:$A$65537,'Suivi budgétaire'!E39,'Import balance'!$E$2:$E$65537)</f>
        <v>0</v>
      </c>
      <c r="J39" s="468">
        <f t="shared" si="359"/>
        <v>0</v>
      </c>
    </row>
    <row r="40">
      <c r="A40" s="469"/>
      <c r="B40" s="470"/>
      <c r="C40" s="470"/>
      <c r="D40" s="470"/>
      <c r="E40" s="470"/>
      <c r="F40" s="477" t="str">
        <f>'Compte résultat prévi'!A37</f>
        <v xml:space="preserve">Financeur 19</v>
      </c>
      <c r="G40" s="201">
        <f>'Compte résultat prévi'!C37</f>
        <v>0</v>
      </c>
      <c r="H40" s="201">
        <f>SUMIF('Hypotheses expl'!$C$6:$N$6,"&lt;"&amp;'Suivi budgétaire'!$D$1,'Hypotheses expl'!C88:N88)</f>
        <v>0</v>
      </c>
      <c r="I40" s="201">
        <f>-SUMIF('Import balance'!$A$2:$A$65537,'Suivi budgétaire'!A40,'Import balance'!$E$2:$E$65537)-SUMIF('Import balance'!$A$2:$A$65537,'Suivi budgétaire'!B40,'Import balance'!$E$2:$E$65537)-SUMIF('Import balance'!$A$2:$A$65537,'Suivi budgétaire'!C40,'Import balance'!$E$2:$E$65537)-SUMIF('Import balance'!$A$2:$A$65537,'Suivi budgétaire'!D40,'Import balance'!$E$2:$E$65537)-SUMIF('Import balance'!$A$2:$A$65537,'Suivi budgétaire'!E40,'Import balance'!$E$2:$E$65537)</f>
        <v>0</v>
      </c>
      <c r="J40" s="468">
        <f t="shared" si="359"/>
        <v>0</v>
      </c>
    </row>
    <row r="41">
      <c r="A41" s="469"/>
      <c r="B41" s="470"/>
      <c r="C41" s="470"/>
      <c r="D41" s="470"/>
      <c r="E41" s="470"/>
      <c r="F41" s="477" t="str">
        <f>'Compte résultat prévi'!A38</f>
        <v xml:space="preserve">Financeur 20</v>
      </c>
      <c r="G41" s="201">
        <f>'Compte résultat prévi'!C38</f>
        <v>0</v>
      </c>
      <c r="H41" s="201">
        <f>SUMIF('Hypotheses expl'!$C$6:$N$6,"&lt;"&amp;'Suivi budgétaire'!$D$1,'Hypotheses expl'!C89:N89)</f>
        <v>0</v>
      </c>
      <c r="I41" s="201">
        <f>-SUMIF('Import balance'!$A$2:$A$65537,'Suivi budgétaire'!A41,'Import balance'!$E$2:$E$65537)-SUMIF('Import balance'!$A$2:$A$65537,'Suivi budgétaire'!B41,'Import balance'!$E$2:$E$65537)-SUMIF('Import balance'!$A$2:$A$65537,'Suivi budgétaire'!C41,'Import balance'!$E$2:$E$65537)-SUMIF('Import balance'!$A$2:$A$65537,'Suivi budgétaire'!D41,'Import balance'!$E$2:$E$65537)-SUMIF('Import balance'!$A$2:$A$65537,'Suivi budgétaire'!E41,'Import balance'!$E$2:$E$65537)</f>
        <v>0</v>
      </c>
      <c r="J41" s="468">
        <f t="shared" si="359"/>
        <v>0</v>
      </c>
    </row>
    <row r="42" ht="18">
      <c r="A42" s="473" t="s">
        <v>445</v>
      </c>
      <c r="B42" s="474"/>
      <c r="C42" s="474"/>
      <c r="D42" s="474"/>
      <c r="E42" s="474"/>
      <c r="F42" s="474"/>
      <c r="G42" s="474"/>
      <c r="H42" s="474"/>
      <c r="I42" s="474"/>
      <c r="J42" s="475"/>
    </row>
    <row r="43" ht="15">
      <c r="A43" s="478"/>
      <c r="B43" s="479"/>
      <c r="C43" s="480"/>
      <c r="D43" s="480"/>
      <c r="E43" s="481"/>
      <c r="F43" s="482" t="s">
        <v>446</v>
      </c>
      <c r="G43" s="483">
        <f>'Compte résultat prévi'!C39+'Compte résultat prévi'!C40+'Compte résultat prévi'!C41+'Compte résultat prévi'!C112+'Compte résultat prévi'!C119</f>
        <v>6000</v>
      </c>
      <c r="H43" s="483">
        <f>G43/12*MONTH(D1)</f>
        <v>500</v>
      </c>
      <c r="I43" s="483">
        <f>-SUMIF('Import balance'!$F$2:$F$65537,7,'Import balance'!$E$2:$E$65537)-SUM(I6:I20,I22:I41)</f>
        <v>0</v>
      </c>
      <c r="J43" s="484">
        <f t="shared" si="359"/>
        <v>-500</v>
      </c>
    </row>
    <row r="44" ht="15">
      <c r="A44" s="485"/>
      <c r="B44" s="485"/>
    </row>
    <row r="45" ht="18.600000000000001">
      <c r="A45" s="218" t="s">
        <v>447</v>
      </c>
      <c r="B45" s="486"/>
      <c r="C45" s="486"/>
      <c r="D45" s="486"/>
      <c r="E45" s="486"/>
      <c r="F45" s="486"/>
      <c r="G45" s="220" t="e">
        <f>+SUM(G6:G20,G22:G41,G43)</f>
        <v>#REF!</v>
      </c>
      <c r="H45" s="220">
        <f t="shared" ref="H45:J45" si="362">+SUM(H6:H20,H22:H41,H43)</f>
        <v>1831.1916666666666</v>
      </c>
      <c r="I45" s="220">
        <f>+SUM(I6:I20,I22:I41,I43)</f>
        <v>0</v>
      </c>
      <c r="J45" s="220">
        <f t="shared" si="362"/>
        <v>-1831.1916666666666</v>
      </c>
    </row>
    <row r="46" ht="18.600000000000001">
      <c r="A46" s="487"/>
      <c r="B46" s="487"/>
      <c r="C46" s="487"/>
      <c r="D46" s="487"/>
      <c r="E46" s="487"/>
      <c r="F46" s="487"/>
      <c r="G46" s="225"/>
      <c r="H46" s="225"/>
      <c r="I46" s="225"/>
      <c r="J46" s="488"/>
    </row>
    <row r="47" ht="18">
      <c r="A47" s="489" t="s">
        <v>448</v>
      </c>
      <c r="B47" s="490"/>
      <c r="C47" s="490"/>
      <c r="D47" s="490"/>
      <c r="E47" s="490"/>
      <c r="F47" s="490"/>
      <c r="G47" s="490"/>
      <c r="H47" s="490"/>
      <c r="I47" s="490"/>
      <c r="J47" s="491"/>
    </row>
    <row r="48" ht="15.6">
      <c r="A48" s="492" t="str">
        <f>'Compte résultat prévi'!A45</f>
        <v xml:space="preserve">Achats/Frais généraux</v>
      </c>
      <c r="B48" s="493"/>
      <c r="C48" s="493"/>
      <c r="D48" s="493"/>
      <c r="E48" s="493"/>
      <c r="F48" s="493"/>
      <c r="G48" s="493"/>
      <c r="H48" s="493"/>
      <c r="I48" s="493"/>
      <c r="J48" s="494"/>
    </row>
    <row r="49">
      <c r="A49" s="495"/>
      <c r="B49" s="496"/>
      <c r="C49" s="496"/>
      <c r="D49" s="496"/>
      <c r="E49" s="496"/>
      <c r="F49" s="45" t="str">
        <f>'Compte résultat prévi'!A46</f>
        <v xml:space="preserve">Voyage SENEGAL</v>
      </c>
      <c r="G49" s="497">
        <f>'Compte résultat prévi'!C46</f>
        <v>0</v>
      </c>
      <c r="H49" s="201">
        <f>SUMIF('Hypotheses expl'!$C$6:$N$6,"&lt;"&amp;'Suivi budgétaire'!$D$1,'Hypotheses expl'!C101:N101)</f>
        <v>0</v>
      </c>
      <c r="I49" s="201">
        <f>SUMIF('Import balance'!$A$2:$A$65537,'Suivi budgétaire'!A49,'Import balance'!$E$2:$E$65537)+SUMIF('Import balance'!$A$2:$A$65537,'Suivi budgétaire'!B49,'Import balance'!$E$2:$E$65537)+SUMIF('Import balance'!$A$2:$A$65537,'Suivi budgétaire'!C49,'Import balance'!$E$2:$E$65537)+SUMIF('Import balance'!$A$2:$A$65537,'Suivi budgétaire'!D49,'Import balance'!$E$2:$E$65537)+SUMIF('Import balance'!$A$2:$A$65537,'Suivi budgétaire'!E49,'Import balance'!$E$2:$E$65537)</f>
        <v>0</v>
      </c>
      <c r="J49" s="202">
        <f t="shared" ref="J49:J107" si="363">I49-H49</f>
        <v>0</v>
      </c>
    </row>
    <row r="50">
      <c r="A50" s="498"/>
      <c r="B50" s="499"/>
      <c r="C50" s="499"/>
      <c r="D50" s="499"/>
      <c r="E50" s="499"/>
      <c r="F50" s="45" t="str">
        <f>'Compte résultat prévi'!A47</f>
        <v>STC</v>
      </c>
      <c r="G50" s="497">
        <f>'Compte résultat prévi'!C47</f>
        <v>0</v>
      </c>
      <c r="H50" s="201">
        <f>SUMIF('Hypotheses expl'!$C$6:$N$6,"&lt;"&amp;'Suivi budgétaire'!$D$1,'Hypotheses expl'!C102:N102)</f>
        <v>0</v>
      </c>
      <c r="I50" s="201">
        <f>SUMIF('Import balance'!$A$2:$A$65537,'Suivi budgétaire'!A50,'Import balance'!$E$2:$E$65537)+SUMIF('Import balance'!$A$2:$A$65537,'Suivi budgétaire'!B50,'Import balance'!$E$2:$E$65537)+SUMIF('Import balance'!$A$2:$A$65537,'Suivi budgétaire'!C50,'Import balance'!$E$2:$E$65537)+SUMIF('Import balance'!$A$2:$A$65537,'Suivi budgétaire'!D50,'Import balance'!$E$2:$E$65537)+SUMIF('Import balance'!$A$2:$A$65537,'Suivi budgétaire'!E50,'Import balance'!$E$2:$E$65537)</f>
        <v>0</v>
      </c>
      <c r="J50" s="202">
        <f t="shared" si="363"/>
        <v>0</v>
      </c>
    </row>
    <row r="51">
      <c r="A51" s="498"/>
      <c r="B51" s="499"/>
      <c r="C51" s="499"/>
      <c r="D51" s="499"/>
      <c r="E51" s="499"/>
      <c r="F51" s="45" t="str">
        <f>'Compte résultat prévi'!A48</f>
        <v xml:space="preserve">Projet Voltaire et autres</v>
      </c>
      <c r="G51" s="497">
        <f>'Compte résultat prévi'!C48</f>
        <v>0</v>
      </c>
      <c r="H51" s="201">
        <f>SUMIF('Hypotheses expl'!$C$6:$N$6,"&lt;"&amp;'Suivi budgétaire'!$D$1,'Hypotheses expl'!C103:N103)</f>
        <v>0</v>
      </c>
      <c r="I51" s="201">
        <f>SUMIF('Import balance'!$A$2:$A$65537,'Suivi budgétaire'!A51,'Import balance'!$E$2:$E$65537)+SUMIF('Import balance'!$A$2:$A$65537,'Suivi budgétaire'!B51,'Import balance'!$E$2:$E$65537)+SUMIF('Import balance'!$A$2:$A$65537,'Suivi budgétaire'!C51,'Import balance'!$E$2:$E$65537)+SUMIF('Import balance'!$A$2:$A$65537,'Suivi budgétaire'!D51,'Import balance'!$E$2:$E$65537)+SUMIF('Import balance'!$A$2:$A$65537,'Suivi budgétaire'!E51,'Import balance'!$E$2:$E$65537)</f>
        <v>0</v>
      </c>
      <c r="J51" s="202">
        <f t="shared" si="363"/>
        <v>0</v>
      </c>
    </row>
    <row r="52">
      <c r="A52" s="498"/>
      <c r="B52" s="499"/>
      <c r="C52" s="499"/>
      <c r="D52" s="499"/>
      <c r="E52" s="499"/>
      <c r="F52" s="45" t="str">
        <f>'Compte résultat prévi'!A49</f>
        <v xml:space="preserve">Carre potager</v>
      </c>
      <c r="G52" s="497">
        <f>'Compte résultat prévi'!C49</f>
        <v>1200</v>
      </c>
      <c r="H52" s="201">
        <f>SUMIF('Hypotheses expl'!$C$6:$N$6,"&lt;"&amp;'Suivi budgétaire'!$D$1,'Hypotheses expl'!C104:N104)</f>
        <v>100</v>
      </c>
      <c r="I52" s="201">
        <f>SUMIF('Import balance'!$A$2:$A$65537,'Suivi budgétaire'!A52,'Import balance'!$E$2:$E$65537)+SUMIF('Import balance'!$A$2:$A$65537,'Suivi budgétaire'!B52,'Import balance'!$E$2:$E$65537)+SUMIF('Import balance'!$A$2:$A$65537,'Suivi budgétaire'!C52,'Import balance'!$E$2:$E$65537)+SUMIF('Import balance'!$A$2:$A$65537,'Suivi budgétaire'!D52,'Import balance'!$E$2:$E$65537)+SUMIF('Import balance'!$A$2:$A$65537,'Suivi budgétaire'!E52,'Import balance'!$E$2:$E$65537)</f>
        <v>0</v>
      </c>
      <c r="J52" s="202">
        <f t="shared" si="363"/>
        <v>-100</v>
      </c>
    </row>
    <row r="53">
      <c r="A53" s="498"/>
      <c r="B53" s="499"/>
      <c r="C53" s="499"/>
      <c r="D53" s="499"/>
      <c r="E53" s="499"/>
      <c r="F53" s="45" t="str">
        <f>'Compte résultat prévi'!A50</f>
        <v>Carburant</v>
      </c>
      <c r="G53" s="497">
        <f>'Compte résultat prévi'!C50</f>
        <v>1500</v>
      </c>
      <c r="H53" s="201">
        <f>SUMIF('Hypotheses expl'!$C$6:$N$6,"&lt;"&amp;'Suivi budgétaire'!$D$1,'Hypotheses expl'!C105:N105)</f>
        <v>125</v>
      </c>
      <c r="I53" s="201">
        <f>SUMIF('Import balance'!$A$2:$A$65537,'Suivi budgétaire'!A53,'Import balance'!$E$2:$E$65537)+SUMIF('Import balance'!$A$2:$A$65537,'Suivi budgétaire'!B53,'Import balance'!$E$2:$E$65537)+SUMIF('Import balance'!$A$2:$A$65537,'Suivi budgétaire'!C53,'Import balance'!$E$2:$E$65537)+SUMIF('Import balance'!$A$2:$A$65537,'Suivi budgétaire'!D53,'Import balance'!$E$2:$E$65537)+SUMIF('Import balance'!$A$2:$A$65537,'Suivi budgétaire'!E53,'Import balance'!$E$2:$E$65537)</f>
        <v>0</v>
      </c>
      <c r="J53" s="202">
        <f t="shared" si="363"/>
        <v>-125</v>
      </c>
    </row>
    <row r="54">
      <c r="A54" s="498"/>
      <c r="B54" s="499"/>
      <c r="C54" s="499"/>
      <c r="D54" s="499"/>
      <c r="E54" s="499"/>
      <c r="F54" s="45" t="str">
        <f>'Compte résultat prévi'!A51</f>
        <v xml:space="preserve">Produits d'entretien</v>
      </c>
      <c r="G54" s="497">
        <f>'Compte résultat prévi'!C51</f>
        <v>2500</v>
      </c>
      <c r="H54" s="201">
        <f>SUMIF('Hypotheses expl'!$C$6:$N$6,"&lt;"&amp;'Suivi budgétaire'!$D$1,'Hypotheses expl'!C106:N106)</f>
        <v>208.33333333333334</v>
      </c>
      <c r="I54" s="201">
        <f>SUMIF('Import balance'!$A$2:$A$65537,'Suivi budgétaire'!A54,'Import balance'!$E$2:$E$65537)+SUMIF('Import balance'!$A$2:$A$65537,'Suivi budgétaire'!B54,'Import balance'!$E$2:$E$65537)+SUMIF('Import balance'!$A$2:$A$65537,'Suivi budgétaire'!C54,'Import balance'!$E$2:$E$65537)+SUMIF('Import balance'!$A$2:$A$65537,'Suivi budgétaire'!D54,'Import balance'!$E$2:$E$65537)+SUMIF('Import balance'!$A$2:$A$65537,'Suivi budgétaire'!E54,'Import balance'!$E$2:$E$65537)</f>
        <v>0</v>
      </c>
      <c r="J54" s="202">
        <f t="shared" si="363"/>
        <v>-208.33333333333334</v>
      </c>
    </row>
    <row r="55">
      <c r="A55" s="498"/>
      <c r="B55" s="499"/>
      <c r="C55" s="499"/>
      <c r="D55" s="499"/>
      <c r="E55" s="499"/>
      <c r="F55" s="45" t="str">
        <f>'Compte résultat prévi'!A52</f>
        <v xml:space="preserve">Petites fournitures</v>
      </c>
      <c r="G55" s="497">
        <f>'Compte résultat prévi'!C52</f>
        <v>20000</v>
      </c>
      <c r="H55" s="201">
        <f>SUMIF('Hypotheses expl'!$C$6:$N$6,"&lt;"&amp;'Suivi budgétaire'!$D$1,'Hypotheses expl'!C107:N107)</f>
        <v>1666.6666666666667</v>
      </c>
      <c r="I55" s="201">
        <f>SUMIF('Import balance'!$A$2:$A$65537,'Suivi budgétaire'!A55,'Import balance'!$E$2:$E$65537)+SUMIF('Import balance'!$A$2:$A$65537,'Suivi budgétaire'!B55,'Import balance'!$E$2:$E$65537)+SUMIF('Import balance'!$A$2:$A$65537,'Suivi budgétaire'!C55,'Import balance'!$E$2:$E$65537)+SUMIF('Import balance'!$A$2:$A$65537,'Suivi budgétaire'!D55,'Import balance'!$E$2:$E$65537)+SUMIF('Import balance'!$A$2:$A$65537,'Suivi budgétaire'!E55,'Import balance'!$E$2:$E$65537)</f>
        <v>0</v>
      </c>
      <c r="J55" s="202">
        <f t="shared" si="363"/>
        <v>-1666.6666666666667</v>
      </c>
    </row>
    <row r="56">
      <c r="A56" s="498"/>
      <c r="B56" s="499"/>
      <c r="C56" s="499"/>
      <c r="D56" s="499"/>
      <c r="E56" s="499"/>
      <c r="F56" s="45" t="str">
        <f>'Compte résultat prévi'!A53</f>
        <v xml:space="preserve">Photocopies et frais éducatifs</v>
      </c>
      <c r="G56" s="497">
        <f>'Compte résultat prévi'!C53</f>
        <v>9000</v>
      </c>
      <c r="H56" s="201">
        <f>SUMIF('Hypotheses expl'!$C$6:$N$6,"&lt;"&amp;'Suivi budgétaire'!$D$1,'Hypotheses expl'!C108:N108)</f>
        <v>750</v>
      </c>
      <c r="I56" s="201">
        <f>SUMIF('Import balance'!$A$2:$A$65537,'Suivi budgétaire'!A56,'Import balance'!$E$2:$E$65537)+SUMIF('Import balance'!$A$2:$A$65537,'Suivi budgétaire'!B56,'Import balance'!$E$2:$E$65537)+SUMIF('Import balance'!$A$2:$A$65537,'Suivi budgétaire'!C56,'Import balance'!$E$2:$E$65537)+SUMIF('Import balance'!$A$2:$A$65537,'Suivi budgétaire'!D56,'Import balance'!$E$2:$E$65537)+SUMIF('Import balance'!$A$2:$A$65537,'Suivi budgétaire'!E56,'Import balance'!$E$2:$E$65537)</f>
        <v>0</v>
      </c>
      <c r="J56" s="202">
        <f t="shared" si="363"/>
        <v>-750</v>
      </c>
    </row>
    <row r="57">
      <c r="A57" s="498"/>
      <c r="B57" s="499"/>
      <c r="C57" s="499"/>
      <c r="D57" s="499"/>
      <c r="E57" s="499"/>
      <c r="F57" s="45" t="str">
        <f>'Compte résultat prévi'!A54</f>
        <v xml:space="preserve">Sous-traitance générale</v>
      </c>
      <c r="G57" s="497">
        <f>'Compte résultat prévi'!C54</f>
        <v>4000</v>
      </c>
      <c r="H57" s="201">
        <f>SUMIF('Hypotheses expl'!$C$6:$N$6,"&lt;"&amp;'Suivi budgétaire'!$D$1,'Hypotheses expl'!C109:N109)</f>
        <v>0</v>
      </c>
      <c r="I57" s="201">
        <f>SUMIF('Import balance'!$A$2:$A$65537,'Suivi budgétaire'!A57,'Import balance'!$E$2:$E$65537)+SUMIF('Import balance'!$A$2:$A$65537,'Suivi budgétaire'!B57,'Import balance'!$E$2:$E$65537)+SUMIF('Import balance'!$A$2:$A$65537,'Suivi budgétaire'!C57,'Import balance'!$E$2:$E$65537)+SUMIF('Import balance'!$A$2:$A$65537,'Suivi budgétaire'!D57,'Import balance'!$E$2:$E$65537)+SUMIF('Import balance'!$A$2:$A$65537,'Suivi budgétaire'!E57,'Import balance'!$E$2:$E$65537)</f>
        <v>0</v>
      </c>
      <c r="J57" s="202">
        <f t="shared" si="363"/>
        <v>0</v>
      </c>
    </row>
    <row r="58">
      <c r="A58" s="498"/>
      <c r="B58" s="499"/>
      <c r="C58" s="499"/>
      <c r="D58" s="499"/>
      <c r="E58" s="499"/>
      <c r="F58" s="45" t="str">
        <f>'Compte résultat prévi'!A55</f>
        <v xml:space="preserve">Stages techniques</v>
      </c>
      <c r="G58" s="497">
        <f>'Compte résultat prévi'!C55</f>
        <v>0</v>
      </c>
      <c r="H58" s="201">
        <f>SUMIF('Hypotheses expl'!$C$6:$N$6,"&lt;"&amp;'Suivi budgétaire'!$D$1,'Hypotheses expl'!C110:N110)</f>
        <v>0</v>
      </c>
      <c r="I58" s="201">
        <f>SUMIF('Import balance'!$A$2:$A$65537,'Suivi budgétaire'!A58,'Import balance'!$E$2:$E$65537)+SUMIF('Import balance'!$A$2:$A$65537,'Suivi budgétaire'!B58,'Import balance'!$E$2:$E$65537)+SUMIF('Import balance'!$A$2:$A$65537,'Suivi budgétaire'!C58,'Import balance'!$E$2:$E$65537)+SUMIF('Import balance'!$A$2:$A$65537,'Suivi budgétaire'!D58,'Import balance'!$E$2:$E$65537)+SUMIF('Import balance'!$A$2:$A$65537,'Suivi budgétaire'!E58,'Import balance'!$E$2:$E$65537)</f>
        <v>0</v>
      </c>
      <c r="J58" s="202">
        <f t="shared" si="363"/>
        <v>0</v>
      </c>
    </row>
    <row r="59">
      <c r="A59" s="498"/>
      <c r="B59" s="499"/>
      <c r="C59" s="499"/>
      <c r="D59" s="499"/>
      <c r="E59" s="499"/>
      <c r="F59" s="45" t="str">
        <f>'Compte résultat prévi'!A56</f>
        <v xml:space="preserve">Prestataires formation</v>
      </c>
      <c r="G59" s="497">
        <f>'Compte résultat prévi'!C56</f>
        <v>73943.100000000006</v>
      </c>
      <c r="H59" s="201">
        <f>SUMIF('Hypotheses expl'!$C$6:$N$6,"&lt;"&amp;'Suivi budgétaire'!$D$1,'Hypotheses expl'!C111:N111)</f>
        <v>6745.2000000000007</v>
      </c>
      <c r="I59" s="201">
        <f>SUMIF('Import balance'!$A$2:$A$65537,'Suivi budgétaire'!A59,'Import balance'!$E$2:$E$65537)+SUMIF('Import balance'!$A$2:$A$65537,'Suivi budgétaire'!B59,'Import balance'!$E$2:$E$65537)+SUMIF('Import balance'!$A$2:$A$65537,'Suivi budgétaire'!C59,'Import balance'!$E$2:$E$65537)+SUMIF('Import balance'!$A$2:$A$65537,'Suivi budgétaire'!D59,'Import balance'!$E$2:$E$65537)+SUMIF('Import balance'!$A$2:$A$65537,'Suivi budgétaire'!E59,'Import balance'!$E$2:$E$65537)</f>
        <v>0</v>
      </c>
      <c r="J59" s="202">
        <f t="shared" si="363"/>
        <v>-6745.2000000000007</v>
      </c>
    </row>
    <row r="60">
      <c r="A60" s="498"/>
      <c r="B60" s="499"/>
      <c r="C60" s="499"/>
      <c r="D60" s="499"/>
      <c r="E60" s="499"/>
      <c r="F60" s="45" t="str">
        <f>'Compte résultat prévi'!A57</f>
        <v xml:space="preserve">Location immobilière</v>
      </c>
      <c r="G60" s="497">
        <f>'Compte résultat prévi'!C57</f>
        <v>236440</v>
      </c>
      <c r="H60" s="201">
        <f>SUMIF('Hypotheses expl'!$C$6:$N$6,"&lt;"&amp;'Suivi budgétaire'!$D$1,'Hypotheses expl'!C112:N112)</f>
        <v>59110</v>
      </c>
      <c r="I60" s="201">
        <f>SUMIF('Import balance'!$A$2:$A$65537,'Suivi budgétaire'!A60,'Import balance'!$E$2:$E$65537)+SUMIF('Import balance'!$A$2:$A$65537,'Suivi budgétaire'!B60,'Import balance'!$E$2:$E$65537)+SUMIF('Import balance'!$A$2:$A$65537,'Suivi budgétaire'!C60,'Import balance'!$E$2:$E$65537)+SUMIF('Import balance'!$A$2:$A$65537,'Suivi budgétaire'!D60,'Import balance'!$E$2:$E$65537)+SUMIF('Import balance'!$A$2:$A$65537,'Suivi budgétaire'!E60,'Import balance'!$E$2:$E$65537)</f>
        <v>0</v>
      </c>
      <c r="J60" s="202">
        <f t="shared" si="363"/>
        <v>-59110</v>
      </c>
    </row>
    <row r="61">
      <c r="A61" s="498"/>
      <c r="B61" s="499"/>
      <c r="C61" s="499"/>
      <c r="D61" s="499"/>
      <c r="E61" s="499"/>
      <c r="F61" s="45" t="str">
        <f>'Compte résultat prévi'!A58</f>
        <v xml:space="preserve">Location mobilière</v>
      </c>
      <c r="G61" s="497">
        <f>'Compte résultat prévi'!C58</f>
        <v>21433.999999999996</v>
      </c>
      <c r="H61" s="201">
        <f>SUMIF('Hypotheses expl'!$C$6:$N$6,"&lt;"&amp;'Suivi budgétaire'!$D$1,'Hypotheses expl'!C113:N113)</f>
        <v>5152.833333333333</v>
      </c>
      <c r="I61" s="201">
        <f>SUMIF('Import balance'!$A$2:$A$65537,'Suivi budgétaire'!A61,'Import balance'!$E$2:$E$65537)+SUMIF('Import balance'!$A$2:$A$65537,'Suivi budgétaire'!B61,'Import balance'!$E$2:$E$65537)+SUMIF('Import balance'!$A$2:$A$65537,'Suivi budgétaire'!C61,'Import balance'!$E$2:$E$65537)+SUMIF('Import balance'!$A$2:$A$65537,'Suivi budgétaire'!D61,'Import balance'!$E$2:$E$65537)+SUMIF('Import balance'!$A$2:$A$65537,'Suivi budgétaire'!E61,'Import balance'!$E$2:$E$65537)</f>
        <v>0</v>
      </c>
      <c r="J61" s="202">
        <f t="shared" si="363"/>
        <v>-5152.833333333333</v>
      </c>
    </row>
    <row r="62">
      <c r="A62" s="498"/>
      <c r="B62" s="499"/>
      <c r="C62" s="499"/>
      <c r="D62" s="499"/>
      <c r="E62" s="499"/>
      <c r="F62" s="45" t="str">
        <f>'Compte résultat prévi'!A59</f>
        <v xml:space="preserve">Entretien sur locaux</v>
      </c>
      <c r="G62" s="497">
        <f>'Compte résultat prévi'!C59</f>
        <v>11000</v>
      </c>
      <c r="H62" s="201">
        <f>SUMIF('Hypotheses expl'!$C$6:$N$6,"&lt;"&amp;'Suivi budgétaire'!$D$1,'Hypotheses expl'!C114:N114)</f>
        <v>2750</v>
      </c>
      <c r="I62" s="201">
        <f>SUMIF('Import balance'!$A$2:$A$65537,'Suivi budgétaire'!A62,'Import balance'!$E$2:$E$65537)+SUMIF('Import balance'!$A$2:$A$65537,'Suivi budgétaire'!B62,'Import balance'!$E$2:$E$65537)+SUMIF('Import balance'!$A$2:$A$65537,'Suivi budgétaire'!C62,'Import balance'!$E$2:$E$65537)+SUMIF('Import balance'!$A$2:$A$65537,'Suivi budgétaire'!D62,'Import balance'!$E$2:$E$65537)+SUMIF('Import balance'!$A$2:$A$65537,'Suivi budgétaire'!E62,'Import balance'!$E$2:$E$65537)</f>
        <v>0</v>
      </c>
      <c r="J62" s="202">
        <f t="shared" si="363"/>
        <v>-2750</v>
      </c>
    </row>
    <row r="63">
      <c r="A63" s="498"/>
      <c r="B63" s="499"/>
      <c r="C63" s="499"/>
      <c r="D63" s="499"/>
      <c r="E63" s="499"/>
      <c r="F63" s="45" t="str">
        <f>'Compte résultat prévi'!A60</f>
        <v xml:space="preserve">Maintenance  générale</v>
      </c>
      <c r="G63" s="497">
        <f>'Compte résultat prévi'!C60</f>
        <v>10092</v>
      </c>
      <c r="H63" s="201">
        <f>SUMIF('Hypotheses expl'!$C$6:$N$6,"&lt;"&amp;'Suivi budgétaire'!$D$1,'Hypotheses expl'!C115:N115)</f>
        <v>841</v>
      </c>
      <c r="I63" s="201">
        <f>SUMIF('Import balance'!$A$2:$A$65537,'Suivi budgétaire'!A63,'Import balance'!$E$2:$E$65537)+SUMIF('Import balance'!$A$2:$A$65537,'Suivi budgétaire'!B63,'Import balance'!$E$2:$E$65537)+SUMIF('Import balance'!$A$2:$A$65537,'Suivi budgétaire'!C63,'Import balance'!$E$2:$E$65537)+SUMIF('Import balance'!$A$2:$A$65537,'Suivi budgétaire'!D63,'Import balance'!$E$2:$E$65537)+SUMIF('Import balance'!$A$2:$A$65537,'Suivi budgétaire'!E63,'Import balance'!$E$2:$E$65537)</f>
        <v>0</v>
      </c>
      <c r="J63" s="202">
        <f t="shared" si="363"/>
        <v>-841</v>
      </c>
    </row>
    <row r="64">
      <c r="A64" s="498"/>
      <c r="B64" s="499"/>
      <c r="C64" s="499"/>
      <c r="D64" s="499"/>
      <c r="E64" s="499"/>
      <c r="F64" s="45" t="str">
        <f>'Compte résultat prévi'!A61</f>
        <v>Assurance</v>
      </c>
      <c r="G64" s="497">
        <f>'Compte résultat prévi'!C61</f>
        <v>10600</v>
      </c>
      <c r="H64" s="201">
        <f>SUMIF('Hypotheses expl'!$C$6:$N$6,"&lt;"&amp;'Suivi budgétaire'!$D$1,'Hypotheses expl'!C116:N116)</f>
        <v>883.33333333333337</v>
      </c>
      <c r="I64" s="201">
        <f>SUMIF('Import balance'!$A$2:$A$65537,'Suivi budgétaire'!A64,'Import balance'!$E$2:$E$65537)+SUMIF('Import balance'!$A$2:$A$65537,'Suivi budgétaire'!B64,'Import balance'!$E$2:$E$65537)+SUMIF('Import balance'!$A$2:$A$65537,'Suivi budgétaire'!C64,'Import balance'!$E$2:$E$65537)+SUMIF('Import balance'!$A$2:$A$65537,'Suivi budgétaire'!D64,'Import balance'!$E$2:$E$65537)+SUMIF('Import balance'!$A$2:$A$65537,'Suivi budgétaire'!E64,'Import balance'!$E$2:$E$65537)</f>
        <v>0</v>
      </c>
      <c r="J64" s="202">
        <f t="shared" si="363"/>
        <v>-883.33333333333337</v>
      </c>
    </row>
    <row r="65">
      <c r="A65" s="498"/>
      <c r="B65" s="499"/>
      <c r="C65" s="499"/>
      <c r="D65" s="499"/>
      <c r="E65" s="499"/>
      <c r="F65" s="45" t="str">
        <f>'Compte résultat prévi'!A62</f>
        <v>Documentation</v>
      </c>
      <c r="G65" s="497">
        <f>'Compte résultat prévi'!C62</f>
        <v>15000</v>
      </c>
      <c r="H65" s="201">
        <f>SUMIF('Hypotheses expl'!$C$6:$N$6,"&lt;"&amp;'Suivi budgétaire'!$D$1,'Hypotheses expl'!C117:N117)</f>
        <v>1250</v>
      </c>
      <c r="I65" s="201">
        <f>SUMIF('Import balance'!$A$2:$A$65537,'Suivi budgétaire'!A65,'Import balance'!$E$2:$E$65537)+SUMIF('Import balance'!$A$2:$A$65537,'Suivi budgétaire'!B65,'Import balance'!$E$2:$E$65537)+SUMIF('Import balance'!$A$2:$A$65537,'Suivi budgétaire'!C65,'Import balance'!$E$2:$E$65537)+SUMIF('Import balance'!$A$2:$A$65537,'Suivi budgétaire'!D65,'Import balance'!$E$2:$E$65537)+SUMIF('Import balance'!$A$2:$A$65537,'Suivi budgétaire'!E65,'Import balance'!$E$2:$E$65537)</f>
        <v>0</v>
      </c>
      <c r="J65" s="202">
        <f t="shared" si="363"/>
        <v>-1250</v>
      </c>
    </row>
    <row r="66">
      <c r="A66" s="498"/>
      <c r="B66" s="499"/>
      <c r="C66" s="499"/>
      <c r="D66" s="499"/>
      <c r="E66" s="499"/>
      <c r="F66" s="45" t="str">
        <f>'Compte résultat prévi'!A63</f>
        <v xml:space="preserve">Honoraires EC/CAC</v>
      </c>
      <c r="G66" s="497">
        <f>'Compte résultat prévi'!C63</f>
        <v>32239.999999999996</v>
      </c>
      <c r="H66" s="201">
        <f>SUMIF('Hypotheses expl'!$C$6:$N$6,"&lt;"&amp;'Suivi budgétaire'!$D$1,'Hypotheses expl'!C118:N118)</f>
        <v>1458.3333333333333</v>
      </c>
      <c r="I66" s="201">
        <f>SUMIF('Import balance'!$A$2:$A$65537,'Suivi budgétaire'!A66,'Import balance'!$E$2:$E$65537)+SUMIF('Import balance'!$A$2:$A$65537,'Suivi budgétaire'!B66,'Import balance'!$E$2:$E$65537)+SUMIF('Import balance'!$A$2:$A$65537,'Suivi budgétaire'!C66,'Import balance'!$E$2:$E$65537)+SUMIF('Import balance'!$A$2:$A$65537,'Suivi budgétaire'!D66,'Import balance'!$E$2:$E$65537)+SUMIF('Import balance'!$A$2:$A$65537,'Suivi budgétaire'!E66,'Import balance'!$E$2:$E$65537)</f>
        <v>0</v>
      </c>
      <c r="J66" s="202">
        <f t="shared" si="363"/>
        <v>-1458.3333333333333</v>
      </c>
    </row>
    <row r="67">
      <c r="A67" s="498"/>
      <c r="B67" s="499"/>
      <c r="C67" s="499"/>
      <c r="D67" s="499"/>
      <c r="E67" s="499"/>
      <c r="F67" s="45" t="str">
        <f>'Compte résultat prévi'!A64</f>
        <v xml:space="preserve">Honoraires paie</v>
      </c>
      <c r="G67" s="497">
        <f>'Compte résultat prévi'!C64</f>
        <v>15000</v>
      </c>
      <c r="H67" s="201">
        <f>SUMIF('Hypotheses expl'!$C$6:$N$6,"&lt;"&amp;'Suivi budgétaire'!$D$1,'Hypotheses expl'!C119:N119)</f>
        <v>1250</v>
      </c>
      <c r="I67" s="201">
        <f>SUMIF('Import balance'!$A$2:$A$65537,'Suivi budgétaire'!A67,'Import balance'!$E$2:$E$65537)+SUMIF('Import balance'!$A$2:$A$65537,'Suivi budgétaire'!B67,'Import balance'!$E$2:$E$65537)+SUMIF('Import balance'!$A$2:$A$65537,'Suivi budgétaire'!C67,'Import balance'!$E$2:$E$65537)+SUMIF('Import balance'!$A$2:$A$65537,'Suivi budgétaire'!D67,'Import balance'!$E$2:$E$65537)+SUMIF('Import balance'!$A$2:$A$65537,'Suivi budgétaire'!E67,'Import balance'!$E$2:$E$65537)</f>
        <v>0</v>
      </c>
      <c r="J67" s="202">
        <f t="shared" si="363"/>
        <v>-1250</v>
      </c>
    </row>
    <row r="68">
      <c r="A68" s="498"/>
      <c r="B68" s="499"/>
      <c r="C68" s="499"/>
      <c r="D68" s="499"/>
      <c r="E68" s="499"/>
      <c r="F68" s="45" t="str">
        <f>'Compte résultat prévi'!A65</f>
        <v xml:space="preserve">Honoraires divers</v>
      </c>
      <c r="G68" s="497">
        <f>'Compte résultat prévi'!C65</f>
        <v>1500</v>
      </c>
      <c r="H68" s="201">
        <f>SUMIF('Hypotheses expl'!$C$6:$N$6,"&lt;"&amp;'Suivi budgétaire'!$D$1,'Hypotheses expl'!C120:N120)</f>
        <v>0</v>
      </c>
      <c r="I68" s="201">
        <f>SUMIF('Import balance'!$A$2:$A$65537,'Suivi budgétaire'!A68,'Import balance'!$E$2:$E$65537)+SUMIF('Import balance'!$A$2:$A$65537,'Suivi budgétaire'!B68,'Import balance'!$E$2:$E$65537)+SUMIF('Import balance'!$A$2:$A$65537,'Suivi budgétaire'!C68,'Import balance'!$E$2:$E$65537)+SUMIF('Import balance'!$A$2:$A$65537,'Suivi budgétaire'!D68,'Import balance'!$E$2:$E$65537)+SUMIF('Import balance'!$A$2:$A$65537,'Suivi budgétaire'!E68,'Import balance'!$E$2:$E$65537)</f>
        <v>0</v>
      </c>
      <c r="J68" s="202">
        <f t="shared" si="363"/>
        <v>0</v>
      </c>
    </row>
    <row r="69">
      <c r="A69" s="498"/>
      <c r="B69" s="499"/>
      <c r="C69" s="499"/>
      <c r="D69" s="499"/>
      <c r="E69" s="499"/>
      <c r="F69" s="45" t="str">
        <f>'Compte résultat prévi'!A66</f>
        <v>Communication</v>
      </c>
      <c r="G69" s="497">
        <f>'Compte résultat prévi'!C66</f>
        <v>2500</v>
      </c>
      <c r="H69" s="201">
        <f>SUMIF('Hypotheses expl'!$C$6:$N$6,"&lt;"&amp;'Suivi budgétaire'!$D$1,'Hypotheses expl'!C121:N121)</f>
        <v>0</v>
      </c>
      <c r="I69" s="201">
        <f>SUMIF('Import balance'!$A$2:$A$65537,'Suivi budgétaire'!A69,'Import balance'!$E$2:$E$65537)+SUMIF('Import balance'!$A$2:$A$65537,'Suivi budgétaire'!B69,'Import balance'!$E$2:$E$65537)+SUMIF('Import balance'!$A$2:$A$65537,'Suivi budgétaire'!C69,'Import balance'!$E$2:$E$65537)+SUMIF('Import balance'!$A$2:$A$65537,'Suivi budgétaire'!D69,'Import balance'!$E$2:$E$65537)+SUMIF('Import balance'!$A$2:$A$65537,'Suivi budgétaire'!E69,'Import balance'!$E$2:$E$65537)</f>
        <v>0</v>
      </c>
      <c r="J69" s="202">
        <f t="shared" si="363"/>
        <v>0</v>
      </c>
    </row>
    <row r="70">
      <c r="A70" s="498"/>
      <c r="B70" s="499"/>
      <c r="C70" s="499"/>
      <c r="D70" s="499"/>
      <c r="E70" s="499"/>
      <c r="F70" s="45" t="str">
        <f>'Compte résultat prévi'!A67</f>
        <v xml:space="preserve">Frais déplacement</v>
      </c>
      <c r="G70" s="497">
        <f>'Compte résultat prévi'!C67</f>
        <v>1200</v>
      </c>
      <c r="H70" s="201">
        <f>SUMIF('Hypotheses expl'!$C$6:$N$6,"&lt;"&amp;'Suivi budgétaire'!$D$1,'Hypotheses expl'!C122:N122)</f>
        <v>100</v>
      </c>
      <c r="I70" s="201">
        <f>SUMIF('Import balance'!$A$2:$A$65537,'Suivi budgétaire'!A70,'Import balance'!$E$2:$E$65537)+SUMIF('Import balance'!$A$2:$A$65537,'Suivi budgétaire'!B70,'Import balance'!$E$2:$E$65537)+SUMIF('Import balance'!$A$2:$A$65537,'Suivi budgétaire'!C70,'Import balance'!$E$2:$E$65537)+SUMIF('Import balance'!$A$2:$A$65537,'Suivi budgétaire'!D70,'Import balance'!$E$2:$E$65537)+SUMIF('Import balance'!$A$2:$A$65537,'Suivi budgétaire'!E70,'Import balance'!$E$2:$E$65537)</f>
        <v>0</v>
      </c>
      <c r="J70" s="202">
        <f t="shared" si="363"/>
        <v>-100</v>
      </c>
    </row>
    <row r="71">
      <c r="A71" s="498"/>
      <c r="B71" s="499"/>
      <c r="C71" s="499"/>
      <c r="D71" s="499"/>
      <c r="E71" s="499"/>
      <c r="F71" s="45" t="str">
        <f>'Compte résultat prévi'!A68</f>
        <v xml:space="preserve">Déplacement vacataires/stagiaires</v>
      </c>
      <c r="G71" s="497">
        <f>'Compte résultat prévi'!C68</f>
        <v>2300</v>
      </c>
      <c r="H71" s="201">
        <f>SUMIF('Hypotheses expl'!$C$6:$N$6,"&lt;"&amp;'Suivi budgétaire'!$D$1,'Hypotheses expl'!C123:N123)</f>
        <v>191.66666666666666</v>
      </c>
      <c r="I71" s="201">
        <f>SUMIF('Import balance'!$A$2:$A$65537,'Suivi budgétaire'!A71,'Import balance'!$E$2:$E$65537)+SUMIF('Import balance'!$A$2:$A$65537,'Suivi budgétaire'!B71,'Import balance'!$E$2:$E$65537)+SUMIF('Import balance'!$A$2:$A$65537,'Suivi budgétaire'!C71,'Import balance'!$E$2:$E$65537)+SUMIF('Import balance'!$A$2:$A$65537,'Suivi budgétaire'!D71,'Import balance'!$E$2:$E$65537)+SUMIF('Import balance'!$A$2:$A$65537,'Suivi budgétaire'!E71,'Import balance'!$E$2:$E$65537)</f>
        <v>0</v>
      </c>
      <c r="J71" s="202">
        <f t="shared" si="363"/>
        <v>-191.66666666666666</v>
      </c>
    </row>
    <row r="72">
      <c r="A72" s="498"/>
      <c r="B72" s="499"/>
      <c r="C72" s="499"/>
      <c r="D72" s="499"/>
      <c r="E72" s="499"/>
      <c r="F72" s="45" t="str">
        <f>'Compte résultat prévi'!A69</f>
        <v xml:space="preserve">Déplacement formateurs</v>
      </c>
      <c r="G72" s="497">
        <f>'Compte résultat prévi'!C69</f>
        <v>5700</v>
      </c>
      <c r="H72" s="201">
        <f>SUMIF('Hypotheses expl'!$C$6:$N$6,"&lt;"&amp;'Suivi budgétaire'!$D$1,'Hypotheses expl'!C124:N124)</f>
        <v>475</v>
      </c>
      <c r="I72" s="201">
        <f>SUMIF('Import balance'!$A$2:$A$65537,'Suivi budgétaire'!A72,'Import balance'!$E$2:$E$65537)+SUMIF('Import balance'!$A$2:$A$65537,'Suivi budgétaire'!B72,'Import balance'!$E$2:$E$65537)+SUMIF('Import balance'!$A$2:$A$65537,'Suivi budgétaire'!C72,'Import balance'!$E$2:$E$65537)+SUMIF('Import balance'!$A$2:$A$65537,'Suivi budgétaire'!D72,'Import balance'!$E$2:$E$65537)+SUMIF('Import balance'!$A$2:$A$65537,'Suivi budgétaire'!E72,'Import balance'!$E$2:$E$65537)</f>
        <v>0</v>
      </c>
      <c r="J72" s="202">
        <f t="shared" si="363"/>
        <v>-475</v>
      </c>
    </row>
    <row r="73">
      <c r="A73" s="498"/>
      <c r="B73" s="499"/>
      <c r="C73" s="499"/>
      <c r="D73" s="499"/>
      <c r="E73" s="499"/>
      <c r="F73" s="45" t="str">
        <f>'Compte résultat prévi'!A70</f>
        <v xml:space="preserve">Déplacements admin</v>
      </c>
      <c r="G73" s="497">
        <f>'Compte résultat prévi'!C70</f>
        <v>1500</v>
      </c>
      <c r="H73" s="201">
        <f>SUMIF('Hypotheses expl'!$C$6:$N$6,"&lt;"&amp;'Suivi budgétaire'!$D$1,'Hypotheses expl'!C125:N125)</f>
        <v>125</v>
      </c>
      <c r="I73" s="201">
        <f>SUMIF('Import balance'!$A$2:$A$65537,'Suivi budgétaire'!A73,'Import balance'!$E$2:$E$65537)+SUMIF('Import balance'!$A$2:$A$65537,'Suivi budgétaire'!B73,'Import balance'!$E$2:$E$65537)+SUMIF('Import balance'!$A$2:$A$65537,'Suivi budgétaire'!C73,'Import balance'!$E$2:$E$65537)+SUMIF('Import balance'!$A$2:$A$65537,'Suivi budgétaire'!D73,'Import balance'!$E$2:$E$65537)+SUMIF('Import balance'!$A$2:$A$65537,'Suivi budgétaire'!E73,'Import balance'!$E$2:$E$65537)</f>
        <v>0</v>
      </c>
      <c r="J73" s="202">
        <f t="shared" si="363"/>
        <v>-125</v>
      </c>
    </row>
    <row r="74">
      <c r="A74" s="498"/>
      <c r="B74" s="499"/>
      <c r="C74" s="499"/>
      <c r="D74" s="499"/>
      <c r="E74" s="499"/>
      <c r="F74" s="45" t="str">
        <f>'Compte résultat prévi'!A71</f>
        <v xml:space="preserve">Frais de mission</v>
      </c>
      <c r="G74" s="497">
        <f>'Compte résultat prévi'!C71</f>
        <v>12000</v>
      </c>
      <c r="H74" s="201">
        <f>SUMIF('Hypotheses expl'!$C$6:$N$6,"&lt;"&amp;'Suivi budgétaire'!$D$1,'Hypotheses expl'!C126:N126)</f>
        <v>1000</v>
      </c>
      <c r="I74" s="201">
        <f>SUMIF('Import balance'!$A$2:$A$65537,'Suivi budgétaire'!A74,'Import balance'!$E$2:$E$65537)+SUMIF('Import balance'!$A$2:$A$65537,'Suivi budgétaire'!B74,'Import balance'!$E$2:$E$65537)+SUMIF('Import balance'!$A$2:$A$65537,'Suivi budgétaire'!C74,'Import balance'!$E$2:$E$65537)+SUMIF('Import balance'!$A$2:$A$65537,'Suivi budgétaire'!D74,'Import balance'!$E$2:$E$65537)+SUMIF('Import balance'!$A$2:$A$65537,'Suivi budgétaire'!E74,'Import balance'!$E$2:$E$65537)</f>
        <v>0</v>
      </c>
      <c r="J74" s="202">
        <f t="shared" si="363"/>
        <v>-1000</v>
      </c>
    </row>
    <row r="75">
      <c r="A75" s="498"/>
      <c r="B75" s="499"/>
      <c r="C75" s="499"/>
      <c r="D75" s="499"/>
      <c r="E75" s="499"/>
      <c r="F75" s="45" t="str">
        <f>'Compte résultat prévi'!A72</f>
        <v>Téléphonie</v>
      </c>
      <c r="G75" s="497">
        <f>'Compte résultat prévi'!C72</f>
        <v>14076</v>
      </c>
      <c r="H75" s="201">
        <f>SUMIF('Hypotheses expl'!$C$6:$N$6,"&lt;"&amp;'Suivi budgétaire'!$D$1,'Hypotheses expl'!C127:N127)</f>
        <v>1173</v>
      </c>
      <c r="I75" s="201">
        <f>SUMIF('Import balance'!$A$2:$A$65537,'Suivi budgétaire'!A75,'Import balance'!$E$2:$E$65537)+SUMIF('Import balance'!$A$2:$A$65537,'Suivi budgétaire'!B75,'Import balance'!$E$2:$E$65537)+SUMIF('Import balance'!$A$2:$A$65537,'Suivi budgétaire'!C75,'Import balance'!$E$2:$E$65537)+SUMIF('Import balance'!$A$2:$A$65537,'Suivi budgétaire'!D75,'Import balance'!$E$2:$E$65537)+SUMIF('Import balance'!$A$2:$A$65537,'Suivi budgétaire'!E75,'Import balance'!$E$2:$E$65537)</f>
        <v>0</v>
      </c>
      <c r="J75" s="202">
        <f t="shared" si="363"/>
        <v>-1173</v>
      </c>
    </row>
    <row r="76">
      <c r="A76" s="498"/>
      <c r="B76" s="499"/>
      <c r="C76" s="499"/>
      <c r="D76" s="499"/>
      <c r="E76" s="499"/>
      <c r="F76" s="45" t="str">
        <f>'Compte résultat prévi'!A73</f>
        <v>Affranchissement</v>
      </c>
      <c r="G76" s="497">
        <f>'Compte résultat prévi'!C73</f>
        <v>13000.000000000004</v>
      </c>
      <c r="H76" s="201">
        <f>SUMIF('Hypotheses expl'!$C$6:$N$6,"&lt;"&amp;'Suivi budgétaire'!$D$1,'Hypotheses expl'!C128:N128)</f>
        <v>6583.333333333333</v>
      </c>
      <c r="I76" s="201">
        <f>SUMIF('Import balance'!$A$2:$A$65537,'Suivi budgétaire'!A76,'Import balance'!$E$2:$E$65537)+SUMIF('Import balance'!$A$2:$A$65537,'Suivi budgétaire'!B76,'Import balance'!$E$2:$E$65537)+SUMIF('Import balance'!$A$2:$A$65537,'Suivi budgétaire'!C76,'Import balance'!$E$2:$E$65537)+SUMIF('Import balance'!$A$2:$A$65537,'Suivi budgétaire'!D76,'Import balance'!$E$2:$E$65537)+SUMIF('Import balance'!$A$2:$A$65537,'Suivi budgétaire'!E76,'Import balance'!$E$2:$E$65537)</f>
        <v>0</v>
      </c>
      <c r="J76" s="202">
        <f t="shared" si="363"/>
        <v>-6583.333333333333</v>
      </c>
    </row>
    <row r="77">
      <c r="A77" s="498"/>
      <c r="B77" s="499"/>
      <c r="C77" s="499"/>
      <c r="D77" s="499"/>
      <c r="E77" s="499"/>
      <c r="F77" s="45" t="str">
        <f>'Compte résultat prévi'!A74</f>
        <v>Internet</v>
      </c>
      <c r="G77" s="497">
        <f>'Compte résultat prévi'!C74</f>
        <v>2244</v>
      </c>
      <c r="H77" s="201">
        <f>SUMIF('Hypotheses expl'!$C$6:$N$6,"&lt;"&amp;'Suivi budgétaire'!$D$1,'Hypotheses expl'!C129:N129)</f>
        <v>72</v>
      </c>
      <c r="I77" s="201">
        <f>SUMIF('Import balance'!$A$2:$A$65537,'Suivi budgétaire'!A77,'Import balance'!$E$2:$E$65537)+SUMIF('Import balance'!$A$2:$A$65537,'Suivi budgétaire'!B77,'Import balance'!$E$2:$E$65537)+SUMIF('Import balance'!$A$2:$A$65537,'Suivi budgétaire'!C77,'Import balance'!$E$2:$E$65537)+SUMIF('Import balance'!$A$2:$A$65537,'Suivi budgétaire'!D77,'Import balance'!$E$2:$E$65537)+SUMIF('Import balance'!$A$2:$A$65537,'Suivi budgétaire'!E77,'Import balance'!$E$2:$E$65537)</f>
        <v>0</v>
      </c>
      <c r="J77" s="202">
        <f t="shared" si="363"/>
        <v>-72</v>
      </c>
    </row>
    <row r="78">
      <c r="A78" s="498"/>
      <c r="B78" s="499"/>
      <c r="C78" s="499"/>
      <c r="D78" s="499"/>
      <c r="E78" s="499"/>
      <c r="F78" s="45" t="str">
        <f>'Compte résultat prévi'!A75</f>
        <v xml:space="preserve">Services bancaires</v>
      </c>
      <c r="G78" s="497">
        <f>'Compte résultat prévi'!C75</f>
        <v>396</v>
      </c>
      <c r="H78" s="201">
        <f>SUMIF('Hypotheses expl'!$C$6:$N$6,"&lt;"&amp;'Suivi budgétaire'!$D$1,'Hypotheses expl'!C130:N130)</f>
        <v>8</v>
      </c>
      <c r="I78" s="201">
        <f>SUMIF('Import balance'!$A$2:$A$65537,'Suivi budgétaire'!A78,'Import balance'!$E$2:$E$65537)+SUMIF('Import balance'!$A$2:$A$65537,'Suivi budgétaire'!B78,'Import balance'!$E$2:$E$65537)+SUMIF('Import balance'!$A$2:$A$65537,'Suivi budgétaire'!C78,'Import balance'!$E$2:$E$65537)+SUMIF('Import balance'!$A$2:$A$65537,'Suivi budgétaire'!D78,'Import balance'!$E$2:$E$65537)+SUMIF('Import balance'!$A$2:$A$65537,'Suivi budgétaire'!E78,'Import balance'!$E$2:$E$65537)</f>
        <v>0</v>
      </c>
      <c r="J78" s="202">
        <f t="shared" si="363"/>
        <v>-8</v>
      </c>
    </row>
    <row r="79">
      <c r="A79" s="498"/>
      <c r="B79" s="499"/>
      <c r="C79" s="499"/>
      <c r="D79" s="499"/>
      <c r="E79" s="499"/>
      <c r="F79" s="45" t="str">
        <f>'Compte résultat prévi'!A76</f>
        <v>Certification</v>
      </c>
      <c r="G79" s="497">
        <f>'Compte résultat prévi'!C76</f>
        <v>0</v>
      </c>
      <c r="H79" s="201">
        <f>SUMIF('Hypotheses expl'!$C$6:$N$6,"&lt;"&amp;'Suivi budgétaire'!$D$1,'Hypotheses expl'!C131:N131)</f>
        <v>0</v>
      </c>
      <c r="I79" s="201">
        <f>SUMIF('Import balance'!$A$2:$A$65537,'Suivi budgétaire'!A79,'Import balance'!$E$2:$E$65537)+SUMIF('Import balance'!$A$2:$A$65537,'Suivi budgétaire'!B79,'Import balance'!$E$2:$E$65537)+SUMIF('Import balance'!$A$2:$A$65537,'Suivi budgétaire'!C79,'Import balance'!$E$2:$E$65537)+SUMIF('Import balance'!$A$2:$A$65537,'Suivi budgétaire'!D79,'Import balance'!$E$2:$E$65537)+SUMIF('Import balance'!$A$2:$A$65537,'Suivi budgétaire'!E79,'Import balance'!$E$2:$E$65537)</f>
        <v>0</v>
      </c>
      <c r="J79" s="202">
        <f t="shared" si="363"/>
        <v>0</v>
      </c>
    </row>
    <row r="80">
      <c r="A80" s="498"/>
      <c r="B80" s="499"/>
      <c r="C80" s="499"/>
      <c r="D80" s="499"/>
      <c r="E80" s="499"/>
      <c r="F80" s="45" t="str">
        <f>'Compte résultat prévi'!A77</f>
        <v>Electricité</v>
      </c>
      <c r="G80" s="497">
        <f>'Compte résultat prévi'!C77</f>
        <v>0</v>
      </c>
      <c r="H80" s="201">
        <f>SUMIF('Hypotheses expl'!$C$6:$N$6,"&lt;"&amp;'Suivi budgétaire'!$D$1,'Hypotheses expl'!C132:N132)</f>
        <v>0</v>
      </c>
      <c r="I80" s="201">
        <f>SUMIF('Import balance'!$A$2:$A$65537,'Suivi budgétaire'!A80,'Import balance'!$E$2:$E$65537)+SUMIF('Import balance'!$A$2:$A$65537,'Suivi budgétaire'!B80,'Import balance'!$E$2:$E$65537)+SUMIF('Import balance'!$A$2:$A$65537,'Suivi budgétaire'!C80,'Import balance'!$E$2:$E$65537)+SUMIF('Import balance'!$A$2:$A$65537,'Suivi budgétaire'!D80,'Import balance'!$E$2:$E$65537)+SUMIF('Import balance'!$A$2:$A$65537,'Suivi budgétaire'!E80,'Import balance'!$E$2:$E$65537)</f>
        <v>0</v>
      </c>
      <c r="J80" s="202">
        <f t="shared" si="363"/>
        <v>0</v>
      </c>
    </row>
    <row r="81">
      <c r="A81" s="498"/>
      <c r="B81" s="499"/>
      <c r="C81" s="499"/>
      <c r="D81" s="499"/>
      <c r="E81" s="499"/>
      <c r="F81" s="45" t="str">
        <f>'Compte résultat prévi'!A78</f>
        <v xml:space="preserve">Colloques et formations</v>
      </c>
      <c r="G81" s="497">
        <f>'Compte résultat prévi'!C78</f>
        <v>11250</v>
      </c>
      <c r="H81" s="201">
        <f>SUMIF('Hypotheses expl'!$C$6:$N$6,"&lt;"&amp;'Suivi budgétaire'!$D$1,'Hypotheses expl'!C133:N133)</f>
        <v>0</v>
      </c>
      <c r="I81" s="201">
        <f>SUMIF('Import balance'!$A$2:$A$65537,'Suivi budgétaire'!A81,'Import balance'!$E$2:$E$65537)+SUMIF('Import balance'!$A$2:$A$65537,'Suivi budgétaire'!B81,'Import balance'!$E$2:$E$65537)+SUMIF('Import balance'!$A$2:$A$65537,'Suivi budgétaire'!C81,'Import balance'!$E$2:$E$65537)+SUMIF('Import balance'!$A$2:$A$65537,'Suivi budgétaire'!D81,'Import balance'!$E$2:$E$65537)+SUMIF('Import balance'!$A$2:$A$65537,'Suivi budgétaire'!E81,'Import balance'!$E$2:$E$65537)</f>
        <v>0</v>
      </c>
      <c r="J81" s="202">
        <f t="shared" si="363"/>
        <v>0</v>
      </c>
    </row>
    <row r="82">
      <c r="A82" s="498"/>
      <c r="B82" s="499"/>
      <c r="C82" s="499"/>
      <c r="D82" s="499"/>
      <c r="E82" s="499"/>
      <c r="F82" s="45" t="str">
        <f>'Compte résultat prévi'!A79</f>
        <v xml:space="preserve">Logiciel de documentation</v>
      </c>
      <c r="G82" s="497">
        <f>'Compte résultat prévi'!C79</f>
        <v>7500</v>
      </c>
      <c r="H82" s="201">
        <f>SUMIF('Hypotheses expl'!$C$6:$N$6,"&lt;"&amp;'Suivi budgétaire'!$D$1,'Hypotheses expl'!C134:N134)</f>
        <v>625</v>
      </c>
      <c r="I82" s="201">
        <f>SUMIF('Import balance'!$A$2:$A$65537,'Suivi budgétaire'!A82,'Import balance'!$E$2:$E$65537)+SUMIF('Import balance'!$A$2:$A$65537,'Suivi budgétaire'!B82,'Import balance'!$E$2:$E$65537)+SUMIF('Import balance'!$A$2:$A$65537,'Suivi budgétaire'!C82,'Import balance'!$E$2:$E$65537)+SUMIF('Import balance'!$A$2:$A$65537,'Suivi budgétaire'!D82,'Import balance'!$E$2:$E$65537)+SUMIF('Import balance'!$A$2:$A$65537,'Suivi budgétaire'!E82,'Import balance'!$E$2:$E$65537)</f>
        <v>0</v>
      </c>
      <c r="J82" s="202">
        <f t="shared" si="363"/>
        <v>-625</v>
      </c>
    </row>
    <row r="83">
      <c r="A83" s="498"/>
      <c r="B83" s="499"/>
      <c r="C83" s="499"/>
      <c r="D83" s="499"/>
      <c r="E83" s="499"/>
      <c r="F83" s="45" t="str">
        <f>'Compte résultat prévi'!A81</f>
        <v xml:space="preserve">Charges locatives</v>
      </c>
      <c r="G83" s="497">
        <f>'Compte résultat prévi'!C81</f>
        <v>10000</v>
      </c>
      <c r="H83" s="201">
        <f>SUMIF('Hypotheses expl'!$C$6:$N$6,"&lt;"&amp;'Suivi budgétaire'!$D$1,'Hypotheses expl'!C135:N135)</f>
        <v>2500</v>
      </c>
      <c r="I83" s="201">
        <f>SUMIF('Import balance'!$A$2:$A$65537,'Suivi budgétaire'!A83,'Import balance'!$E$2:$E$65537)+SUMIF('Import balance'!$A$2:$A$65537,'Suivi budgétaire'!B83,'Import balance'!$E$2:$E$65537)+SUMIF('Import balance'!$A$2:$A$65537,'Suivi budgétaire'!C83,'Import balance'!$E$2:$E$65537)+SUMIF('Import balance'!$A$2:$A$65537,'Suivi budgétaire'!D83,'Import balance'!$E$2:$E$65537)+SUMIF('Import balance'!$A$2:$A$65537,'Suivi budgétaire'!E83,'Import balance'!$E$2:$E$65537)</f>
        <v>0</v>
      </c>
      <c r="J83" s="500"/>
    </row>
    <row r="84">
      <c r="A84" s="498"/>
      <c r="B84" s="499"/>
      <c r="C84" s="499"/>
      <c r="D84" s="499"/>
      <c r="E84" s="499"/>
      <c r="F84" s="45">
        <f>'Compte résultat prévi'!A82</f>
        <v>0</v>
      </c>
      <c r="G84" s="497">
        <f>'Compte résultat prévi'!C82</f>
        <v>0</v>
      </c>
      <c r="H84" s="201">
        <f>SUMIF('Hypotheses expl'!$C$6:$N$6,"&lt;"&amp;'Suivi budgétaire'!$D$1,'Hypotheses expl'!C136:N136)</f>
        <v>0</v>
      </c>
      <c r="I84" s="201">
        <f>SUMIF('Import balance'!$A$2:$A$65537,'Suivi budgétaire'!A84,'Import balance'!$E$2:$E$65537)+SUMIF('Import balance'!$A$2:$A$65537,'Suivi budgétaire'!B84,'Import balance'!$E$2:$E$65537)+SUMIF('Import balance'!$A$2:$A$65537,'Suivi budgétaire'!C84,'Import balance'!$E$2:$E$65537)+SUMIF('Import balance'!$A$2:$A$65537,'Suivi budgétaire'!D84,'Import balance'!$E$2:$E$65537)+SUMIF('Import balance'!$A$2:$A$65537,'Suivi budgétaire'!E84,'Import balance'!$E$2:$E$65537)</f>
        <v>0</v>
      </c>
      <c r="J84" s="500"/>
    </row>
    <row r="85" ht="15.6">
      <c r="A85" s="492" t="str">
        <f>'Compte résultat prévi'!A83</f>
        <v xml:space="preserve">Impôts, taxes et versements assimilés</v>
      </c>
      <c r="B85" s="493"/>
      <c r="C85" s="493"/>
      <c r="D85" s="493"/>
      <c r="E85" s="493"/>
      <c r="F85" s="493"/>
      <c r="G85" s="493"/>
      <c r="H85" s="493"/>
      <c r="I85" s="493"/>
      <c r="J85" s="494"/>
    </row>
    <row r="86">
      <c r="A86" s="495"/>
      <c r="B86" s="499"/>
      <c r="C86" s="499"/>
      <c r="D86" s="499"/>
      <c r="E86" s="499"/>
      <c r="F86" s="45" t="str">
        <f>'Compte résultat prévi'!A84</f>
        <v xml:space="preserve">Taxe sur les salaires</v>
      </c>
      <c r="G86" s="497">
        <f>'Compte résultat prévi'!C84</f>
        <v>62654.402089440009</v>
      </c>
      <c r="H86" s="201">
        <f>SUMIF('Hypotheses expl'!$C$6:$N$6,"&lt;"&amp;'Suivi budgétaire'!$D$1,'Hypotheses expl'!C137:N137)</f>
        <v>5086.6941626199996</v>
      </c>
      <c r="I86" s="201">
        <f>SUMIF('Import balance'!$A$2:$A$65537,'Suivi budgétaire'!A86,'Import balance'!$E$2:$E$65537)+SUMIF('Import balance'!$A$2:$A$65537,'Suivi budgétaire'!B86,'Import balance'!$E$2:$E$65537)+SUMIF('Import balance'!$A$2:$A$65537,'Suivi budgétaire'!C86,'Import balance'!$E$2:$E$65537)+SUMIF('Import balance'!$A$2:$A$65537,'Suivi budgétaire'!D86,'Import balance'!$E$2:$E$65537)+SUMIF('Import balance'!$A$2:$A$65537,'Suivi budgétaire'!E86,'Import balance'!$E$2:$E$65537)</f>
        <v>0</v>
      </c>
      <c r="J86" s="202">
        <f t="shared" si="363"/>
        <v>-5086.6941626199996</v>
      </c>
    </row>
    <row r="87">
      <c r="A87" s="498"/>
      <c r="B87" s="499"/>
      <c r="C87" s="499"/>
      <c r="D87" s="499"/>
      <c r="E87" s="499"/>
      <c r="F87" s="45" t="str">
        <f>'Compte résultat prévi'!A85</f>
        <v xml:space="preserve">Participation à la formation pro</v>
      </c>
      <c r="G87" s="497">
        <f>'Compte résultat prévi'!C85</f>
        <v>17901.257739840003</v>
      </c>
      <c r="H87" s="201">
        <f>SUMIF('Hypotheses expl'!$C$6:$N$6,"&lt;"&amp;'Suivi budgétaire'!$D$1,'Hypotheses expl'!C138:N138)</f>
        <v>1453.3411893199998</v>
      </c>
      <c r="I87" s="201">
        <f>SUMIF('Import balance'!$A$2:$A$65537,'Suivi budgétaire'!A87,'Import balance'!$E$2:$E$65537)+SUMIF('Import balance'!$A$2:$A$65537,'Suivi budgétaire'!B87,'Import balance'!$E$2:$E$65537)+SUMIF('Import balance'!$A$2:$A$65537,'Suivi budgétaire'!C87,'Import balance'!$E$2:$E$65537)+SUMIF('Import balance'!$A$2:$A$65537,'Suivi budgétaire'!D87,'Import balance'!$E$2:$E$65537)+SUMIF('Import balance'!$A$2:$A$65537,'Suivi budgétaire'!E87,'Import balance'!$E$2:$E$65537)</f>
        <v>0</v>
      </c>
      <c r="J87" s="202">
        <f t="shared" si="363"/>
        <v>-1453.3411893199998</v>
      </c>
    </row>
    <row r="88">
      <c r="A88" s="498"/>
      <c r="B88" s="499"/>
      <c r="C88" s="499"/>
      <c r="D88" s="499"/>
      <c r="E88" s="499"/>
      <c r="F88" s="45" t="str">
        <f>'Compte résultat prévi'!A86</f>
        <v xml:space="preserve">Redevance TV</v>
      </c>
      <c r="G88" s="497">
        <f>'Compte résultat prévi'!C86</f>
        <v>0</v>
      </c>
      <c r="H88" s="201">
        <f>SUMIF('Hypotheses expl'!$C$6:$N$6,"&lt;"&amp;'Suivi budgétaire'!$D$1,'Hypotheses expl'!C139:N139)</f>
        <v>0</v>
      </c>
      <c r="I88" s="201">
        <f>SUMIF('Import balance'!$A$2:$A$65537,'Suivi budgétaire'!A88,'Import balance'!$E$2:$E$65537)+SUMIF('Import balance'!$A$2:$A$65537,'Suivi budgétaire'!B88,'Import balance'!$E$2:$E$65537)+SUMIF('Import balance'!$A$2:$A$65537,'Suivi budgétaire'!C88,'Import balance'!$E$2:$E$65537)+SUMIF('Import balance'!$A$2:$A$65537,'Suivi budgétaire'!D88,'Import balance'!$E$2:$E$65537)+SUMIF('Import balance'!$A$2:$A$65537,'Suivi budgétaire'!E88,'Import balance'!$E$2:$E$65537)</f>
        <v>0</v>
      </c>
      <c r="J88" s="202">
        <f t="shared" si="363"/>
        <v>0</v>
      </c>
    </row>
    <row r="89">
      <c r="A89" s="498"/>
      <c r="B89" s="499"/>
      <c r="C89" s="499"/>
      <c r="D89" s="499"/>
      <c r="E89" s="499"/>
      <c r="F89" s="45">
        <f>'Compte résultat prévi'!A87</f>
        <v>0</v>
      </c>
      <c r="G89" s="497">
        <f>'Compte résultat prévi'!C87</f>
        <v>0</v>
      </c>
      <c r="H89" s="201">
        <f>SUMIF('Hypotheses expl'!$C$6:$N$6,"&lt;"&amp;'Suivi budgétaire'!$D$1,'Hypotheses expl'!C140:N140)</f>
        <v>0</v>
      </c>
      <c r="I89" s="201">
        <f>SUMIF('Import balance'!$A$2:$A$65537,'Suivi budgétaire'!A89,'Import balance'!$E$2:$E$65537)+SUMIF('Import balance'!$A$2:$A$65537,'Suivi budgétaire'!B89,'Import balance'!$E$2:$E$65537)+SUMIF('Import balance'!$A$2:$A$65537,'Suivi budgétaire'!C89,'Import balance'!$E$2:$E$65537)+SUMIF('Import balance'!$A$2:$A$65537,'Suivi budgétaire'!D89,'Import balance'!$E$2:$E$65537)+SUMIF('Import balance'!$A$2:$A$65537,'Suivi budgétaire'!E89,'Import balance'!$E$2:$E$65537)</f>
        <v>0</v>
      </c>
      <c r="J89" s="202">
        <f t="shared" si="363"/>
        <v>0</v>
      </c>
    </row>
    <row r="90">
      <c r="A90" s="498"/>
      <c r="B90" s="499"/>
      <c r="C90" s="499"/>
      <c r="D90" s="499"/>
      <c r="E90" s="499"/>
      <c r="F90" s="45">
        <f>'Compte résultat prévi'!A88</f>
        <v>0</v>
      </c>
      <c r="G90" s="497">
        <f>'Compte résultat prévi'!C88</f>
        <v>0</v>
      </c>
      <c r="H90" s="201">
        <f>SUMIF('Hypotheses expl'!$C$6:$N$6,"&lt;"&amp;'Suivi budgétaire'!$D$1,'Hypotheses expl'!C141:N141)</f>
        <v>0</v>
      </c>
      <c r="I90" s="201">
        <f>SUMIF('Import balance'!$A$2:$A$65537,'Suivi budgétaire'!A90,'Import balance'!$E$2:$E$65537)+SUMIF('Import balance'!$A$2:$A$65537,'Suivi budgétaire'!B90,'Import balance'!$E$2:$E$65537)+SUMIF('Import balance'!$A$2:$A$65537,'Suivi budgétaire'!C90,'Import balance'!$E$2:$E$65537)+SUMIF('Import balance'!$A$2:$A$65537,'Suivi budgétaire'!D90,'Import balance'!$E$2:$E$65537)+SUMIF('Import balance'!$A$2:$A$65537,'Suivi budgétaire'!E90,'Import balance'!$E$2:$E$65537)</f>
        <v>0</v>
      </c>
      <c r="J90" s="202">
        <f t="shared" si="363"/>
        <v>0</v>
      </c>
    </row>
    <row r="91">
      <c r="A91" s="498"/>
      <c r="B91" s="499"/>
      <c r="C91" s="499"/>
      <c r="D91" s="499"/>
      <c r="E91" s="499"/>
      <c r="F91" s="45">
        <f>'Compte résultat prévi'!A89</f>
        <v>0</v>
      </c>
      <c r="G91" s="497">
        <f>'Compte résultat prévi'!C89</f>
        <v>0</v>
      </c>
      <c r="H91" s="201">
        <f>SUMIF('Hypotheses expl'!$C$6:$N$6,"&lt;"&amp;'Suivi budgétaire'!$D$1,'Hypotheses expl'!C142:N142)</f>
        <v>0</v>
      </c>
      <c r="I91" s="201">
        <f>SUMIF('Import balance'!$A$2:$A$65537,'Suivi budgétaire'!A91,'Import balance'!$E$2:$E$65537)+SUMIF('Import balance'!$A$2:$A$65537,'Suivi budgétaire'!B91,'Import balance'!$E$2:$E$65537)+SUMIF('Import balance'!$A$2:$A$65537,'Suivi budgétaire'!C91,'Import balance'!$E$2:$E$65537)+SUMIF('Import balance'!$A$2:$A$65537,'Suivi budgétaire'!D91,'Import balance'!$E$2:$E$65537)+SUMIF('Import balance'!$A$2:$A$65537,'Suivi budgétaire'!E91,'Import balance'!$E$2:$E$65537)</f>
        <v>0</v>
      </c>
      <c r="J91" s="202">
        <f t="shared" si="363"/>
        <v>0</v>
      </c>
    </row>
    <row r="92" ht="15.6">
      <c r="A92" s="492" t="str">
        <f>'Compte résultat prévi'!A90</f>
        <v xml:space="preserve">Masse salariale</v>
      </c>
      <c r="B92" s="493"/>
      <c r="C92" s="493"/>
      <c r="D92" s="493"/>
      <c r="E92" s="493"/>
      <c r="F92" s="493"/>
      <c r="G92" s="493"/>
      <c r="H92" s="493"/>
      <c r="I92" s="493"/>
      <c r="J92" s="494"/>
    </row>
    <row r="93">
      <c r="A93" s="495"/>
      <c r="B93" s="499"/>
      <c r="C93" s="499"/>
      <c r="D93" s="499"/>
      <c r="E93" s="499"/>
      <c r="F93" s="45" t="str">
        <f>'Compte résultat prévi'!A91</f>
        <v xml:space="preserve">Salaires bruts formateurs permanents/documentation</v>
      </c>
      <c r="G93" s="501">
        <f>'Compte résultat prévi'!C91</f>
        <v>547092.82159199985</v>
      </c>
      <c r="H93" s="467">
        <f>SUMIF('Hypotheses expl'!$C$6:$N$6,"&lt;"&amp;'Suivi budgétaire'!$D$1,'Hypotheses expl'!C143:N143)</f>
        <v>42322.878466000002</v>
      </c>
      <c r="I93" s="201">
        <f>SUMIF('Import balance'!$A$2:$A$65537,'Suivi budgétaire'!A93,'Import balance'!$E$2:$E$65537)+SUMIF('Import balance'!$A$2:$A$65537,'Suivi budgétaire'!B93,'Import balance'!$E$2:$E$65537)+SUMIF('Import balance'!$A$2:$A$65537,'Suivi budgétaire'!C93,'Import balance'!$E$2:$E$65537)+SUMIF('Import balance'!$A$2:$A$65537,'Suivi budgétaire'!D93,'Import balance'!$E$2:$E$65537)+SUMIF('Import balance'!$A$2:$A$65537,'Suivi budgétaire'!E93,'Import balance'!$E$2:$E$65537)</f>
        <v>0</v>
      </c>
      <c r="J93" s="202">
        <f t="shared" si="363"/>
        <v>-42322.878466000002</v>
      </c>
    </row>
    <row r="94">
      <c r="A94" s="498"/>
      <c r="B94" s="499"/>
      <c r="C94" s="499"/>
      <c r="D94" s="499"/>
      <c r="E94" s="499"/>
      <c r="F94" s="45" t="str">
        <f>'Compte résultat prévi'!A92</f>
        <v xml:space="preserve">Salaires bruts direction et administratif</v>
      </c>
      <c r="G94" s="501">
        <f>'Compte résultat prévi'!C92</f>
        <v>246520.13219999996</v>
      </c>
      <c r="H94" s="467">
        <f>SUMIF('Hypotheses expl'!$C$6:$N$6,"&lt;"&amp;'Suivi budgétaire'!$D$1,'Hypotheses expl'!C144:N144)</f>
        <v>21089.766599999999</v>
      </c>
      <c r="I94" s="201">
        <f>SUMIF('Import balance'!$A$2:$A$65537,'Suivi budgétaire'!A94,'Import balance'!$E$2:$E$65537)+SUMIF('Import balance'!$A$2:$A$65537,'Suivi budgétaire'!B94,'Import balance'!$E$2:$E$65537)+SUMIF('Import balance'!$A$2:$A$65537,'Suivi budgétaire'!C94,'Import balance'!$E$2:$E$65537)+SUMIF('Import balance'!$A$2:$A$65537,'Suivi budgétaire'!D94,'Import balance'!$E$2:$E$65537)+SUMIF('Import balance'!$A$2:$A$65537,'Suivi budgétaire'!E94,'Import balance'!$E$2:$E$65537)</f>
        <v>0</v>
      </c>
      <c r="J94" s="202">
        <f t="shared" si="363"/>
        <v>-21089.766599999999</v>
      </c>
    </row>
    <row r="95">
      <c r="A95" s="498"/>
      <c r="B95" s="499"/>
      <c r="C95" s="499"/>
      <c r="D95" s="499"/>
      <c r="E95" s="499"/>
      <c r="F95" s="45" t="str">
        <f>'Compte résultat prévi'!A93</f>
        <v xml:space="preserve">Salaires bruts formateurs vacataires</v>
      </c>
      <c r="G95" s="501">
        <f>'Compte résultat prévi'!C93</f>
        <v>101449.9332</v>
      </c>
      <c r="H95" s="467">
        <f>SUMIF('Hypotheses expl'!$C$6:$N$6,"&lt;"&amp;'Suivi budgétaire'!$D$1,'Hypotheses expl'!C145:N145)</f>
        <v>9254.4143999999997</v>
      </c>
      <c r="I95" s="201">
        <f>SUMIF('Import balance'!$A$2:$A$65537,'Suivi budgétaire'!A95,'Import balance'!$E$2:$E$65537)+SUMIF('Import balance'!$A$2:$A$65537,'Suivi budgétaire'!B95,'Import balance'!$E$2:$E$65537)+SUMIF('Import balance'!$A$2:$A$65537,'Suivi budgétaire'!C95,'Import balance'!$E$2:$E$65537)+SUMIF('Import balance'!$A$2:$A$65537,'Suivi budgétaire'!D95,'Import balance'!$E$2:$E$65537)+SUMIF('Import balance'!$A$2:$A$65537,'Suivi budgétaire'!E95,'Import balance'!$E$2:$E$65537)</f>
        <v>0</v>
      </c>
      <c r="J95" s="202">
        <f t="shared" si="363"/>
        <v>-9254.4143999999997</v>
      </c>
    </row>
    <row r="96">
      <c r="A96" s="498"/>
      <c r="B96" s="499"/>
      <c r="C96" s="499"/>
      <c r="D96" s="499"/>
      <c r="E96" s="499"/>
      <c r="F96" s="45" t="str">
        <f>'Compte résultat prévi'!A94</f>
        <v xml:space="preserve">Charges patronales formateurs permanents/documentation</v>
      </c>
      <c r="G96" s="501">
        <f>'Compte résultat prévi'!C94</f>
        <v>169435.29159368412</v>
      </c>
      <c r="H96" s="467">
        <f>SUMIF('Hypotheses expl'!$C$6:$N$6,"&lt;"&amp;'Suivi budgétaire'!$D$1,'Hypotheses expl'!C146:N146)</f>
        <v>13107.445338258529</v>
      </c>
      <c r="I96" s="201">
        <f>SUMIF('Import balance'!$A$2:$A$65537,'Suivi budgétaire'!A96,'Import balance'!$E$2:$E$65537)+SUMIF('Import balance'!$A$2:$A$65537,'Suivi budgétaire'!B96,'Import balance'!$E$2:$E$65537)+SUMIF('Import balance'!$A$2:$A$65537,'Suivi budgétaire'!C96,'Import balance'!$E$2:$E$65537)+SUMIF('Import balance'!$A$2:$A$65537,'Suivi budgétaire'!D96,'Import balance'!$E$2:$E$65537)+SUMIF('Import balance'!$A$2:$A$65537,'Suivi budgétaire'!E96,'Import balance'!$E$2:$E$65537)</f>
        <v>0</v>
      </c>
      <c r="J96" s="202">
        <f t="shared" si="363"/>
        <v>-13107.445338258529</v>
      </c>
    </row>
    <row r="97">
      <c r="A97" s="498"/>
      <c r="B97" s="499"/>
      <c r="C97" s="499"/>
      <c r="D97" s="499"/>
      <c r="E97" s="499"/>
      <c r="F97" s="45" t="str">
        <f>'Compte résultat prévi'!A95</f>
        <v xml:space="preserve">Charges patronales direction et administratif</v>
      </c>
      <c r="G97" s="501">
        <f>'Compte résultat prévi'!C95</f>
        <v>101518.6523379991</v>
      </c>
      <c r="H97" s="467">
        <f>SUMIF('Hypotheses expl'!$C$6:$N$6,"&lt;"&amp;'Suivi budgétaire'!$D$1,'Hypotheses expl'!C147:N147)</f>
        <v>8684.9080610502151</v>
      </c>
      <c r="I97" s="201">
        <f>SUMIF('Import balance'!$A$2:$A$65537,'Suivi budgétaire'!A97,'Import balance'!$E$2:$E$65537)+SUMIF('Import balance'!$A$2:$A$65537,'Suivi budgétaire'!B97,'Import balance'!$E$2:$E$65537)+SUMIF('Import balance'!$A$2:$A$65537,'Suivi budgétaire'!C97,'Import balance'!$E$2:$E$65537)+SUMIF('Import balance'!$A$2:$A$65537,'Suivi budgétaire'!D97,'Import balance'!$E$2:$E$65537)+SUMIF('Import balance'!$A$2:$A$65537,'Suivi budgétaire'!E97,'Import balance'!$E$2:$E$65537)</f>
        <v>0</v>
      </c>
      <c r="J97" s="202">
        <f t="shared" si="363"/>
        <v>-8684.9080610502151</v>
      </c>
    </row>
    <row r="98">
      <c r="A98" s="498"/>
      <c r="B98" s="499"/>
      <c r="C98" s="499"/>
      <c r="D98" s="499"/>
      <c r="E98" s="499"/>
      <c r="F98" s="45" t="str">
        <f>'Compte résultat prévi'!A96</f>
        <v xml:space="preserve">Charges patronales formateurs vacataires</v>
      </c>
      <c r="G98" s="501">
        <f>'Compte résultat prévi'!C96</f>
        <v>40579.973280000006</v>
      </c>
      <c r="H98" s="467">
        <f>SUMIF('Hypotheses expl'!$C$6:$N$6,"&lt;"&amp;'Suivi budgétaire'!$D$1,'Hypotheses expl'!C148:N148)</f>
        <v>3701.7657600000002</v>
      </c>
      <c r="I98" s="201">
        <f>SUMIF('Import balance'!$A$2:$A$65537,'Suivi budgétaire'!A98,'Import balance'!$E$2:$E$65537)+SUMIF('Import balance'!$A$2:$A$65537,'Suivi budgétaire'!B98,'Import balance'!$E$2:$E$65537)+SUMIF('Import balance'!$A$2:$A$65537,'Suivi budgétaire'!C98,'Import balance'!$E$2:$E$65537)+SUMIF('Import balance'!$A$2:$A$65537,'Suivi budgétaire'!D98,'Import balance'!$E$2:$E$65537)+SUMIF('Import balance'!$A$2:$A$65537,'Suivi budgétaire'!E98,'Import balance'!$E$2:$E$65537)</f>
        <v>0</v>
      </c>
      <c r="J98" s="202">
        <f t="shared" si="363"/>
        <v>-3701.7657600000002</v>
      </c>
    </row>
    <row r="99">
      <c r="A99" s="498"/>
      <c r="B99" s="499"/>
      <c r="C99" s="499"/>
      <c r="D99" s="499"/>
      <c r="E99" s="499"/>
      <c r="F99" s="45" t="str">
        <f>'Compte résultat prévi'!A97</f>
        <v>Mutuelles</v>
      </c>
      <c r="G99" s="501">
        <f>'Compte résultat prévi'!C97</f>
        <v>34800</v>
      </c>
      <c r="H99" s="467">
        <f>SUMIF('Hypotheses expl'!$C$6:$N$6,"&lt;"&amp;'Suivi budgétaire'!$D$1,'Hypotheses expl'!C149:N149)</f>
        <v>2900</v>
      </c>
      <c r="I99" s="201">
        <f>SUMIF('Import balance'!$A$2:$A$65537,'Suivi budgétaire'!A99,'Import balance'!$E$2:$E$65537)+SUMIF('Import balance'!$A$2:$A$65537,'Suivi budgétaire'!B99,'Import balance'!$E$2:$E$65537)+SUMIF('Import balance'!$A$2:$A$65537,'Suivi budgétaire'!C99,'Import balance'!$E$2:$E$65537)+SUMIF('Import balance'!$A$2:$A$65537,'Suivi budgétaire'!D99,'Import balance'!$E$2:$E$65537)+SUMIF('Import balance'!$A$2:$A$65537,'Suivi budgétaire'!E99,'Import balance'!$E$2:$E$65537)</f>
        <v>0</v>
      </c>
      <c r="J99" s="202">
        <f t="shared" si="363"/>
        <v>-2900</v>
      </c>
    </row>
    <row r="100">
      <c r="A100" s="498"/>
      <c r="B100" s="499"/>
      <c r="C100" s="499"/>
      <c r="D100" s="499"/>
      <c r="E100" s="499"/>
      <c r="F100" s="45" t="str">
        <f>'Compte résultat prévi'!A98</f>
        <v xml:space="preserve">Médecine du travail</v>
      </c>
      <c r="G100" s="501">
        <f>'Compte résultat prévi'!C98</f>
        <v>0</v>
      </c>
      <c r="H100" s="467">
        <f>SUMIF('Hypotheses expl'!$C$6:$N$6,"&lt;"&amp;'Suivi budgétaire'!$D$1,'Hypotheses expl'!C150:N150)</f>
        <v>0</v>
      </c>
      <c r="I100" s="201">
        <f>SUMIF('Import balance'!$A$2:$A$65537,'Suivi budgétaire'!A100,'Import balance'!$E$2:$E$65537)+SUMIF('Import balance'!$A$2:$A$65537,'Suivi budgétaire'!B100,'Import balance'!$E$2:$E$65537)+SUMIF('Import balance'!$A$2:$A$65537,'Suivi budgétaire'!C100,'Import balance'!$E$2:$E$65537)+SUMIF('Import balance'!$A$2:$A$65537,'Suivi budgétaire'!D100,'Import balance'!$E$2:$E$65537)+SUMIF('Import balance'!$A$2:$A$65537,'Suivi budgétaire'!E100,'Import balance'!$E$2:$E$65537)</f>
        <v>0</v>
      </c>
      <c r="J100" s="202">
        <f t="shared" si="363"/>
        <v>0</v>
      </c>
    </row>
    <row r="101">
      <c r="A101" s="498"/>
      <c r="B101" s="499"/>
      <c r="C101" s="499"/>
      <c r="D101" s="499"/>
      <c r="E101" s="499"/>
      <c r="F101" s="45" t="str">
        <f>'Compte résultat prévi'!A99</f>
        <v xml:space="preserve">Indemnités départ</v>
      </c>
      <c r="G101" s="501">
        <f>'Compte résultat prévi'!C99</f>
        <v>20559</v>
      </c>
      <c r="H101" s="467">
        <f>SUMIF('Hypotheses expl'!$C$6:$N$6,"&lt;"&amp;'Suivi budgétaire'!$D$1,'Hypotheses expl'!C151:N151)</f>
        <v>0</v>
      </c>
      <c r="I101" s="201">
        <f>SUMIF('Import balance'!$A$2:$A$65537,'Suivi budgétaire'!A101,'Import balance'!$E$2:$E$65537)+SUMIF('Import balance'!$A$2:$A$65537,'Suivi budgétaire'!B101,'Import balance'!$E$2:$E$65537)+SUMIF('Import balance'!$A$2:$A$65537,'Suivi budgétaire'!C101,'Import balance'!$E$2:$E$65537)+SUMIF('Import balance'!$A$2:$A$65537,'Suivi budgétaire'!D101,'Import balance'!$E$2:$E$65537)+SUMIF('Import balance'!$A$2:$A$65537,'Suivi budgétaire'!E101,'Import balance'!$E$2:$E$65537)</f>
        <v>0</v>
      </c>
      <c r="J101" s="202">
        <f t="shared" si="363"/>
        <v>0</v>
      </c>
    </row>
    <row r="102">
      <c r="A102" s="498"/>
      <c r="B102" s="499"/>
      <c r="C102" s="499"/>
      <c r="D102" s="499"/>
      <c r="E102" s="499"/>
      <c r="F102" s="45" t="str">
        <f>'Compte résultat prévi'!A100</f>
        <v xml:space="preserve">Versement CE</v>
      </c>
      <c r="G102" s="501">
        <f>'Compte résultat prévi'!C100</f>
        <v>10800</v>
      </c>
      <c r="H102" s="467">
        <f>SUMIF('Hypotheses expl'!$C$6:$N$6,"&lt;"&amp;'Suivi budgétaire'!$D$1,'Hypotheses expl'!C152:N152)</f>
        <v>0</v>
      </c>
      <c r="I102" s="201">
        <f>SUMIF('Import balance'!$A$2:$A$65537,'Suivi budgétaire'!A102,'Import balance'!$E$2:$E$65537)+SUMIF('Import balance'!$A$2:$A$65537,'Suivi budgétaire'!B102,'Import balance'!$E$2:$E$65537)+SUMIF('Import balance'!$A$2:$A$65537,'Suivi budgétaire'!C102,'Import balance'!$E$2:$E$65537)+SUMIF('Import balance'!$A$2:$A$65537,'Suivi budgétaire'!D102,'Import balance'!$E$2:$E$65537)+SUMIF('Import balance'!$A$2:$A$65537,'Suivi budgétaire'!E102,'Import balance'!$E$2:$E$65537)</f>
        <v>0</v>
      </c>
      <c r="J102" s="202">
        <f t="shared" si="363"/>
        <v>0</v>
      </c>
    </row>
    <row r="103">
      <c r="A103" s="498"/>
      <c r="B103" s="499"/>
      <c r="C103" s="499"/>
      <c r="D103" s="499"/>
      <c r="E103" s="499"/>
      <c r="F103" s="45" t="str">
        <f>'Compte résultat prévi'!A101</f>
        <v xml:space="preserve">Ticket restaurants</v>
      </c>
      <c r="G103" s="501">
        <f>'Compte résultat prévi'!C101</f>
        <v>25200</v>
      </c>
      <c r="H103" s="467">
        <f>SUMIF('Hypotheses expl'!$C$6:$N$6,"&lt;"&amp;'Suivi budgétaire'!$D$1,'Hypotheses expl'!C153:N153)</f>
        <v>2100</v>
      </c>
      <c r="I103" s="201">
        <f>SUMIF('Import balance'!$A$2:$A$65537,'Suivi budgétaire'!A103,'Import balance'!$E$2:$E$65537)+SUMIF('Import balance'!$A$2:$A$65537,'Suivi budgétaire'!B103,'Import balance'!$E$2:$E$65537)+SUMIF('Import balance'!$A$2:$A$65537,'Suivi budgétaire'!C103,'Import balance'!$E$2:$E$65537)+SUMIF('Import balance'!$A$2:$A$65537,'Suivi budgétaire'!D103,'Import balance'!$E$2:$E$65537)+SUMIF('Import balance'!$A$2:$A$65537,'Suivi budgétaire'!E103,'Import balance'!$E$2:$E$65537)</f>
        <v>0</v>
      </c>
      <c r="J103" s="202">
        <f t="shared" si="363"/>
        <v>-2100</v>
      </c>
    </row>
    <row r="104" ht="15.6">
      <c r="A104" s="492" t="str">
        <f>'Compte résultat prévi'!A102</f>
        <v xml:space="preserve">Autres charges de gestion courante</v>
      </c>
      <c r="B104" s="493"/>
      <c r="C104" s="493"/>
      <c r="D104" s="493"/>
      <c r="E104" s="493"/>
      <c r="F104" s="493"/>
      <c r="G104" s="493"/>
      <c r="H104" s="493"/>
      <c r="I104" s="493"/>
      <c r="J104" s="494"/>
    </row>
    <row r="105">
      <c r="A105" s="495"/>
      <c r="B105" s="499"/>
      <c r="C105" s="499"/>
      <c r="D105" s="499"/>
      <c r="E105" s="499"/>
      <c r="F105" s="45" t="str">
        <f>'Compte résultat prévi'!A103</f>
        <v xml:space="preserve">Pertes sur créances irrécouvrables</v>
      </c>
      <c r="G105" s="497">
        <f>'Compte résultat prévi'!C103</f>
        <v>25000</v>
      </c>
      <c r="H105" s="467">
        <f>SUMIF('Hypotheses expl'!$C$6:$N$6,"&lt;"&amp;'Suivi budgétaire'!$D$1,'Hypotheses expl'!C154:N154)</f>
        <v>0</v>
      </c>
      <c r="I105" s="201">
        <f>SUMIF('Import balance'!$A$2:$A$65537,'Suivi budgétaire'!A105,'Import balance'!$E$2:$E$65537)+SUMIF('Import balance'!$A$2:$A$65537,'Suivi budgétaire'!B105,'Import balance'!$E$2:$E$65537)+SUMIF('Import balance'!$A$2:$A$65537,'Suivi budgétaire'!C105,'Import balance'!$E$2:$E$65537)+SUMIF('Import balance'!$A$2:$A$65537,'Suivi budgétaire'!D105,'Import balance'!$E$2:$E$65537)+SUMIF('Import balance'!$A$2:$A$65537,'Suivi budgétaire'!E105,'Import balance'!$E$2:$E$65537)</f>
        <v>0</v>
      </c>
      <c r="J105" s="202">
        <f t="shared" si="363"/>
        <v>0</v>
      </c>
    </row>
    <row r="106">
      <c r="A106" s="498"/>
      <c r="B106" s="499"/>
      <c r="C106" s="499"/>
      <c r="D106" s="499"/>
      <c r="E106" s="499"/>
      <c r="F106" s="45" t="str">
        <f>'Compte résultat prévi'!A104</f>
        <v xml:space="preserve">Cotisations vie statuaire</v>
      </c>
      <c r="G106" s="497">
        <f>'Compte résultat prévi'!C104</f>
        <v>6900</v>
      </c>
      <c r="H106" s="467">
        <f>SUMIF('Hypotheses expl'!$C$6:$N$6,"&lt;"&amp;'Suivi budgétaire'!$D$1,'Hypotheses expl'!C155:N155)</f>
        <v>0</v>
      </c>
      <c r="I106" s="201">
        <f>SUMIF('Import balance'!$A$2:$A$65537,'Suivi budgétaire'!A106,'Import balance'!$E$2:$E$65537)+SUMIF('Import balance'!$A$2:$A$65537,'Suivi budgétaire'!B106,'Import balance'!$E$2:$E$65537)+SUMIF('Import balance'!$A$2:$A$65537,'Suivi budgétaire'!C106,'Import balance'!$E$2:$E$65537)+SUMIF('Import balance'!$A$2:$A$65537,'Suivi budgétaire'!D106,'Import balance'!$E$2:$E$65537)+SUMIF('Import balance'!$A$2:$A$65537,'Suivi budgétaire'!E106,'Import balance'!$E$2:$E$65537)</f>
        <v>0</v>
      </c>
      <c r="J106" s="202">
        <f t="shared" si="363"/>
        <v>0</v>
      </c>
    </row>
    <row r="107">
      <c r="A107" s="498"/>
      <c r="B107" s="499"/>
      <c r="C107" s="499"/>
      <c r="D107" s="499"/>
      <c r="E107" s="499"/>
      <c r="F107" s="45" t="str">
        <f>'Compte résultat prévi'!A105</f>
        <v xml:space="preserve">Autres charges de gestion courante</v>
      </c>
      <c r="G107" s="497">
        <f>'Compte résultat prévi'!C105</f>
        <v>0</v>
      </c>
      <c r="H107" s="467">
        <f>SUMIF('Hypotheses expl'!$C$6:$N$6,"&lt;"&amp;'Suivi budgétaire'!$D$1,'Hypotheses expl'!C156:N156)</f>
        <v>0</v>
      </c>
      <c r="I107" s="201">
        <f>SUMIF('Import balance'!$A$2:$A$65537,'Suivi budgétaire'!A107,'Import balance'!$E$2:$E$65537)+SUMIF('Import balance'!$A$2:$A$65537,'Suivi budgétaire'!B107,'Import balance'!$E$2:$E$65537)+SUMIF('Import balance'!$A$2:$A$65537,'Suivi budgétaire'!C107,'Import balance'!$E$2:$E$65537)+SUMIF('Import balance'!$A$2:$A$65537,'Suivi budgétaire'!D107,'Import balance'!$E$2:$E$65537)+SUMIF('Import balance'!$A$2:$A$65537,'Suivi budgétaire'!E107,'Import balance'!$E$2:$E$65537)</f>
        <v>0</v>
      </c>
      <c r="J107" s="202">
        <f t="shared" si="363"/>
        <v>0</v>
      </c>
    </row>
    <row r="108" ht="15.6">
      <c r="A108" s="502"/>
      <c r="B108" s="503"/>
      <c r="C108" s="503"/>
      <c r="D108" s="503"/>
      <c r="E108" s="503"/>
      <c r="F108" s="504" t="str">
        <f>'Compte résultat prévi'!A106</f>
        <v xml:space="preserve">Dotations aux amortissements et provisions</v>
      </c>
      <c r="G108" s="505">
        <f>'Compte résultat prévi'!C106</f>
        <v>33500</v>
      </c>
      <c r="H108" s="505">
        <f>SUMIF('Hypotheses expl'!$C$6:$N$6,"&lt;"&amp;'Suivi budgétaire'!$D$1,'Hypotheses expl'!C161:N161)+SUMIF('Hypotheses expl'!$C$6:$N$6,"&lt;"&amp;'Suivi budgétaire'!$D$1,'Hypotheses expl'!C162:N162)</f>
        <v>0</v>
      </c>
      <c r="I108" s="505">
        <f>SUMIF('Import balance'!$A$2:$A$65537,'Suivi budgétaire'!A108,'Import balance'!$E$2:$E$65537)+SUMIF('Import balance'!$A$2:$A$65537,'Suivi budgétaire'!B108,'Import balance'!$E$2:$E$65537)+SUMIF('Import balance'!$A$2:$A$65537,'Suivi budgétaire'!C108,'Import balance'!$E$2:$E$65537)+SUMIF('Import balance'!$A$2:$A$65537,'Suivi budgétaire'!D108,'Import balance'!$E$2:$E$65537)+SUMIF('Import balance'!$A$2:$A$65537,'Suivi budgétaire'!E108,'Import balance'!$E$2:$E$65537)</f>
        <v>0</v>
      </c>
      <c r="J108" s="506"/>
    </row>
    <row r="109" ht="18">
      <c r="A109" s="473" t="s">
        <v>449</v>
      </c>
      <c r="B109" s="474"/>
      <c r="C109" s="474"/>
      <c r="D109" s="474"/>
      <c r="E109" s="474"/>
      <c r="F109" s="474"/>
      <c r="G109" s="474"/>
      <c r="H109" s="474"/>
      <c r="I109" s="474"/>
      <c r="J109" s="475"/>
    </row>
    <row r="110" ht="15">
      <c r="A110" s="478"/>
      <c r="B110" s="479"/>
      <c r="C110" s="480"/>
      <c r="D110" s="480"/>
      <c r="E110" s="481"/>
      <c r="F110" s="482" t="s">
        <v>450</v>
      </c>
      <c r="G110" s="483">
        <f>'Compte résultat prévi'!C113+'Compte résultat prévi'!C120</f>
        <v>4000</v>
      </c>
      <c r="H110" s="483">
        <f>G110/12*MONTH(D1)</f>
        <v>333.33333333333331</v>
      </c>
      <c r="I110" s="483">
        <f>SUMIF('Import balance'!$F$2:$F$65537,6,'Import balance'!$E$2:$E$65537)-SUM(I49:I108)</f>
        <v>0</v>
      </c>
      <c r="J110" s="507">
        <f>I110-H110</f>
        <v>-333.33333333333331</v>
      </c>
    </row>
    <row r="111" ht="15"/>
    <row r="112" ht="18.600000000000001">
      <c r="A112" s="218" t="s">
        <v>451</v>
      </c>
      <c r="B112" s="486"/>
      <c r="C112" s="486"/>
      <c r="D112" s="486"/>
      <c r="E112" s="486"/>
      <c r="F112" s="486"/>
      <c r="G112" s="247">
        <f>SUM(G49:G84,G86:G91,G93:G103,G105:G107,G108,G110)</f>
        <v>1997026.564032963</v>
      </c>
      <c r="H112" s="247">
        <f>+H110+SUM(H49:H108)</f>
        <v>205178.24731058208</v>
      </c>
      <c r="I112" s="247">
        <f>+I110+SUM(I49:I108)</f>
        <v>0</v>
      </c>
      <c r="J112" s="248">
        <f>I112-H112</f>
        <v>-205178.24731058208</v>
      </c>
    </row>
    <row r="113" ht="15"/>
    <row r="114" ht="18.600000000000001">
      <c r="A114" s="508" t="s">
        <v>452</v>
      </c>
      <c r="B114" s="509"/>
      <c r="C114" s="509"/>
      <c r="D114" s="509"/>
      <c r="E114" s="509"/>
      <c r="F114" s="509"/>
      <c r="G114" s="510" t="e">
        <f>+G45-G112</f>
        <v>#REF!</v>
      </c>
      <c r="H114" s="510">
        <f>+H45-H112</f>
        <v>-203347.0556439154</v>
      </c>
      <c r="I114" s="510">
        <f>+I45-I112</f>
        <v>0</v>
      </c>
      <c r="J114" s="511">
        <f>I114-H114</f>
        <v>203347.0556439154</v>
      </c>
    </row>
    <row r="115">
      <c r="A115" s="512"/>
      <c r="B115" s="513"/>
      <c r="G115" s="514" t="s">
        <v>453</v>
      </c>
      <c r="I115" s="514">
        <f>-SUMIF('Import balance'!$F$2:$F$65537,7,'Import balance'!$E$2:$E$65537)-SUMIF('Import balance'!$F$2:$F$65537,6,'Import balance'!$E$2:$E$65537)</f>
        <v>0</v>
      </c>
      <c r="J115" s="169" t="str">
        <f>IF(I115=I114,"x","y")</f>
        <v>x</v>
      </c>
    </row>
  </sheetData>
  <mergeCells count="17">
    <mergeCell ref="A5:J5"/>
    <mergeCell ref="A1:C1"/>
    <mergeCell ref="A2:F3"/>
    <mergeCell ref="G2:G3"/>
    <mergeCell ref="H2:J2"/>
    <mergeCell ref="H3:J3"/>
    <mergeCell ref="A109:J109"/>
    <mergeCell ref="A112:F112"/>
    <mergeCell ref="A114:F114"/>
    <mergeCell ref="A92:J92"/>
    <mergeCell ref="A104:J104"/>
    <mergeCell ref="A85:J85"/>
    <mergeCell ref="A42:J42"/>
    <mergeCell ref="A45:F45"/>
    <mergeCell ref="A47:J47"/>
    <mergeCell ref="A21:J21"/>
    <mergeCell ref="A48:J48"/>
  </mergeCells>
  <printOptions headings="0" gridLines="0"/>
  <pageMargins left="0.69999999999999996" right="0.69999999999999996" top="0.75" bottom="0.75" header="0.29999999999999999" footer="0.29999999999999999"/>
  <pageSetup paperSize="9" scale="53" fitToWidth="1" fitToHeight="2" pageOrder="downThenOver" orientation="portrait" usePrinterDefaults="1" blackAndWhite="0" draft="0" cellComments="none" useFirstPageNumber="0" errors="displayed" horizontalDpi="600" verticalDpi="300" copies="1"/>
  <headerFooter/>
  <drawing r:id="rId1"/>
  <extLst>
    <ext xmlns:x14="http://schemas.microsoft.com/office/spreadsheetml/2009/9/main" uri="{78C0D931-6437-407d-A8EE-F0AAD7539E65}">
      <x14:conditionalFormattings>
        <x14:conditionalFormatting xmlns:xm="http://schemas.microsoft.com/office/excel/2006/main">
          <x14:cfRule type="cellIs" priority="1" operator="equal" stopIfTrue="1" id="{00B0000F-00C8-4D5F-B079-002500350032}">
            <xm:f>"y"</xm:f>
            <x14:dxf>
              <font>
                <color indexed="2"/>
              </font>
              <fill>
                <patternFill patternType="solid">
                  <fgColor indexed="2"/>
                  <bgColor indexed="2"/>
                </patternFill>
              </fill>
            </x14:dxf>
          </x14:cfRule>
          <xm:sqref>J115</xm:sqref>
        </x14:conditionalFormatting>
        <x14:conditionalFormatting xmlns:xm="http://schemas.microsoft.com/office/excel/2006/main">
          <x14:cfRule type="cellIs" priority="2" operator="equal" stopIfTrue="1" id="{00A6005A-004A-445D-AC4C-005500090017}">
            <xm:f>"x"</xm:f>
            <x14:dxf>
              <font>
                <color rgb="FF00B050"/>
              </font>
              <fill>
                <patternFill patternType="solid">
                  <fgColor rgb="FF00B050"/>
                  <bgColor rgb="FF00B050"/>
                </patternFill>
              </fill>
            </x14:dxf>
          </x14:cfRule>
          <xm:sqref>J115</xm:sqref>
        </x14:conditionalFormatting>
      </x14:conditionalFormattings>
    </ext>
  </extLst>
</worksheet>
</file>

<file path=xl/worksheets/sheet1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sheetPr>
    <outlinePr applyStyles="0" summaryBelow="1" summaryRight="1" showOutlineSymbols="1"/>
    <pageSetUpPr autoPageBreaks="1" fitToPage="1"/>
  </sheetPr>
  <sheetViews>
    <sheetView zoomScale="100" workbookViewId="0">
      <selection activeCell="R3" activeCellId="0" sqref="R3"/>
    </sheetView>
  </sheetViews>
  <sheetFormatPr baseColWidth="10" defaultColWidth="11.44140625" defaultRowHeight="14.4"/>
  <cols>
    <col customWidth="1" min="1" max="1" style="36" width="11.33203125"/>
    <col customWidth="1" min="2" max="4" style="36" width="7.5546875"/>
    <col customWidth="1" min="5" max="5" style="36" width="3.6640625"/>
    <col customWidth="1" min="6" max="6" style="36" width="11.33203125"/>
    <col customWidth="1" min="7" max="9" style="36" width="7.5546875"/>
    <col customWidth="1" min="10" max="10" style="36" width="3.6640625"/>
    <col customWidth="1" min="11" max="11" style="36" width="11.33203125"/>
    <col customWidth="1" min="12" max="14" style="36" width="7.5546875"/>
    <col customWidth="1" min="15" max="15" style="36" width="3.6640625"/>
    <col min="16" max="19" style="36" width="10.6640625"/>
    <col customWidth="1" min="20" max="20" style="36" width="10.6640625"/>
    <col min="21" max="256" style="36" width="10.6640625"/>
    <col customWidth="1" min="257" max="257" style="36" width="11.33203125"/>
    <col customWidth="1" min="258" max="260" style="36" width="7.5546875"/>
    <col customWidth="1" min="261" max="261" style="36" width="3.6640625"/>
    <col customWidth="1" min="262" max="262" style="36" width="11.33203125"/>
    <col customWidth="1" min="263" max="265" style="36" width="7.5546875"/>
    <col customWidth="1" min="266" max="266" style="36" width="3.6640625"/>
    <col customWidth="1" min="267" max="267" style="36" width="11.33203125"/>
    <col customWidth="1" min="268" max="270" style="36" width="7.5546875"/>
    <col customWidth="1" min="271" max="271" style="36" width="3.6640625"/>
    <col min="272" max="512" style="36" width="10.6640625"/>
    <col customWidth="1" min="513" max="513" style="36" width="11.33203125"/>
    <col customWidth="1" min="514" max="516" style="36" width="7.5546875"/>
    <col customWidth="1" min="517" max="517" style="36" width="3.6640625"/>
    <col customWidth="1" min="518" max="518" style="36" width="11.33203125"/>
    <col customWidth="1" min="519" max="521" style="36" width="7.5546875"/>
    <col customWidth="1" min="522" max="522" style="36" width="3.6640625"/>
    <col customWidth="1" min="523" max="523" style="36" width="11.33203125"/>
    <col customWidth="1" min="524" max="526" style="36" width="7.5546875"/>
    <col customWidth="1" min="527" max="527" style="36" width="3.6640625"/>
    <col min="528" max="768" style="36" width="10.6640625"/>
    <col customWidth="1" min="769" max="769" style="36" width="11.33203125"/>
    <col customWidth="1" min="770" max="772" style="36" width="7.5546875"/>
    <col customWidth="1" min="773" max="773" style="36" width="3.6640625"/>
    <col customWidth="1" min="774" max="774" style="36" width="11.33203125"/>
    <col customWidth="1" min="775" max="777" style="36" width="7.5546875"/>
    <col customWidth="1" min="778" max="778" style="36" width="3.6640625"/>
    <col customWidth="1" min="779" max="779" style="36" width="11.33203125"/>
    <col customWidth="1" min="780" max="782" style="36" width="7.5546875"/>
    <col customWidth="1" min="783" max="783" style="36" width="3.6640625"/>
    <col min="784" max="1024" style="36" width="10.6640625"/>
    <col customWidth="1" min="1025" max="1025" style="36" width="11.33203125"/>
    <col customWidth="1" min="1026" max="1028" style="36" width="7.5546875"/>
    <col customWidth="1" min="1029" max="1029" style="36" width="3.6640625"/>
    <col customWidth="1" min="1030" max="1030" style="36" width="11.33203125"/>
    <col customWidth="1" min="1031" max="1033" style="36" width="7.5546875"/>
    <col customWidth="1" min="1034" max="1034" style="36" width="3.6640625"/>
    <col customWidth="1" min="1035" max="1035" style="36" width="11.33203125"/>
    <col customWidth="1" min="1036" max="1038" style="36" width="7.5546875"/>
    <col customWidth="1" min="1039" max="1039" style="36" width="3.6640625"/>
    <col min="1040" max="1280" style="36" width="10.6640625"/>
    <col customWidth="1" min="1281" max="1281" style="36" width="11.33203125"/>
    <col customWidth="1" min="1282" max="1284" style="36" width="7.5546875"/>
    <col customWidth="1" min="1285" max="1285" style="36" width="3.6640625"/>
    <col customWidth="1" min="1286" max="1286" style="36" width="11.33203125"/>
    <col customWidth="1" min="1287" max="1289" style="36" width="7.5546875"/>
    <col customWidth="1" min="1290" max="1290" style="36" width="3.6640625"/>
    <col customWidth="1" min="1291" max="1291" style="36" width="11.33203125"/>
    <col customWidth="1" min="1292" max="1294" style="36" width="7.5546875"/>
    <col customWidth="1" min="1295" max="1295" style="36" width="3.6640625"/>
    <col min="1296" max="1536" style="36" width="10.6640625"/>
    <col customWidth="1" min="1537" max="1537" style="36" width="11.33203125"/>
    <col customWidth="1" min="1538" max="1540" style="36" width="7.5546875"/>
    <col customWidth="1" min="1541" max="1541" style="36" width="3.6640625"/>
    <col customWidth="1" min="1542" max="1542" style="36" width="11.33203125"/>
    <col customWidth="1" min="1543" max="1545" style="36" width="7.5546875"/>
    <col customWidth="1" min="1546" max="1546" style="36" width="3.6640625"/>
    <col customWidth="1" min="1547" max="1547" style="36" width="11.33203125"/>
    <col customWidth="1" min="1548" max="1550" style="36" width="7.5546875"/>
    <col customWidth="1" min="1551" max="1551" style="36" width="3.6640625"/>
    <col min="1552" max="1792" style="36" width="10.6640625"/>
    <col customWidth="1" min="1793" max="1793" style="36" width="11.33203125"/>
    <col customWidth="1" min="1794" max="1796" style="36" width="7.5546875"/>
    <col customWidth="1" min="1797" max="1797" style="36" width="3.6640625"/>
    <col customWidth="1" min="1798" max="1798" style="36" width="11.33203125"/>
    <col customWidth="1" min="1799" max="1801" style="36" width="7.5546875"/>
    <col customWidth="1" min="1802" max="1802" style="36" width="3.6640625"/>
    <col customWidth="1" min="1803" max="1803" style="36" width="11.33203125"/>
    <col customWidth="1" min="1804" max="1806" style="36" width="7.5546875"/>
    <col customWidth="1" min="1807" max="1807" style="36" width="3.6640625"/>
    <col min="1808" max="2048" style="36" width="10.6640625"/>
    <col customWidth="1" min="2049" max="2049" style="36" width="11.33203125"/>
    <col customWidth="1" min="2050" max="2052" style="36" width="7.5546875"/>
    <col customWidth="1" min="2053" max="2053" style="36" width="3.6640625"/>
    <col customWidth="1" min="2054" max="2054" style="36" width="11.33203125"/>
    <col customWidth="1" min="2055" max="2057" style="36" width="7.5546875"/>
    <col customWidth="1" min="2058" max="2058" style="36" width="3.6640625"/>
    <col customWidth="1" min="2059" max="2059" style="36" width="11.33203125"/>
    <col customWidth="1" min="2060" max="2062" style="36" width="7.5546875"/>
    <col customWidth="1" min="2063" max="2063" style="36" width="3.6640625"/>
    <col min="2064" max="2304" style="36" width="10.6640625"/>
    <col customWidth="1" min="2305" max="2305" style="36" width="11.33203125"/>
    <col customWidth="1" min="2306" max="2308" style="36" width="7.5546875"/>
    <col customWidth="1" min="2309" max="2309" style="36" width="3.6640625"/>
    <col customWidth="1" min="2310" max="2310" style="36" width="11.33203125"/>
    <col customWidth="1" min="2311" max="2313" style="36" width="7.5546875"/>
    <col customWidth="1" min="2314" max="2314" style="36" width="3.6640625"/>
    <col customWidth="1" min="2315" max="2315" style="36" width="11.33203125"/>
    <col customWidth="1" min="2316" max="2318" style="36" width="7.5546875"/>
    <col customWidth="1" min="2319" max="2319" style="36" width="3.6640625"/>
    <col min="2320" max="2560" style="36" width="10.6640625"/>
    <col customWidth="1" min="2561" max="2561" style="36" width="11.33203125"/>
    <col customWidth="1" min="2562" max="2564" style="36" width="7.5546875"/>
    <col customWidth="1" min="2565" max="2565" style="36" width="3.6640625"/>
    <col customWidth="1" min="2566" max="2566" style="36" width="11.33203125"/>
    <col customWidth="1" min="2567" max="2569" style="36" width="7.5546875"/>
    <col customWidth="1" min="2570" max="2570" style="36" width="3.6640625"/>
    <col customWidth="1" min="2571" max="2571" style="36" width="11.33203125"/>
    <col customWidth="1" min="2572" max="2574" style="36" width="7.5546875"/>
    <col customWidth="1" min="2575" max="2575" style="36" width="3.6640625"/>
    <col min="2576" max="2816" style="36" width="10.6640625"/>
    <col customWidth="1" min="2817" max="2817" style="36" width="11.33203125"/>
    <col customWidth="1" min="2818" max="2820" style="36" width="7.5546875"/>
    <col customWidth="1" min="2821" max="2821" style="36" width="3.6640625"/>
    <col customWidth="1" min="2822" max="2822" style="36" width="11.33203125"/>
    <col customWidth="1" min="2823" max="2825" style="36" width="7.5546875"/>
    <col customWidth="1" min="2826" max="2826" style="36" width="3.6640625"/>
    <col customWidth="1" min="2827" max="2827" style="36" width="11.33203125"/>
    <col customWidth="1" min="2828" max="2830" style="36" width="7.5546875"/>
    <col customWidth="1" min="2831" max="2831" style="36" width="3.6640625"/>
    <col min="2832" max="3072" style="36" width="10.6640625"/>
    <col customWidth="1" min="3073" max="3073" style="36" width="11.33203125"/>
    <col customWidth="1" min="3074" max="3076" style="36" width="7.5546875"/>
    <col customWidth="1" min="3077" max="3077" style="36" width="3.6640625"/>
    <col customWidth="1" min="3078" max="3078" style="36" width="11.33203125"/>
    <col customWidth="1" min="3079" max="3081" style="36" width="7.5546875"/>
    <col customWidth="1" min="3082" max="3082" style="36" width="3.6640625"/>
    <col customWidth="1" min="3083" max="3083" style="36" width="11.33203125"/>
    <col customWidth="1" min="3084" max="3086" style="36" width="7.5546875"/>
    <col customWidth="1" min="3087" max="3087" style="36" width="3.6640625"/>
    <col min="3088" max="3328" style="36" width="10.6640625"/>
    <col customWidth="1" min="3329" max="3329" style="36" width="11.33203125"/>
    <col customWidth="1" min="3330" max="3332" style="36" width="7.5546875"/>
    <col customWidth="1" min="3333" max="3333" style="36" width="3.6640625"/>
    <col customWidth="1" min="3334" max="3334" style="36" width="11.33203125"/>
    <col customWidth="1" min="3335" max="3337" style="36" width="7.5546875"/>
    <col customWidth="1" min="3338" max="3338" style="36" width="3.6640625"/>
    <col customWidth="1" min="3339" max="3339" style="36" width="11.33203125"/>
    <col customWidth="1" min="3340" max="3342" style="36" width="7.5546875"/>
    <col customWidth="1" min="3343" max="3343" style="36" width="3.6640625"/>
    <col min="3344" max="3584" style="36" width="10.6640625"/>
    <col customWidth="1" min="3585" max="3585" style="36" width="11.33203125"/>
    <col customWidth="1" min="3586" max="3588" style="36" width="7.5546875"/>
    <col customWidth="1" min="3589" max="3589" style="36" width="3.6640625"/>
    <col customWidth="1" min="3590" max="3590" style="36" width="11.33203125"/>
    <col customWidth="1" min="3591" max="3593" style="36" width="7.5546875"/>
    <col customWidth="1" min="3594" max="3594" style="36" width="3.6640625"/>
    <col customWidth="1" min="3595" max="3595" style="36" width="11.33203125"/>
    <col customWidth="1" min="3596" max="3598" style="36" width="7.5546875"/>
    <col customWidth="1" min="3599" max="3599" style="36" width="3.6640625"/>
    <col min="3600" max="3840" style="36" width="10.6640625"/>
    <col customWidth="1" min="3841" max="3841" style="36" width="11.33203125"/>
    <col customWidth="1" min="3842" max="3844" style="36" width="7.5546875"/>
    <col customWidth="1" min="3845" max="3845" style="36" width="3.6640625"/>
    <col customWidth="1" min="3846" max="3846" style="36" width="11.33203125"/>
    <col customWidth="1" min="3847" max="3849" style="36" width="7.5546875"/>
    <col customWidth="1" min="3850" max="3850" style="36" width="3.6640625"/>
    <col customWidth="1" min="3851" max="3851" style="36" width="11.33203125"/>
    <col customWidth="1" min="3852" max="3854" style="36" width="7.5546875"/>
    <col customWidth="1" min="3855" max="3855" style="36" width="3.6640625"/>
    <col min="3856" max="4096" style="36" width="10.6640625"/>
    <col customWidth="1" min="4097" max="4097" style="36" width="11.33203125"/>
    <col customWidth="1" min="4098" max="4100" style="36" width="7.5546875"/>
    <col customWidth="1" min="4101" max="4101" style="36" width="3.6640625"/>
    <col customWidth="1" min="4102" max="4102" style="36" width="11.33203125"/>
    <col customWidth="1" min="4103" max="4105" style="36" width="7.5546875"/>
    <col customWidth="1" min="4106" max="4106" style="36" width="3.6640625"/>
    <col customWidth="1" min="4107" max="4107" style="36" width="11.33203125"/>
    <col customWidth="1" min="4108" max="4110" style="36" width="7.5546875"/>
    <col customWidth="1" min="4111" max="4111" style="36" width="3.6640625"/>
    <col min="4112" max="4352" style="36" width="10.6640625"/>
    <col customWidth="1" min="4353" max="4353" style="36" width="11.33203125"/>
    <col customWidth="1" min="4354" max="4356" style="36" width="7.5546875"/>
    <col customWidth="1" min="4357" max="4357" style="36" width="3.6640625"/>
    <col customWidth="1" min="4358" max="4358" style="36" width="11.33203125"/>
    <col customWidth="1" min="4359" max="4361" style="36" width="7.5546875"/>
    <col customWidth="1" min="4362" max="4362" style="36" width="3.6640625"/>
    <col customWidth="1" min="4363" max="4363" style="36" width="11.33203125"/>
    <col customWidth="1" min="4364" max="4366" style="36" width="7.5546875"/>
    <col customWidth="1" min="4367" max="4367" style="36" width="3.6640625"/>
    <col min="4368" max="4608" style="36" width="10.6640625"/>
    <col customWidth="1" min="4609" max="4609" style="36" width="11.33203125"/>
    <col customWidth="1" min="4610" max="4612" style="36" width="7.5546875"/>
    <col customWidth="1" min="4613" max="4613" style="36" width="3.6640625"/>
    <col customWidth="1" min="4614" max="4614" style="36" width="11.33203125"/>
    <col customWidth="1" min="4615" max="4617" style="36" width="7.5546875"/>
    <col customWidth="1" min="4618" max="4618" style="36" width="3.6640625"/>
    <col customWidth="1" min="4619" max="4619" style="36" width="11.33203125"/>
    <col customWidth="1" min="4620" max="4622" style="36" width="7.5546875"/>
    <col customWidth="1" min="4623" max="4623" style="36" width="3.6640625"/>
    <col min="4624" max="4864" style="36" width="10.6640625"/>
    <col customWidth="1" min="4865" max="4865" style="36" width="11.33203125"/>
    <col customWidth="1" min="4866" max="4868" style="36" width="7.5546875"/>
    <col customWidth="1" min="4869" max="4869" style="36" width="3.6640625"/>
    <col customWidth="1" min="4870" max="4870" style="36" width="11.33203125"/>
    <col customWidth="1" min="4871" max="4873" style="36" width="7.5546875"/>
    <col customWidth="1" min="4874" max="4874" style="36" width="3.6640625"/>
    <col customWidth="1" min="4875" max="4875" style="36" width="11.33203125"/>
    <col customWidth="1" min="4876" max="4878" style="36" width="7.5546875"/>
    <col customWidth="1" min="4879" max="4879" style="36" width="3.6640625"/>
    <col min="4880" max="5120" style="36" width="10.6640625"/>
    <col customWidth="1" min="5121" max="5121" style="36" width="11.33203125"/>
    <col customWidth="1" min="5122" max="5124" style="36" width="7.5546875"/>
    <col customWidth="1" min="5125" max="5125" style="36" width="3.6640625"/>
    <col customWidth="1" min="5126" max="5126" style="36" width="11.33203125"/>
    <col customWidth="1" min="5127" max="5129" style="36" width="7.5546875"/>
    <col customWidth="1" min="5130" max="5130" style="36" width="3.6640625"/>
    <col customWidth="1" min="5131" max="5131" style="36" width="11.33203125"/>
    <col customWidth="1" min="5132" max="5134" style="36" width="7.5546875"/>
    <col customWidth="1" min="5135" max="5135" style="36" width="3.6640625"/>
    <col min="5136" max="5376" style="36" width="10.6640625"/>
    <col customWidth="1" min="5377" max="5377" style="36" width="11.33203125"/>
    <col customWidth="1" min="5378" max="5380" style="36" width="7.5546875"/>
    <col customWidth="1" min="5381" max="5381" style="36" width="3.6640625"/>
    <col customWidth="1" min="5382" max="5382" style="36" width="11.33203125"/>
    <col customWidth="1" min="5383" max="5385" style="36" width="7.5546875"/>
    <col customWidth="1" min="5386" max="5386" style="36" width="3.6640625"/>
    <col customWidth="1" min="5387" max="5387" style="36" width="11.33203125"/>
    <col customWidth="1" min="5388" max="5390" style="36" width="7.5546875"/>
    <col customWidth="1" min="5391" max="5391" style="36" width="3.6640625"/>
    <col min="5392" max="5632" style="36" width="10.6640625"/>
    <col customWidth="1" min="5633" max="5633" style="36" width="11.33203125"/>
    <col customWidth="1" min="5634" max="5636" style="36" width="7.5546875"/>
    <col customWidth="1" min="5637" max="5637" style="36" width="3.6640625"/>
    <col customWidth="1" min="5638" max="5638" style="36" width="11.33203125"/>
    <col customWidth="1" min="5639" max="5641" style="36" width="7.5546875"/>
    <col customWidth="1" min="5642" max="5642" style="36" width="3.6640625"/>
    <col customWidth="1" min="5643" max="5643" style="36" width="11.33203125"/>
    <col customWidth="1" min="5644" max="5646" style="36" width="7.5546875"/>
    <col customWidth="1" min="5647" max="5647" style="36" width="3.6640625"/>
    <col min="5648" max="5888" style="36" width="10.6640625"/>
    <col customWidth="1" min="5889" max="5889" style="36" width="11.33203125"/>
    <col customWidth="1" min="5890" max="5892" style="36" width="7.5546875"/>
    <col customWidth="1" min="5893" max="5893" style="36" width="3.6640625"/>
    <col customWidth="1" min="5894" max="5894" style="36" width="11.33203125"/>
    <col customWidth="1" min="5895" max="5897" style="36" width="7.5546875"/>
    <col customWidth="1" min="5898" max="5898" style="36" width="3.6640625"/>
    <col customWidth="1" min="5899" max="5899" style="36" width="11.33203125"/>
    <col customWidth="1" min="5900" max="5902" style="36" width="7.5546875"/>
    <col customWidth="1" min="5903" max="5903" style="36" width="3.6640625"/>
    <col min="5904" max="6144" style="36" width="10.6640625"/>
    <col customWidth="1" min="6145" max="6145" style="36" width="11.33203125"/>
    <col customWidth="1" min="6146" max="6148" style="36" width="7.5546875"/>
    <col customWidth="1" min="6149" max="6149" style="36" width="3.6640625"/>
    <col customWidth="1" min="6150" max="6150" style="36" width="11.33203125"/>
    <col customWidth="1" min="6151" max="6153" style="36" width="7.5546875"/>
    <col customWidth="1" min="6154" max="6154" style="36" width="3.6640625"/>
    <col customWidth="1" min="6155" max="6155" style="36" width="11.33203125"/>
    <col customWidth="1" min="6156" max="6158" style="36" width="7.5546875"/>
    <col customWidth="1" min="6159" max="6159" style="36" width="3.6640625"/>
    <col min="6160" max="6400" style="36" width="10.6640625"/>
    <col customWidth="1" min="6401" max="6401" style="36" width="11.33203125"/>
    <col customWidth="1" min="6402" max="6404" style="36" width="7.5546875"/>
    <col customWidth="1" min="6405" max="6405" style="36" width="3.6640625"/>
    <col customWidth="1" min="6406" max="6406" style="36" width="11.33203125"/>
    <col customWidth="1" min="6407" max="6409" style="36" width="7.5546875"/>
    <col customWidth="1" min="6410" max="6410" style="36" width="3.6640625"/>
    <col customWidth="1" min="6411" max="6411" style="36" width="11.33203125"/>
    <col customWidth="1" min="6412" max="6414" style="36" width="7.5546875"/>
    <col customWidth="1" min="6415" max="6415" style="36" width="3.6640625"/>
    <col min="6416" max="6656" style="36" width="10.6640625"/>
    <col customWidth="1" min="6657" max="6657" style="36" width="11.33203125"/>
    <col customWidth="1" min="6658" max="6660" style="36" width="7.5546875"/>
    <col customWidth="1" min="6661" max="6661" style="36" width="3.6640625"/>
    <col customWidth="1" min="6662" max="6662" style="36" width="11.33203125"/>
    <col customWidth="1" min="6663" max="6665" style="36" width="7.5546875"/>
    <col customWidth="1" min="6666" max="6666" style="36" width="3.6640625"/>
    <col customWidth="1" min="6667" max="6667" style="36" width="11.33203125"/>
    <col customWidth="1" min="6668" max="6670" style="36" width="7.5546875"/>
    <col customWidth="1" min="6671" max="6671" style="36" width="3.6640625"/>
    <col min="6672" max="6912" style="36" width="10.6640625"/>
    <col customWidth="1" min="6913" max="6913" style="36" width="11.33203125"/>
    <col customWidth="1" min="6914" max="6916" style="36" width="7.5546875"/>
    <col customWidth="1" min="6917" max="6917" style="36" width="3.6640625"/>
    <col customWidth="1" min="6918" max="6918" style="36" width="11.33203125"/>
    <col customWidth="1" min="6919" max="6921" style="36" width="7.5546875"/>
    <col customWidth="1" min="6922" max="6922" style="36" width="3.6640625"/>
    <col customWidth="1" min="6923" max="6923" style="36" width="11.33203125"/>
    <col customWidth="1" min="6924" max="6926" style="36" width="7.5546875"/>
    <col customWidth="1" min="6927" max="6927" style="36" width="3.6640625"/>
    <col min="6928" max="7168" style="36" width="10.6640625"/>
    <col customWidth="1" min="7169" max="7169" style="36" width="11.33203125"/>
    <col customWidth="1" min="7170" max="7172" style="36" width="7.5546875"/>
    <col customWidth="1" min="7173" max="7173" style="36" width="3.6640625"/>
    <col customWidth="1" min="7174" max="7174" style="36" width="11.33203125"/>
    <col customWidth="1" min="7175" max="7177" style="36" width="7.5546875"/>
    <col customWidth="1" min="7178" max="7178" style="36" width="3.6640625"/>
    <col customWidth="1" min="7179" max="7179" style="36" width="11.33203125"/>
    <col customWidth="1" min="7180" max="7182" style="36" width="7.5546875"/>
    <col customWidth="1" min="7183" max="7183" style="36" width="3.6640625"/>
    <col min="7184" max="7424" style="36" width="10.6640625"/>
    <col customWidth="1" min="7425" max="7425" style="36" width="11.33203125"/>
    <col customWidth="1" min="7426" max="7428" style="36" width="7.5546875"/>
    <col customWidth="1" min="7429" max="7429" style="36" width="3.6640625"/>
    <col customWidth="1" min="7430" max="7430" style="36" width="11.33203125"/>
    <col customWidth="1" min="7431" max="7433" style="36" width="7.5546875"/>
    <col customWidth="1" min="7434" max="7434" style="36" width="3.6640625"/>
    <col customWidth="1" min="7435" max="7435" style="36" width="11.33203125"/>
    <col customWidth="1" min="7436" max="7438" style="36" width="7.5546875"/>
    <col customWidth="1" min="7439" max="7439" style="36" width="3.6640625"/>
    <col min="7440" max="7680" style="36" width="10.6640625"/>
    <col customWidth="1" min="7681" max="7681" style="36" width="11.33203125"/>
    <col customWidth="1" min="7682" max="7684" style="36" width="7.5546875"/>
    <col customWidth="1" min="7685" max="7685" style="36" width="3.6640625"/>
    <col customWidth="1" min="7686" max="7686" style="36" width="11.33203125"/>
    <col customWidth="1" min="7687" max="7689" style="36" width="7.5546875"/>
    <col customWidth="1" min="7690" max="7690" style="36" width="3.6640625"/>
    <col customWidth="1" min="7691" max="7691" style="36" width="11.33203125"/>
    <col customWidth="1" min="7692" max="7694" style="36" width="7.5546875"/>
    <col customWidth="1" min="7695" max="7695" style="36" width="3.6640625"/>
    <col min="7696" max="7936" style="36" width="10.6640625"/>
    <col customWidth="1" min="7937" max="7937" style="36" width="11.33203125"/>
    <col customWidth="1" min="7938" max="7940" style="36" width="7.5546875"/>
    <col customWidth="1" min="7941" max="7941" style="36" width="3.6640625"/>
    <col customWidth="1" min="7942" max="7942" style="36" width="11.33203125"/>
    <col customWidth="1" min="7943" max="7945" style="36" width="7.5546875"/>
    <col customWidth="1" min="7946" max="7946" style="36" width="3.6640625"/>
    <col customWidth="1" min="7947" max="7947" style="36" width="11.33203125"/>
    <col customWidth="1" min="7948" max="7950" style="36" width="7.5546875"/>
    <col customWidth="1" min="7951" max="7951" style="36" width="3.6640625"/>
    <col min="7952" max="8192" style="36" width="10.6640625"/>
    <col customWidth="1" min="8193" max="8193" style="36" width="11.33203125"/>
    <col customWidth="1" min="8194" max="8196" style="36" width="7.5546875"/>
    <col customWidth="1" min="8197" max="8197" style="36" width="3.6640625"/>
    <col customWidth="1" min="8198" max="8198" style="36" width="11.33203125"/>
    <col customWidth="1" min="8199" max="8201" style="36" width="7.5546875"/>
    <col customWidth="1" min="8202" max="8202" style="36" width="3.6640625"/>
    <col customWidth="1" min="8203" max="8203" style="36" width="11.33203125"/>
    <col customWidth="1" min="8204" max="8206" style="36" width="7.5546875"/>
    <col customWidth="1" min="8207" max="8207" style="36" width="3.6640625"/>
    <col min="8208" max="8448" style="36" width="10.6640625"/>
    <col customWidth="1" min="8449" max="8449" style="36" width="11.33203125"/>
    <col customWidth="1" min="8450" max="8452" style="36" width="7.5546875"/>
    <col customWidth="1" min="8453" max="8453" style="36" width="3.6640625"/>
    <col customWidth="1" min="8454" max="8454" style="36" width="11.33203125"/>
    <col customWidth="1" min="8455" max="8457" style="36" width="7.5546875"/>
    <col customWidth="1" min="8458" max="8458" style="36" width="3.6640625"/>
    <col customWidth="1" min="8459" max="8459" style="36" width="11.33203125"/>
    <col customWidth="1" min="8460" max="8462" style="36" width="7.5546875"/>
    <col customWidth="1" min="8463" max="8463" style="36" width="3.6640625"/>
    <col min="8464" max="8704" style="36" width="10.6640625"/>
    <col customWidth="1" min="8705" max="8705" style="36" width="11.33203125"/>
    <col customWidth="1" min="8706" max="8708" style="36" width="7.5546875"/>
    <col customWidth="1" min="8709" max="8709" style="36" width="3.6640625"/>
    <col customWidth="1" min="8710" max="8710" style="36" width="11.33203125"/>
    <col customWidth="1" min="8711" max="8713" style="36" width="7.5546875"/>
    <col customWidth="1" min="8714" max="8714" style="36" width="3.6640625"/>
    <col customWidth="1" min="8715" max="8715" style="36" width="11.33203125"/>
    <col customWidth="1" min="8716" max="8718" style="36" width="7.5546875"/>
    <col customWidth="1" min="8719" max="8719" style="36" width="3.6640625"/>
    <col min="8720" max="8960" style="36" width="10.6640625"/>
    <col customWidth="1" min="8961" max="8961" style="36" width="11.33203125"/>
    <col customWidth="1" min="8962" max="8964" style="36" width="7.5546875"/>
    <col customWidth="1" min="8965" max="8965" style="36" width="3.6640625"/>
    <col customWidth="1" min="8966" max="8966" style="36" width="11.33203125"/>
    <col customWidth="1" min="8967" max="8969" style="36" width="7.5546875"/>
    <col customWidth="1" min="8970" max="8970" style="36" width="3.6640625"/>
    <col customWidth="1" min="8971" max="8971" style="36" width="11.33203125"/>
    <col customWidth="1" min="8972" max="8974" style="36" width="7.5546875"/>
    <col customWidth="1" min="8975" max="8975" style="36" width="3.6640625"/>
    <col min="8976" max="9216" style="36" width="10.6640625"/>
    <col customWidth="1" min="9217" max="9217" style="36" width="11.33203125"/>
    <col customWidth="1" min="9218" max="9220" style="36" width="7.5546875"/>
    <col customWidth="1" min="9221" max="9221" style="36" width="3.6640625"/>
    <col customWidth="1" min="9222" max="9222" style="36" width="11.33203125"/>
    <col customWidth="1" min="9223" max="9225" style="36" width="7.5546875"/>
    <col customWidth="1" min="9226" max="9226" style="36" width="3.6640625"/>
    <col customWidth="1" min="9227" max="9227" style="36" width="11.33203125"/>
    <col customWidth="1" min="9228" max="9230" style="36" width="7.5546875"/>
    <col customWidth="1" min="9231" max="9231" style="36" width="3.6640625"/>
    <col min="9232" max="9472" style="36" width="10.6640625"/>
    <col customWidth="1" min="9473" max="9473" style="36" width="11.33203125"/>
    <col customWidth="1" min="9474" max="9476" style="36" width="7.5546875"/>
    <col customWidth="1" min="9477" max="9477" style="36" width="3.6640625"/>
    <col customWidth="1" min="9478" max="9478" style="36" width="11.33203125"/>
    <col customWidth="1" min="9479" max="9481" style="36" width="7.5546875"/>
    <col customWidth="1" min="9482" max="9482" style="36" width="3.6640625"/>
    <col customWidth="1" min="9483" max="9483" style="36" width="11.33203125"/>
    <col customWidth="1" min="9484" max="9486" style="36" width="7.5546875"/>
    <col customWidth="1" min="9487" max="9487" style="36" width="3.6640625"/>
    <col min="9488" max="9728" style="36" width="10.6640625"/>
    <col customWidth="1" min="9729" max="9729" style="36" width="11.33203125"/>
    <col customWidth="1" min="9730" max="9732" style="36" width="7.5546875"/>
    <col customWidth="1" min="9733" max="9733" style="36" width="3.6640625"/>
    <col customWidth="1" min="9734" max="9734" style="36" width="11.33203125"/>
    <col customWidth="1" min="9735" max="9737" style="36" width="7.5546875"/>
    <col customWidth="1" min="9738" max="9738" style="36" width="3.6640625"/>
    <col customWidth="1" min="9739" max="9739" style="36" width="11.33203125"/>
    <col customWidth="1" min="9740" max="9742" style="36" width="7.5546875"/>
    <col customWidth="1" min="9743" max="9743" style="36" width="3.6640625"/>
    <col min="9744" max="9984" style="36" width="10.6640625"/>
    <col customWidth="1" min="9985" max="9985" style="36" width="11.33203125"/>
    <col customWidth="1" min="9986" max="9988" style="36" width="7.5546875"/>
    <col customWidth="1" min="9989" max="9989" style="36" width="3.6640625"/>
    <col customWidth="1" min="9990" max="9990" style="36" width="11.33203125"/>
    <col customWidth="1" min="9991" max="9993" style="36" width="7.5546875"/>
    <col customWidth="1" min="9994" max="9994" style="36" width="3.6640625"/>
    <col customWidth="1" min="9995" max="9995" style="36" width="11.33203125"/>
    <col customWidth="1" min="9996" max="9998" style="36" width="7.5546875"/>
    <col customWidth="1" min="9999" max="9999" style="36" width="3.6640625"/>
    <col min="10000" max="10240" style="36" width="10.6640625"/>
    <col customWidth="1" min="10241" max="10241" style="36" width="11.33203125"/>
    <col customWidth="1" min="10242" max="10244" style="36" width="7.5546875"/>
    <col customWidth="1" min="10245" max="10245" style="36" width="3.6640625"/>
    <col customWidth="1" min="10246" max="10246" style="36" width="11.33203125"/>
    <col customWidth="1" min="10247" max="10249" style="36" width="7.5546875"/>
    <col customWidth="1" min="10250" max="10250" style="36" width="3.6640625"/>
    <col customWidth="1" min="10251" max="10251" style="36" width="11.33203125"/>
    <col customWidth="1" min="10252" max="10254" style="36" width="7.5546875"/>
    <col customWidth="1" min="10255" max="10255" style="36" width="3.6640625"/>
    <col min="10256" max="10496" style="36" width="10.6640625"/>
    <col customWidth="1" min="10497" max="10497" style="36" width="11.33203125"/>
    <col customWidth="1" min="10498" max="10500" style="36" width="7.5546875"/>
    <col customWidth="1" min="10501" max="10501" style="36" width="3.6640625"/>
    <col customWidth="1" min="10502" max="10502" style="36" width="11.33203125"/>
    <col customWidth="1" min="10503" max="10505" style="36" width="7.5546875"/>
    <col customWidth="1" min="10506" max="10506" style="36" width="3.6640625"/>
    <col customWidth="1" min="10507" max="10507" style="36" width="11.33203125"/>
    <col customWidth="1" min="10508" max="10510" style="36" width="7.5546875"/>
    <col customWidth="1" min="10511" max="10511" style="36" width="3.6640625"/>
    <col min="10512" max="10752" style="36" width="10.6640625"/>
    <col customWidth="1" min="10753" max="10753" style="36" width="11.33203125"/>
    <col customWidth="1" min="10754" max="10756" style="36" width="7.5546875"/>
    <col customWidth="1" min="10757" max="10757" style="36" width="3.6640625"/>
    <col customWidth="1" min="10758" max="10758" style="36" width="11.33203125"/>
    <col customWidth="1" min="10759" max="10761" style="36" width="7.5546875"/>
    <col customWidth="1" min="10762" max="10762" style="36" width="3.6640625"/>
    <col customWidth="1" min="10763" max="10763" style="36" width="11.33203125"/>
    <col customWidth="1" min="10764" max="10766" style="36" width="7.5546875"/>
    <col customWidth="1" min="10767" max="10767" style="36" width="3.6640625"/>
    <col min="10768" max="11008" style="36" width="10.6640625"/>
    <col customWidth="1" min="11009" max="11009" style="36" width="11.33203125"/>
    <col customWidth="1" min="11010" max="11012" style="36" width="7.5546875"/>
    <col customWidth="1" min="11013" max="11013" style="36" width="3.6640625"/>
    <col customWidth="1" min="11014" max="11014" style="36" width="11.33203125"/>
    <col customWidth="1" min="11015" max="11017" style="36" width="7.5546875"/>
    <col customWidth="1" min="11018" max="11018" style="36" width="3.6640625"/>
    <col customWidth="1" min="11019" max="11019" style="36" width="11.33203125"/>
    <col customWidth="1" min="11020" max="11022" style="36" width="7.5546875"/>
    <col customWidth="1" min="11023" max="11023" style="36" width="3.6640625"/>
    <col min="11024" max="11264" style="36" width="10.6640625"/>
    <col customWidth="1" min="11265" max="11265" style="36" width="11.33203125"/>
    <col customWidth="1" min="11266" max="11268" style="36" width="7.5546875"/>
    <col customWidth="1" min="11269" max="11269" style="36" width="3.6640625"/>
    <col customWidth="1" min="11270" max="11270" style="36" width="11.33203125"/>
    <col customWidth="1" min="11271" max="11273" style="36" width="7.5546875"/>
    <col customWidth="1" min="11274" max="11274" style="36" width="3.6640625"/>
    <col customWidth="1" min="11275" max="11275" style="36" width="11.33203125"/>
    <col customWidth="1" min="11276" max="11278" style="36" width="7.5546875"/>
    <col customWidth="1" min="11279" max="11279" style="36" width="3.6640625"/>
    <col min="11280" max="11520" style="36" width="10.6640625"/>
    <col customWidth="1" min="11521" max="11521" style="36" width="11.33203125"/>
    <col customWidth="1" min="11522" max="11524" style="36" width="7.5546875"/>
    <col customWidth="1" min="11525" max="11525" style="36" width="3.6640625"/>
    <col customWidth="1" min="11526" max="11526" style="36" width="11.33203125"/>
    <col customWidth="1" min="11527" max="11529" style="36" width="7.5546875"/>
    <col customWidth="1" min="11530" max="11530" style="36" width="3.6640625"/>
    <col customWidth="1" min="11531" max="11531" style="36" width="11.33203125"/>
    <col customWidth="1" min="11532" max="11534" style="36" width="7.5546875"/>
    <col customWidth="1" min="11535" max="11535" style="36" width="3.6640625"/>
    <col min="11536" max="11776" style="36" width="10.6640625"/>
    <col customWidth="1" min="11777" max="11777" style="36" width="11.33203125"/>
    <col customWidth="1" min="11778" max="11780" style="36" width="7.5546875"/>
    <col customWidth="1" min="11781" max="11781" style="36" width="3.6640625"/>
    <col customWidth="1" min="11782" max="11782" style="36" width="11.33203125"/>
    <col customWidth="1" min="11783" max="11785" style="36" width="7.5546875"/>
    <col customWidth="1" min="11786" max="11786" style="36" width="3.6640625"/>
    <col customWidth="1" min="11787" max="11787" style="36" width="11.33203125"/>
    <col customWidth="1" min="11788" max="11790" style="36" width="7.5546875"/>
    <col customWidth="1" min="11791" max="11791" style="36" width="3.6640625"/>
    <col min="11792" max="12032" style="36" width="10.6640625"/>
    <col customWidth="1" min="12033" max="12033" style="36" width="11.33203125"/>
    <col customWidth="1" min="12034" max="12036" style="36" width="7.5546875"/>
    <col customWidth="1" min="12037" max="12037" style="36" width="3.6640625"/>
    <col customWidth="1" min="12038" max="12038" style="36" width="11.33203125"/>
    <col customWidth="1" min="12039" max="12041" style="36" width="7.5546875"/>
    <col customWidth="1" min="12042" max="12042" style="36" width="3.6640625"/>
    <col customWidth="1" min="12043" max="12043" style="36" width="11.33203125"/>
    <col customWidth="1" min="12044" max="12046" style="36" width="7.5546875"/>
    <col customWidth="1" min="12047" max="12047" style="36" width="3.6640625"/>
    <col min="12048" max="12288" style="36" width="10.6640625"/>
    <col customWidth="1" min="12289" max="12289" style="36" width="11.33203125"/>
    <col customWidth="1" min="12290" max="12292" style="36" width="7.5546875"/>
    <col customWidth="1" min="12293" max="12293" style="36" width="3.6640625"/>
    <col customWidth="1" min="12294" max="12294" style="36" width="11.33203125"/>
    <col customWidth="1" min="12295" max="12297" style="36" width="7.5546875"/>
    <col customWidth="1" min="12298" max="12298" style="36" width="3.6640625"/>
    <col customWidth="1" min="12299" max="12299" style="36" width="11.33203125"/>
    <col customWidth="1" min="12300" max="12302" style="36" width="7.5546875"/>
    <col customWidth="1" min="12303" max="12303" style="36" width="3.6640625"/>
    <col min="12304" max="12544" style="36" width="10.6640625"/>
    <col customWidth="1" min="12545" max="12545" style="36" width="11.33203125"/>
    <col customWidth="1" min="12546" max="12548" style="36" width="7.5546875"/>
    <col customWidth="1" min="12549" max="12549" style="36" width="3.6640625"/>
    <col customWidth="1" min="12550" max="12550" style="36" width="11.33203125"/>
    <col customWidth="1" min="12551" max="12553" style="36" width="7.5546875"/>
    <col customWidth="1" min="12554" max="12554" style="36" width="3.6640625"/>
    <col customWidth="1" min="12555" max="12555" style="36" width="11.33203125"/>
    <col customWidth="1" min="12556" max="12558" style="36" width="7.5546875"/>
    <col customWidth="1" min="12559" max="12559" style="36" width="3.6640625"/>
    <col min="12560" max="12800" style="36" width="10.6640625"/>
    <col customWidth="1" min="12801" max="12801" style="36" width="11.33203125"/>
    <col customWidth="1" min="12802" max="12804" style="36" width="7.5546875"/>
    <col customWidth="1" min="12805" max="12805" style="36" width="3.6640625"/>
    <col customWidth="1" min="12806" max="12806" style="36" width="11.33203125"/>
    <col customWidth="1" min="12807" max="12809" style="36" width="7.5546875"/>
    <col customWidth="1" min="12810" max="12810" style="36" width="3.6640625"/>
    <col customWidth="1" min="12811" max="12811" style="36" width="11.33203125"/>
    <col customWidth="1" min="12812" max="12814" style="36" width="7.5546875"/>
    <col customWidth="1" min="12815" max="12815" style="36" width="3.6640625"/>
    <col min="12816" max="13056" style="36" width="10.6640625"/>
    <col customWidth="1" min="13057" max="13057" style="36" width="11.33203125"/>
    <col customWidth="1" min="13058" max="13060" style="36" width="7.5546875"/>
    <col customWidth="1" min="13061" max="13061" style="36" width="3.6640625"/>
    <col customWidth="1" min="13062" max="13062" style="36" width="11.33203125"/>
    <col customWidth="1" min="13063" max="13065" style="36" width="7.5546875"/>
    <col customWidth="1" min="13066" max="13066" style="36" width="3.6640625"/>
    <col customWidth="1" min="13067" max="13067" style="36" width="11.33203125"/>
    <col customWidth="1" min="13068" max="13070" style="36" width="7.5546875"/>
    <col customWidth="1" min="13071" max="13071" style="36" width="3.6640625"/>
    <col min="13072" max="13312" style="36" width="10.6640625"/>
    <col customWidth="1" min="13313" max="13313" style="36" width="11.33203125"/>
    <col customWidth="1" min="13314" max="13316" style="36" width="7.5546875"/>
    <col customWidth="1" min="13317" max="13317" style="36" width="3.6640625"/>
    <col customWidth="1" min="13318" max="13318" style="36" width="11.33203125"/>
    <col customWidth="1" min="13319" max="13321" style="36" width="7.5546875"/>
    <col customWidth="1" min="13322" max="13322" style="36" width="3.6640625"/>
    <col customWidth="1" min="13323" max="13323" style="36" width="11.33203125"/>
    <col customWidth="1" min="13324" max="13326" style="36" width="7.5546875"/>
    <col customWidth="1" min="13327" max="13327" style="36" width="3.6640625"/>
    <col min="13328" max="13568" style="36" width="10.6640625"/>
    <col customWidth="1" min="13569" max="13569" style="36" width="11.33203125"/>
    <col customWidth="1" min="13570" max="13572" style="36" width="7.5546875"/>
    <col customWidth="1" min="13573" max="13573" style="36" width="3.6640625"/>
    <col customWidth="1" min="13574" max="13574" style="36" width="11.33203125"/>
    <col customWidth="1" min="13575" max="13577" style="36" width="7.5546875"/>
    <col customWidth="1" min="13578" max="13578" style="36" width="3.6640625"/>
    <col customWidth="1" min="13579" max="13579" style="36" width="11.33203125"/>
    <col customWidth="1" min="13580" max="13582" style="36" width="7.5546875"/>
    <col customWidth="1" min="13583" max="13583" style="36" width="3.6640625"/>
    <col min="13584" max="13824" style="36" width="10.6640625"/>
    <col customWidth="1" min="13825" max="13825" style="36" width="11.33203125"/>
    <col customWidth="1" min="13826" max="13828" style="36" width="7.5546875"/>
    <col customWidth="1" min="13829" max="13829" style="36" width="3.6640625"/>
    <col customWidth="1" min="13830" max="13830" style="36" width="11.33203125"/>
    <col customWidth="1" min="13831" max="13833" style="36" width="7.5546875"/>
    <col customWidth="1" min="13834" max="13834" style="36" width="3.6640625"/>
    <col customWidth="1" min="13835" max="13835" style="36" width="11.33203125"/>
    <col customWidth="1" min="13836" max="13838" style="36" width="7.5546875"/>
    <col customWidth="1" min="13839" max="13839" style="36" width="3.6640625"/>
    <col min="13840" max="14080" style="36" width="10.6640625"/>
    <col customWidth="1" min="14081" max="14081" style="36" width="11.33203125"/>
    <col customWidth="1" min="14082" max="14084" style="36" width="7.5546875"/>
    <col customWidth="1" min="14085" max="14085" style="36" width="3.6640625"/>
    <col customWidth="1" min="14086" max="14086" style="36" width="11.33203125"/>
    <col customWidth="1" min="14087" max="14089" style="36" width="7.5546875"/>
    <col customWidth="1" min="14090" max="14090" style="36" width="3.6640625"/>
    <col customWidth="1" min="14091" max="14091" style="36" width="11.33203125"/>
    <col customWidth="1" min="14092" max="14094" style="36" width="7.5546875"/>
    <col customWidth="1" min="14095" max="14095" style="36" width="3.6640625"/>
    <col min="14096" max="14336" style="36" width="10.6640625"/>
    <col customWidth="1" min="14337" max="14337" style="36" width="11.33203125"/>
    <col customWidth="1" min="14338" max="14340" style="36" width="7.5546875"/>
    <col customWidth="1" min="14341" max="14341" style="36" width="3.6640625"/>
    <col customWidth="1" min="14342" max="14342" style="36" width="11.33203125"/>
    <col customWidth="1" min="14343" max="14345" style="36" width="7.5546875"/>
    <col customWidth="1" min="14346" max="14346" style="36" width="3.6640625"/>
    <col customWidth="1" min="14347" max="14347" style="36" width="11.33203125"/>
    <col customWidth="1" min="14348" max="14350" style="36" width="7.5546875"/>
    <col customWidth="1" min="14351" max="14351" style="36" width="3.6640625"/>
    <col min="14352" max="14592" style="36" width="10.6640625"/>
    <col customWidth="1" min="14593" max="14593" style="36" width="11.33203125"/>
    <col customWidth="1" min="14594" max="14596" style="36" width="7.5546875"/>
    <col customWidth="1" min="14597" max="14597" style="36" width="3.6640625"/>
    <col customWidth="1" min="14598" max="14598" style="36" width="11.33203125"/>
    <col customWidth="1" min="14599" max="14601" style="36" width="7.5546875"/>
    <col customWidth="1" min="14602" max="14602" style="36" width="3.6640625"/>
    <col customWidth="1" min="14603" max="14603" style="36" width="11.33203125"/>
    <col customWidth="1" min="14604" max="14606" style="36" width="7.5546875"/>
    <col customWidth="1" min="14607" max="14607" style="36" width="3.6640625"/>
    <col min="14608" max="14848" style="36" width="10.6640625"/>
    <col customWidth="1" min="14849" max="14849" style="36" width="11.33203125"/>
    <col customWidth="1" min="14850" max="14852" style="36" width="7.5546875"/>
    <col customWidth="1" min="14853" max="14853" style="36" width="3.6640625"/>
    <col customWidth="1" min="14854" max="14854" style="36" width="11.33203125"/>
    <col customWidth="1" min="14855" max="14857" style="36" width="7.5546875"/>
    <col customWidth="1" min="14858" max="14858" style="36" width="3.6640625"/>
    <col customWidth="1" min="14859" max="14859" style="36" width="11.33203125"/>
    <col customWidth="1" min="14860" max="14862" style="36" width="7.5546875"/>
    <col customWidth="1" min="14863" max="14863" style="36" width="3.6640625"/>
    <col min="14864" max="15104" style="36" width="10.6640625"/>
    <col customWidth="1" min="15105" max="15105" style="36" width="11.33203125"/>
    <col customWidth="1" min="15106" max="15108" style="36" width="7.5546875"/>
    <col customWidth="1" min="15109" max="15109" style="36" width="3.6640625"/>
    <col customWidth="1" min="15110" max="15110" style="36" width="11.33203125"/>
    <col customWidth="1" min="15111" max="15113" style="36" width="7.5546875"/>
    <col customWidth="1" min="15114" max="15114" style="36" width="3.6640625"/>
    <col customWidth="1" min="15115" max="15115" style="36" width="11.33203125"/>
    <col customWidth="1" min="15116" max="15118" style="36" width="7.5546875"/>
    <col customWidth="1" min="15119" max="15119" style="36" width="3.6640625"/>
    <col min="15120" max="15360" style="36" width="10.6640625"/>
    <col customWidth="1" min="15361" max="15361" style="36" width="11.33203125"/>
    <col customWidth="1" min="15362" max="15364" style="36" width="7.5546875"/>
    <col customWidth="1" min="15365" max="15365" style="36" width="3.6640625"/>
    <col customWidth="1" min="15366" max="15366" style="36" width="11.33203125"/>
    <col customWidth="1" min="15367" max="15369" style="36" width="7.5546875"/>
    <col customWidth="1" min="15370" max="15370" style="36" width="3.6640625"/>
    <col customWidth="1" min="15371" max="15371" style="36" width="11.33203125"/>
    <col customWidth="1" min="15372" max="15374" style="36" width="7.5546875"/>
    <col customWidth="1" min="15375" max="15375" style="36" width="3.6640625"/>
    <col min="15376" max="15616" style="36" width="10.6640625"/>
    <col customWidth="1" min="15617" max="15617" style="36" width="11.33203125"/>
    <col customWidth="1" min="15618" max="15620" style="36" width="7.5546875"/>
    <col customWidth="1" min="15621" max="15621" style="36" width="3.6640625"/>
    <col customWidth="1" min="15622" max="15622" style="36" width="11.33203125"/>
    <col customWidth="1" min="15623" max="15625" style="36" width="7.5546875"/>
    <col customWidth="1" min="15626" max="15626" style="36" width="3.6640625"/>
    <col customWidth="1" min="15627" max="15627" style="36" width="11.33203125"/>
    <col customWidth="1" min="15628" max="15630" style="36" width="7.5546875"/>
    <col customWidth="1" min="15631" max="15631" style="36" width="3.6640625"/>
    <col min="15632" max="15872" style="36" width="10.6640625"/>
    <col customWidth="1" min="15873" max="15873" style="36" width="11.33203125"/>
    <col customWidth="1" min="15874" max="15876" style="36" width="7.5546875"/>
    <col customWidth="1" min="15877" max="15877" style="36" width="3.6640625"/>
    <col customWidth="1" min="15878" max="15878" style="36" width="11.33203125"/>
    <col customWidth="1" min="15879" max="15881" style="36" width="7.5546875"/>
    <col customWidth="1" min="15882" max="15882" style="36" width="3.6640625"/>
    <col customWidth="1" min="15883" max="15883" style="36" width="11.33203125"/>
    <col customWidth="1" min="15884" max="15886" style="36" width="7.5546875"/>
    <col customWidth="1" min="15887" max="15887" style="36" width="3.6640625"/>
    <col min="15888" max="16128" style="36" width="10.6640625"/>
    <col customWidth="1" min="16129" max="16129" style="36" width="11.33203125"/>
    <col customWidth="1" min="16130" max="16132" style="36" width="7.5546875"/>
    <col customWidth="1" min="16133" max="16133" style="36" width="3.6640625"/>
    <col customWidth="1" min="16134" max="16134" style="36" width="11.33203125"/>
    <col customWidth="1" min="16135" max="16137" style="36" width="7.5546875"/>
    <col customWidth="1" min="16138" max="16138" style="36" width="3.6640625"/>
    <col customWidth="1" min="16139" max="16139" style="36" width="11.33203125"/>
    <col customWidth="1" min="16140" max="16142" style="36" width="7.5546875"/>
    <col customWidth="1" min="16143" max="16143" style="36" width="3.6640625"/>
    <col min="16144" max="16384" style="36" width="10.6640625"/>
  </cols>
  <sheetData>
    <row r="1" ht="14.699999999999999" customHeight="1">
      <c r="A1" s="515" t="s">
        <v>454</v>
      </c>
      <c r="B1" s="515"/>
      <c r="C1" s="515"/>
      <c r="D1" s="515"/>
      <c r="E1" s="515"/>
      <c r="F1" s="515"/>
      <c r="G1" s="515"/>
      <c r="H1" s="515"/>
      <c r="I1" s="515"/>
      <c r="J1" s="515"/>
      <c r="K1" s="515"/>
      <c r="L1" s="515"/>
      <c r="M1" s="515"/>
      <c r="N1" s="515"/>
      <c r="O1" s="515"/>
      <c r="P1" s="515"/>
      <c r="Q1" s="515"/>
      <c r="R1" s="383"/>
      <c r="S1" s="383"/>
      <c r="T1" s="383"/>
    </row>
    <row r="2" ht="14.699999999999999" customHeight="1">
      <c r="A2" s="515"/>
      <c r="B2" s="515"/>
      <c r="C2" s="515"/>
      <c r="D2" s="515"/>
      <c r="E2" s="515"/>
      <c r="F2" s="515"/>
      <c r="G2" s="515"/>
      <c r="H2" s="515"/>
      <c r="I2" s="515"/>
      <c r="J2" s="515"/>
      <c r="K2" s="515"/>
      <c r="L2" s="515"/>
      <c r="M2" s="515"/>
      <c r="N2" s="515"/>
      <c r="O2" s="515"/>
      <c r="P2" s="515"/>
      <c r="Q2" s="515"/>
      <c r="R2" s="383"/>
      <c r="S2" s="383"/>
      <c r="T2" s="383"/>
    </row>
    <row r="3" ht="16.5" customHeight="1">
      <c r="A3" s="516">
        <f>'Suivi budgétaire'!$D$1</f>
        <v>44957</v>
      </c>
      <c r="B3" s="516"/>
      <c r="C3" s="516"/>
      <c r="D3" s="516"/>
      <c r="E3" s="517"/>
      <c r="F3" s="518">
        <f>+MONTH(A3)</f>
        <v>1</v>
      </c>
      <c r="G3" s="517"/>
      <c r="H3" s="517"/>
      <c r="I3" s="517"/>
      <c r="J3" s="517"/>
      <c r="K3" s="517"/>
      <c r="L3" s="517"/>
      <c r="M3" s="517"/>
      <c r="N3" s="517"/>
      <c r="O3" s="517"/>
      <c r="P3" s="519"/>
      <c r="Q3" s="519"/>
      <c r="R3" s="519"/>
      <c r="S3" s="519"/>
      <c r="T3" s="519"/>
    </row>
    <row r="4" ht="11.1" customHeight="1"/>
    <row r="5" ht="15" customHeight="1">
      <c r="A5" s="520" t="s">
        <v>455</v>
      </c>
      <c r="B5" s="521"/>
      <c r="C5" s="521"/>
      <c r="D5" s="522"/>
      <c r="F5" s="520" t="s">
        <v>456</v>
      </c>
      <c r="G5" s="521"/>
      <c r="H5" s="521"/>
      <c r="I5" s="522"/>
      <c r="K5" s="520" t="s">
        <v>457</v>
      </c>
      <c r="L5" s="521"/>
      <c r="M5" s="521"/>
      <c r="N5" s="522"/>
      <c r="P5" s="523" t="s">
        <v>458</v>
      </c>
      <c r="Q5" s="523"/>
      <c r="R5" s="523"/>
      <c r="S5" s="523"/>
      <c r="T5" s="523"/>
    </row>
    <row r="6" ht="14.699999999999999" customHeight="1">
      <c r="A6" s="524"/>
      <c r="B6" s="525"/>
      <c r="C6" s="525"/>
      <c r="D6" s="526"/>
      <c r="F6" s="524"/>
      <c r="G6" s="525"/>
      <c r="H6" s="525"/>
      <c r="I6" s="526"/>
      <c r="K6" s="524"/>
      <c r="L6" s="525"/>
      <c r="M6" s="525"/>
      <c r="N6" s="526"/>
      <c r="P6" s="523"/>
      <c r="Q6" s="523"/>
      <c r="R6" s="523"/>
      <c r="S6" s="523"/>
      <c r="T6" s="523"/>
    </row>
    <row r="7" ht="14.699999999999999" customHeight="1">
      <c r="A7" s="527"/>
      <c r="B7" s="528"/>
      <c r="C7" s="528"/>
      <c r="D7" s="529"/>
      <c r="F7" s="527"/>
      <c r="G7" s="528"/>
      <c r="H7" s="528"/>
      <c r="I7" s="529"/>
      <c r="K7" s="527"/>
      <c r="L7" s="528"/>
      <c r="M7" s="528"/>
      <c r="N7" s="529"/>
      <c r="P7" s="530">
        <f>-SUMIF('Import balance'!$F$2:$F$65537,7,'Import balance'!$E$2:$E$65537)-SUMIF('Import balance'!$F$2:$F$65537,6,'Import balance'!$E$2:$E$65537)</f>
        <v>0</v>
      </c>
      <c r="Q7" s="530"/>
      <c r="R7" s="530"/>
      <c r="S7" s="530"/>
      <c r="T7" s="530"/>
    </row>
    <row r="8" ht="15" customHeight="1">
      <c r="A8" s="531"/>
      <c r="B8" s="532"/>
      <c r="C8" s="532"/>
      <c r="D8" s="533"/>
      <c r="F8" s="531"/>
      <c r="G8" s="532"/>
      <c r="H8" s="532"/>
      <c r="I8" s="533"/>
      <c r="K8" s="531"/>
      <c r="L8" s="532"/>
      <c r="M8" s="532"/>
      <c r="N8" s="533"/>
      <c r="P8" s="530"/>
      <c r="Q8" s="530"/>
      <c r="R8" s="530"/>
      <c r="S8" s="530"/>
      <c r="T8" s="530"/>
    </row>
    <row r="9" ht="18.600000000000001" customHeight="1">
      <c r="A9" s="534" t="s">
        <v>459</v>
      </c>
      <c r="B9" s="535"/>
      <c r="C9" s="536" t="s">
        <v>460</v>
      </c>
      <c r="D9" s="537">
        <f>IFERROR(A7/B9,0)</f>
        <v>0</v>
      </c>
      <c r="F9" s="534" t="s">
        <v>459</v>
      </c>
      <c r="G9" s="535"/>
      <c r="H9" s="536" t="s">
        <v>460</v>
      </c>
      <c r="I9" s="537">
        <f>IFERROR(F7/G9,0)</f>
        <v>0</v>
      </c>
      <c r="K9" s="534" t="s">
        <v>459</v>
      </c>
      <c r="L9" s="535"/>
      <c r="M9" s="536" t="s">
        <v>460</v>
      </c>
      <c r="N9" s="537">
        <f>IFERROR(K7/L9,0)</f>
        <v>0</v>
      </c>
      <c r="P9" s="538"/>
      <c r="Q9" s="538"/>
      <c r="S9" s="539"/>
      <c r="T9" s="539"/>
    </row>
    <row r="10" ht="11.1" customHeight="1">
      <c r="P10" s="538"/>
      <c r="Q10" s="538"/>
      <c r="S10" s="539"/>
      <c r="T10" s="539"/>
    </row>
    <row r="11" ht="15" customHeight="1">
      <c r="A11" s="520" t="s">
        <v>461</v>
      </c>
      <c r="B11" s="521"/>
      <c r="C11" s="521"/>
      <c r="D11" s="522"/>
      <c r="F11" s="520" t="s">
        <v>462</v>
      </c>
      <c r="G11" s="521"/>
      <c r="H11" s="521"/>
      <c r="I11" s="522"/>
      <c r="K11" s="520" t="s">
        <v>463</v>
      </c>
      <c r="L11" s="521"/>
      <c r="M11" s="521"/>
      <c r="N11" s="522"/>
      <c r="P11" s="523" t="s">
        <v>464</v>
      </c>
      <c r="Q11" s="523"/>
      <c r="R11" s="523"/>
      <c r="S11" s="523"/>
      <c r="T11" s="523"/>
    </row>
    <row r="12" ht="14.699999999999999" customHeight="1">
      <c r="A12" s="524"/>
      <c r="B12" s="525"/>
      <c r="C12" s="525"/>
      <c r="D12" s="526"/>
      <c r="F12" s="524"/>
      <c r="G12" s="525"/>
      <c r="H12" s="525"/>
      <c r="I12" s="526"/>
      <c r="K12" s="524"/>
      <c r="L12" s="525"/>
      <c r="M12" s="525"/>
      <c r="N12" s="526"/>
      <c r="P12" s="523"/>
      <c r="Q12" s="523"/>
      <c r="R12" s="523"/>
      <c r="S12" s="523"/>
      <c r="T12" s="523"/>
    </row>
    <row r="13" ht="14.699999999999999" customHeight="1">
      <c r="A13" s="527"/>
      <c r="B13" s="528"/>
      <c r="C13" s="528"/>
      <c r="D13" s="529"/>
      <c r="F13" s="527"/>
      <c r="G13" s="528"/>
      <c r="H13" s="528"/>
      <c r="I13" s="529"/>
      <c r="K13" s="527"/>
      <c r="L13" s="528"/>
      <c r="M13" s="528"/>
      <c r="N13" s="529"/>
      <c r="P13" s="530">
        <f>+SUMIF('Import balance'!$G$2:$G$65537,512,'Import balance'!$E$2:$E$65537)</f>
        <v>0</v>
      </c>
      <c r="Q13" s="530"/>
      <c r="R13" s="530"/>
      <c r="S13" s="530"/>
      <c r="T13" s="530"/>
    </row>
    <row r="14" ht="15" customHeight="1">
      <c r="A14" s="531"/>
      <c r="B14" s="532"/>
      <c r="C14" s="532"/>
      <c r="D14" s="533"/>
      <c r="F14" s="531"/>
      <c r="G14" s="532"/>
      <c r="H14" s="532"/>
      <c r="I14" s="533"/>
      <c r="K14" s="531"/>
      <c r="L14" s="532"/>
      <c r="M14" s="532"/>
      <c r="N14" s="533"/>
      <c r="P14" s="530"/>
      <c r="Q14" s="530"/>
      <c r="R14" s="530"/>
      <c r="S14" s="530"/>
      <c r="T14" s="530"/>
    </row>
    <row r="15" ht="18.600000000000001" customHeight="1">
      <c r="A15" s="534" t="s">
        <v>459</v>
      </c>
      <c r="B15" s="535"/>
      <c r="C15" s="536" t="s">
        <v>460</v>
      </c>
      <c r="D15" s="537">
        <f>IFERROR(A13/B15,0)</f>
        <v>0</v>
      </c>
      <c r="F15" s="534" t="s">
        <v>459</v>
      </c>
      <c r="G15" s="535"/>
      <c r="H15" s="536" t="s">
        <v>460</v>
      </c>
      <c r="I15" s="537">
        <f>IFERROR(F13/G15,0)</f>
        <v>0</v>
      </c>
      <c r="K15" s="534" t="s">
        <v>459</v>
      </c>
      <c r="L15" s="535"/>
      <c r="M15" s="536" t="s">
        <v>460</v>
      </c>
      <c r="N15" s="537">
        <f>IFERROR(K13/L15,0)</f>
        <v>0</v>
      </c>
      <c r="P15" s="538"/>
      <c r="Q15" s="538"/>
      <c r="S15" s="540"/>
      <c r="T15" s="540"/>
    </row>
    <row r="16" ht="11.1" customHeight="1">
      <c r="P16" s="538"/>
      <c r="Q16" s="538"/>
      <c r="S16" s="540"/>
      <c r="T16" s="540"/>
    </row>
    <row r="17" ht="14.699999999999999" customHeight="1">
      <c r="A17" s="520" t="s">
        <v>465</v>
      </c>
      <c r="B17" s="521"/>
      <c r="C17" s="521"/>
      <c r="D17" s="522"/>
      <c r="F17" s="520" t="s">
        <v>466</v>
      </c>
      <c r="G17" s="521"/>
      <c r="H17" s="521"/>
      <c r="I17" s="522"/>
      <c r="K17" s="520" t="s">
        <v>467</v>
      </c>
      <c r="L17" s="521"/>
      <c r="M17" s="521"/>
      <c r="N17" s="522"/>
      <c r="P17" s="541" t="s">
        <v>468</v>
      </c>
      <c r="Q17" s="541"/>
      <c r="R17" s="542"/>
      <c r="S17" s="541" t="s">
        <v>469</v>
      </c>
      <c r="T17" s="541"/>
    </row>
    <row r="18" ht="14.699999999999999" customHeight="1">
      <c r="A18" s="524"/>
      <c r="B18" s="525"/>
      <c r="C18" s="525"/>
      <c r="D18" s="526"/>
      <c r="F18" s="524"/>
      <c r="G18" s="525"/>
      <c r="H18" s="525"/>
      <c r="I18" s="526"/>
      <c r="K18" s="524"/>
      <c r="L18" s="525"/>
      <c r="M18" s="525"/>
      <c r="N18" s="526"/>
      <c r="P18" s="541"/>
      <c r="Q18" s="541"/>
      <c r="R18" s="542"/>
      <c r="S18" s="541"/>
      <c r="T18" s="541"/>
    </row>
    <row r="19" ht="14.699999999999999" customHeight="1">
      <c r="A19" s="527"/>
      <c r="B19" s="528"/>
      <c r="C19" s="528"/>
      <c r="D19" s="529"/>
      <c r="F19" s="527"/>
      <c r="G19" s="528"/>
      <c r="H19" s="528"/>
      <c r="I19" s="529"/>
      <c r="K19" s="527"/>
      <c r="L19" s="528"/>
      <c r="M19" s="528"/>
      <c r="N19" s="529"/>
      <c r="P19" s="543">
        <f>SUMIF('Import balance'!$G$2:$G$65537,441,'Import balance'!$E$2:$E$65537)</f>
        <v>0</v>
      </c>
      <c r="Q19" s="543"/>
      <c r="R19" s="538"/>
      <c r="S19" s="543">
        <f>SUMIF('Import balance'!$G$2:$G$65537,411,'Import balance'!$E$2:$E$65537)</f>
        <v>0</v>
      </c>
      <c r="T19" s="543"/>
    </row>
    <row r="20" ht="15" customHeight="1">
      <c r="A20" s="531"/>
      <c r="B20" s="532"/>
      <c r="C20" s="532"/>
      <c r="D20" s="533"/>
      <c r="F20" s="531"/>
      <c r="G20" s="532"/>
      <c r="H20" s="532"/>
      <c r="I20" s="533"/>
      <c r="K20" s="531"/>
      <c r="L20" s="532"/>
      <c r="M20" s="532"/>
      <c r="N20" s="533"/>
      <c r="P20" s="543"/>
      <c r="Q20" s="543"/>
      <c r="R20" s="538"/>
      <c r="S20" s="543"/>
      <c r="T20" s="543"/>
    </row>
    <row r="21" ht="18">
      <c r="A21" s="534" t="s">
        <v>459</v>
      </c>
      <c r="B21" s="535"/>
      <c r="C21" s="536" t="s">
        <v>460</v>
      </c>
      <c r="D21" s="537">
        <f>IFERROR(A19/B21,0)</f>
        <v>0</v>
      </c>
      <c r="F21" s="534" t="s">
        <v>459</v>
      </c>
      <c r="G21" s="535"/>
      <c r="H21" s="536" t="s">
        <v>460</v>
      </c>
      <c r="I21" s="537">
        <f>IFERROR(F19/G21,0)</f>
        <v>0</v>
      </c>
      <c r="K21" s="534" t="s">
        <v>459</v>
      </c>
      <c r="L21" s="535"/>
      <c r="M21" s="536" t="s">
        <v>460</v>
      </c>
      <c r="N21" s="537">
        <f>IFERROR(K19/L21,0)</f>
        <v>0</v>
      </c>
    </row>
    <row r="22" ht="15"/>
    <row r="23">
      <c r="A23" s="544" t="s">
        <v>470</v>
      </c>
      <c r="B23" s="545"/>
      <c r="C23" s="545"/>
      <c r="D23" s="545"/>
      <c r="E23" s="545"/>
      <c r="F23" s="545"/>
      <c r="G23" s="545"/>
      <c r="H23" s="545"/>
      <c r="I23" s="545"/>
      <c r="J23" s="545"/>
      <c r="K23" s="545"/>
      <c r="L23" s="545"/>
      <c r="M23" s="545"/>
      <c r="N23" s="545"/>
      <c r="O23" s="545"/>
      <c r="P23" s="545"/>
      <c r="Q23" s="545"/>
      <c r="R23" s="545"/>
      <c r="S23" s="545"/>
      <c r="T23" s="546"/>
    </row>
    <row r="24">
      <c r="A24" s="547"/>
      <c r="B24" s="144"/>
      <c r="C24" s="144"/>
      <c r="D24" s="144"/>
      <c r="E24" s="144"/>
      <c r="F24" s="144"/>
      <c r="G24" s="144"/>
      <c r="H24" s="144"/>
      <c r="I24" s="144"/>
      <c r="J24" s="144"/>
      <c r="K24" s="144"/>
      <c r="L24" s="144"/>
      <c r="M24" s="144"/>
      <c r="N24" s="144"/>
      <c r="O24" s="144"/>
      <c r="P24" s="144"/>
      <c r="Q24" s="144"/>
      <c r="R24" s="144"/>
      <c r="S24" s="144"/>
      <c r="T24" s="548"/>
    </row>
    <row r="25">
      <c r="A25" s="547"/>
      <c r="B25" s="144"/>
      <c r="C25" s="144"/>
      <c r="D25" s="144"/>
      <c r="E25" s="144"/>
      <c r="F25" s="144"/>
      <c r="G25" s="144"/>
      <c r="H25" s="144"/>
      <c r="I25" s="144"/>
      <c r="J25" s="144"/>
      <c r="K25" s="144"/>
      <c r="L25" s="144"/>
      <c r="M25" s="144"/>
      <c r="N25" s="144"/>
      <c r="O25" s="144"/>
      <c r="P25" s="144"/>
      <c r="Q25" s="144"/>
      <c r="R25" s="144"/>
      <c r="S25" s="144"/>
      <c r="T25" s="548"/>
    </row>
    <row r="26">
      <c r="A26" s="547"/>
      <c r="B26" s="144"/>
      <c r="C26" s="144"/>
      <c r="D26" s="144"/>
      <c r="E26" s="144"/>
      <c r="F26" s="144"/>
      <c r="G26" s="144"/>
      <c r="H26" s="144"/>
      <c r="I26" s="144"/>
      <c r="J26" s="144"/>
      <c r="K26" s="144"/>
      <c r="L26" s="144"/>
      <c r="M26" s="144"/>
      <c r="N26" s="144"/>
      <c r="O26" s="144"/>
      <c r="P26" s="144"/>
      <c r="Q26" s="144"/>
      <c r="R26" s="144"/>
      <c r="S26" s="144"/>
      <c r="T26" s="548"/>
    </row>
    <row r="27">
      <c r="A27" s="547"/>
      <c r="B27" s="144"/>
      <c r="C27" s="144"/>
      <c r="D27" s="144"/>
      <c r="E27" s="144"/>
      <c r="F27" s="144"/>
      <c r="G27" s="144"/>
      <c r="H27" s="144"/>
      <c r="I27" s="144"/>
      <c r="J27" s="144"/>
      <c r="K27" s="144"/>
      <c r="L27" s="144"/>
      <c r="M27" s="144"/>
      <c r="N27" s="144"/>
      <c r="O27" s="144"/>
      <c r="P27" s="144"/>
      <c r="Q27" s="144"/>
      <c r="R27" s="144"/>
      <c r="S27" s="144"/>
      <c r="T27" s="548"/>
    </row>
    <row r="28">
      <c r="A28" s="547"/>
      <c r="B28" s="144"/>
      <c r="C28" s="144"/>
      <c r="D28" s="144"/>
      <c r="E28" s="144"/>
      <c r="F28" s="144"/>
      <c r="G28" s="144"/>
      <c r="H28" s="144"/>
      <c r="I28" s="144"/>
      <c r="J28" s="144"/>
      <c r="K28" s="144"/>
      <c r="L28" s="144"/>
      <c r="M28" s="144"/>
      <c r="N28" s="144"/>
      <c r="O28" s="144"/>
      <c r="P28" s="144"/>
      <c r="Q28" s="144"/>
      <c r="R28" s="144"/>
      <c r="S28" s="144"/>
      <c r="T28" s="548"/>
    </row>
    <row r="29">
      <c r="A29" s="547"/>
      <c r="B29" s="144"/>
      <c r="C29" s="144"/>
      <c r="D29" s="144"/>
      <c r="E29" s="144"/>
      <c r="F29" s="144"/>
      <c r="G29" s="144"/>
      <c r="H29" s="144"/>
      <c r="I29" s="144"/>
      <c r="J29" s="144"/>
      <c r="K29" s="144"/>
      <c r="L29" s="144"/>
      <c r="M29" s="144"/>
      <c r="N29" s="144"/>
      <c r="O29" s="144"/>
      <c r="P29" s="144"/>
      <c r="Q29" s="144"/>
      <c r="R29" s="144"/>
      <c r="S29" s="144"/>
      <c r="T29" s="548"/>
    </row>
    <row r="30" ht="15">
      <c r="A30" s="549"/>
      <c r="B30" s="550"/>
      <c r="C30" s="550"/>
      <c r="D30" s="550"/>
      <c r="E30" s="550"/>
      <c r="F30" s="550"/>
      <c r="G30" s="550"/>
      <c r="H30" s="550"/>
      <c r="I30" s="550"/>
      <c r="J30" s="550"/>
      <c r="K30" s="550"/>
      <c r="L30" s="550"/>
      <c r="M30" s="550"/>
      <c r="N30" s="550"/>
      <c r="O30" s="550"/>
      <c r="P30" s="550"/>
      <c r="Q30" s="550"/>
      <c r="R30" s="550"/>
      <c r="S30" s="550"/>
      <c r="T30" s="551"/>
    </row>
  </sheetData>
  <mergeCells count="28">
    <mergeCell ref="A1:Q2"/>
    <mergeCell ref="A3:D3"/>
    <mergeCell ref="A5:D6"/>
    <mergeCell ref="F5:I6"/>
    <mergeCell ref="K5:N6"/>
    <mergeCell ref="P5:T6"/>
    <mergeCell ref="A7:D8"/>
    <mergeCell ref="F7:I8"/>
    <mergeCell ref="K7:N8"/>
    <mergeCell ref="P7:T8"/>
    <mergeCell ref="A11:D12"/>
    <mergeCell ref="F11:I12"/>
    <mergeCell ref="K11:N12"/>
    <mergeCell ref="P11:T12"/>
    <mergeCell ref="A13:D14"/>
    <mergeCell ref="F13:I14"/>
    <mergeCell ref="K13:N14"/>
    <mergeCell ref="P13:T14"/>
    <mergeCell ref="A17:D18"/>
    <mergeCell ref="F17:I18"/>
    <mergeCell ref="K17:N18"/>
    <mergeCell ref="P17:Q18"/>
    <mergeCell ref="S17:T18"/>
    <mergeCell ref="A19:D20"/>
    <mergeCell ref="F19:I20"/>
    <mergeCell ref="K19:N20"/>
    <mergeCell ref="P19:Q20"/>
    <mergeCell ref="S19:T20"/>
  </mergeCells>
  <printOptions headings="0" gridLines="0"/>
  <pageMargins left="0.25" right="0.25" top="0.75" bottom="0.75" header="0.29999999999999999" footer="0.29999999999999999"/>
  <pageSetup paperSize="9" scale="85" fitToWidth="1" fitToHeight="1" pageOrder="downThenOver" orientation="landscape" usePrinterDefaults="1" blackAndWhite="0" draft="0" cellComments="none" useFirstPageNumber="0" errors="displayed" horizontalDpi="600" verticalDpi="300" copies="1"/>
  <headerFooter/>
  <drawing r:id="rId1"/>
</worksheet>
</file>

<file path=xl/worksheets/sheet1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sheetViews>
    <sheetView zoomScale="100" workbookViewId="0">
      <selection activeCell="A1" activeCellId="0" sqref="A1"/>
    </sheetView>
  </sheetViews>
  <sheetFormatPr baseColWidth="10" defaultColWidth="11.44140625" defaultRowHeight="14.4"/>
  <sheetData/>
  <printOptions headings="0" gridLines="0"/>
  <pageMargins left="0.69999999999999996" right="0.69999999999999996" top="0.75" bottom="0.75" header="0.29999999999999999" footer="0.29999999999999999"/>
  <pageSetup paperSize="9" scale="100" fitToWidth="1" fitToHeight="1" pageOrder="downThenOver" orientation="portrait" usePrinterDefaults="1" blackAndWhite="0" draft="0" cellComments="none" useFirstPageNumber="0" errors="displayed" horizontalDpi="600" verticalDpi="600" copies="1"/>
  <headerFooter/>
</worksheet>
</file>

<file path=xl/worksheets/sheet2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sheetPr>
    <tabColor theme="4"/>
    <outlinePr applyStyles="0" summaryBelow="1" summaryRight="1" showOutlineSymbols="1"/>
    <pageSetUpPr autoPageBreaks="1" fitToPage="0"/>
  </sheetPr>
  <sheetViews>
    <sheetView zoomScale="100" workbookViewId="0">
      <selection activeCell="A4" activeCellId="0" sqref="A4:A9"/>
    </sheetView>
  </sheetViews>
  <sheetFormatPr baseColWidth="10" defaultColWidth="11.44140625" defaultRowHeight="14.4"/>
  <cols>
    <col min="1" max="1" style="144" width="10.6640625"/>
    <col bestFit="1" customWidth="1" min="2" max="2" style="144" width="39.44140625"/>
    <col min="3" max="4" style="144" width="10.6640625"/>
    <col min="5" max="5" style="552" width="10.6640625"/>
    <col min="6" max="7" style="553" width="10.6640625"/>
    <col min="8" max="8" style="36" width="10.6640625"/>
    <col bestFit="1" customWidth="1" min="9" max="9" style="36" width="16.33203125"/>
    <col min="10" max="254" style="36" width="10.6640625"/>
    <col bestFit="1" customWidth="1" min="255" max="255" style="36" width="32.6640625"/>
    <col bestFit="1" customWidth="1" min="256" max="256" style="36" width="54.33203125"/>
    <col min="257" max="510" style="36" width="10.6640625"/>
    <col bestFit="1" customWidth="1" min="511" max="511" style="36" width="32.6640625"/>
    <col bestFit="1" customWidth="1" min="512" max="512" style="36" width="54.33203125"/>
    <col min="513" max="766" style="36" width="10.6640625"/>
    <col bestFit="1" customWidth="1" min="767" max="767" style="36" width="32.6640625"/>
    <col bestFit="1" customWidth="1" min="768" max="768" style="36" width="54.33203125"/>
    <col min="769" max="1022" style="36" width="10.6640625"/>
    <col bestFit="1" customWidth="1" min="1023" max="1023" style="36" width="32.6640625"/>
    <col bestFit="1" customWidth="1" min="1024" max="1024" style="36" width="54.33203125"/>
    <col min="1025" max="1278" style="36" width="10.6640625"/>
    <col bestFit="1" customWidth="1" min="1279" max="1279" style="36" width="32.6640625"/>
    <col bestFit="1" customWidth="1" min="1280" max="1280" style="36" width="54.33203125"/>
    <col min="1281" max="1534" style="36" width="10.6640625"/>
    <col bestFit="1" customWidth="1" min="1535" max="1535" style="36" width="32.6640625"/>
    <col bestFit="1" customWidth="1" min="1536" max="1536" style="36" width="54.33203125"/>
    <col min="1537" max="1790" style="36" width="10.6640625"/>
    <col bestFit="1" customWidth="1" min="1791" max="1791" style="36" width="32.6640625"/>
    <col bestFit="1" customWidth="1" min="1792" max="1792" style="36" width="54.33203125"/>
    <col min="1793" max="2046" style="36" width="10.6640625"/>
    <col bestFit="1" customWidth="1" min="2047" max="2047" style="36" width="32.6640625"/>
    <col bestFit="1" customWidth="1" min="2048" max="2048" style="36" width="54.33203125"/>
    <col min="2049" max="2302" style="36" width="10.6640625"/>
    <col bestFit="1" customWidth="1" min="2303" max="2303" style="36" width="32.6640625"/>
    <col bestFit="1" customWidth="1" min="2304" max="2304" style="36" width="54.33203125"/>
    <col min="2305" max="2558" style="36" width="10.6640625"/>
    <col bestFit="1" customWidth="1" min="2559" max="2559" style="36" width="32.6640625"/>
    <col bestFit="1" customWidth="1" min="2560" max="2560" style="36" width="54.33203125"/>
    <col min="2561" max="2814" style="36" width="10.6640625"/>
    <col bestFit="1" customWidth="1" min="2815" max="2815" style="36" width="32.6640625"/>
    <col bestFit="1" customWidth="1" min="2816" max="2816" style="36" width="54.33203125"/>
    <col min="2817" max="3070" style="36" width="10.6640625"/>
    <col bestFit="1" customWidth="1" min="3071" max="3071" style="36" width="32.6640625"/>
    <col bestFit="1" customWidth="1" min="3072" max="3072" style="36" width="54.33203125"/>
    <col min="3073" max="3326" style="36" width="10.6640625"/>
    <col bestFit="1" customWidth="1" min="3327" max="3327" style="36" width="32.6640625"/>
    <col bestFit="1" customWidth="1" min="3328" max="3328" style="36" width="54.33203125"/>
    <col min="3329" max="3582" style="36" width="10.6640625"/>
    <col bestFit="1" customWidth="1" min="3583" max="3583" style="36" width="32.6640625"/>
    <col bestFit="1" customWidth="1" min="3584" max="3584" style="36" width="54.33203125"/>
    <col min="3585" max="3838" style="36" width="10.6640625"/>
    <col bestFit="1" customWidth="1" min="3839" max="3839" style="36" width="32.6640625"/>
    <col bestFit="1" customWidth="1" min="3840" max="3840" style="36" width="54.33203125"/>
    <col min="3841" max="4094" style="36" width="10.6640625"/>
    <col bestFit="1" customWidth="1" min="4095" max="4095" style="36" width="32.6640625"/>
    <col bestFit="1" customWidth="1" min="4096" max="4096" style="36" width="54.33203125"/>
    <col min="4097" max="4350" style="36" width="10.6640625"/>
    <col bestFit="1" customWidth="1" min="4351" max="4351" style="36" width="32.6640625"/>
    <col bestFit="1" customWidth="1" min="4352" max="4352" style="36" width="54.33203125"/>
    <col min="4353" max="4606" style="36" width="10.6640625"/>
    <col bestFit="1" customWidth="1" min="4607" max="4607" style="36" width="32.6640625"/>
    <col bestFit="1" customWidth="1" min="4608" max="4608" style="36" width="54.33203125"/>
    <col min="4609" max="4862" style="36" width="10.6640625"/>
    <col bestFit="1" customWidth="1" min="4863" max="4863" style="36" width="32.6640625"/>
    <col bestFit="1" customWidth="1" min="4864" max="4864" style="36" width="54.33203125"/>
    <col min="4865" max="5118" style="36" width="10.6640625"/>
    <col bestFit="1" customWidth="1" min="5119" max="5119" style="36" width="32.6640625"/>
    <col bestFit="1" customWidth="1" min="5120" max="5120" style="36" width="54.33203125"/>
    <col min="5121" max="5374" style="36" width="10.6640625"/>
    <col bestFit="1" customWidth="1" min="5375" max="5375" style="36" width="32.6640625"/>
    <col bestFit="1" customWidth="1" min="5376" max="5376" style="36" width="54.33203125"/>
    <col min="5377" max="5630" style="36" width="10.6640625"/>
    <col bestFit="1" customWidth="1" min="5631" max="5631" style="36" width="32.6640625"/>
    <col bestFit="1" customWidth="1" min="5632" max="5632" style="36" width="54.33203125"/>
    <col min="5633" max="5886" style="36" width="10.6640625"/>
    <col bestFit="1" customWidth="1" min="5887" max="5887" style="36" width="32.6640625"/>
    <col bestFit="1" customWidth="1" min="5888" max="5888" style="36" width="54.33203125"/>
    <col min="5889" max="6142" style="36" width="10.6640625"/>
    <col bestFit="1" customWidth="1" min="6143" max="6143" style="36" width="32.6640625"/>
    <col bestFit="1" customWidth="1" min="6144" max="6144" style="36" width="54.33203125"/>
    <col min="6145" max="6398" style="36" width="10.6640625"/>
    <col bestFit="1" customWidth="1" min="6399" max="6399" style="36" width="32.6640625"/>
    <col bestFit="1" customWidth="1" min="6400" max="6400" style="36" width="54.33203125"/>
    <col min="6401" max="6654" style="36" width="10.6640625"/>
    <col bestFit="1" customWidth="1" min="6655" max="6655" style="36" width="32.6640625"/>
    <col bestFit="1" customWidth="1" min="6656" max="6656" style="36" width="54.33203125"/>
    <col min="6657" max="6910" style="36" width="10.6640625"/>
    <col bestFit="1" customWidth="1" min="6911" max="6911" style="36" width="32.6640625"/>
    <col bestFit="1" customWidth="1" min="6912" max="6912" style="36" width="54.33203125"/>
    <col min="6913" max="7166" style="36" width="10.6640625"/>
    <col bestFit="1" customWidth="1" min="7167" max="7167" style="36" width="32.6640625"/>
    <col bestFit="1" customWidth="1" min="7168" max="7168" style="36" width="54.33203125"/>
    <col min="7169" max="7422" style="36" width="10.6640625"/>
    <col bestFit="1" customWidth="1" min="7423" max="7423" style="36" width="32.6640625"/>
    <col bestFit="1" customWidth="1" min="7424" max="7424" style="36" width="54.33203125"/>
    <col min="7425" max="7678" style="36" width="10.6640625"/>
    <col bestFit="1" customWidth="1" min="7679" max="7679" style="36" width="32.6640625"/>
    <col bestFit="1" customWidth="1" min="7680" max="7680" style="36" width="54.33203125"/>
    <col min="7681" max="7934" style="36" width="10.6640625"/>
    <col bestFit="1" customWidth="1" min="7935" max="7935" style="36" width="32.6640625"/>
    <col bestFit="1" customWidth="1" min="7936" max="7936" style="36" width="54.33203125"/>
    <col min="7937" max="8190" style="36" width="10.6640625"/>
    <col bestFit="1" customWidth="1" min="8191" max="8191" style="36" width="32.6640625"/>
    <col bestFit="1" customWidth="1" min="8192" max="8192" style="36" width="54.33203125"/>
    <col min="8193" max="8446" style="36" width="10.6640625"/>
    <col bestFit="1" customWidth="1" min="8447" max="8447" style="36" width="32.6640625"/>
    <col bestFit="1" customWidth="1" min="8448" max="8448" style="36" width="54.33203125"/>
    <col min="8449" max="8702" style="36" width="10.6640625"/>
    <col bestFit="1" customWidth="1" min="8703" max="8703" style="36" width="32.6640625"/>
    <col bestFit="1" customWidth="1" min="8704" max="8704" style="36" width="54.33203125"/>
    <col min="8705" max="8958" style="36" width="10.6640625"/>
    <col bestFit="1" customWidth="1" min="8959" max="8959" style="36" width="32.6640625"/>
    <col bestFit="1" customWidth="1" min="8960" max="8960" style="36" width="54.33203125"/>
    <col min="8961" max="9214" style="36" width="10.6640625"/>
    <col bestFit="1" customWidth="1" min="9215" max="9215" style="36" width="32.6640625"/>
    <col bestFit="1" customWidth="1" min="9216" max="9216" style="36" width="54.33203125"/>
    <col min="9217" max="9470" style="36" width="10.6640625"/>
    <col bestFit="1" customWidth="1" min="9471" max="9471" style="36" width="32.6640625"/>
    <col bestFit="1" customWidth="1" min="9472" max="9472" style="36" width="54.33203125"/>
    <col min="9473" max="9726" style="36" width="10.6640625"/>
    <col bestFit="1" customWidth="1" min="9727" max="9727" style="36" width="32.6640625"/>
    <col bestFit="1" customWidth="1" min="9728" max="9728" style="36" width="54.33203125"/>
    <col min="9729" max="9982" style="36" width="10.6640625"/>
    <col bestFit="1" customWidth="1" min="9983" max="9983" style="36" width="32.6640625"/>
    <col bestFit="1" customWidth="1" min="9984" max="9984" style="36" width="54.33203125"/>
    <col min="9985" max="10238" style="36" width="10.6640625"/>
    <col bestFit="1" customWidth="1" min="10239" max="10239" style="36" width="32.6640625"/>
    <col bestFit="1" customWidth="1" min="10240" max="10240" style="36" width="54.33203125"/>
    <col min="10241" max="10494" style="36" width="10.6640625"/>
    <col bestFit="1" customWidth="1" min="10495" max="10495" style="36" width="32.6640625"/>
    <col bestFit="1" customWidth="1" min="10496" max="10496" style="36" width="54.33203125"/>
    <col min="10497" max="10750" style="36" width="10.6640625"/>
    <col bestFit="1" customWidth="1" min="10751" max="10751" style="36" width="32.6640625"/>
    <col bestFit="1" customWidth="1" min="10752" max="10752" style="36" width="54.33203125"/>
    <col min="10753" max="11006" style="36" width="10.6640625"/>
    <col bestFit="1" customWidth="1" min="11007" max="11007" style="36" width="32.6640625"/>
    <col bestFit="1" customWidth="1" min="11008" max="11008" style="36" width="54.33203125"/>
    <col min="11009" max="11262" style="36" width="10.6640625"/>
    <col bestFit="1" customWidth="1" min="11263" max="11263" style="36" width="32.6640625"/>
    <col bestFit="1" customWidth="1" min="11264" max="11264" style="36" width="54.33203125"/>
    <col min="11265" max="11518" style="36" width="10.6640625"/>
    <col bestFit="1" customWidth="1" min="11519" max="11519" style="36" width="32.6640625"/>
    <col bestFit="1" customWidth="1" min="11520" max="11520" style="36" width="54.33203125"/>
    <col min="11521" max="11774" style="36" width="10.6640625"/>
    <col bestFit="1" customWidth="1" min="11775" max="11775" style="36" width="32.6640625"/>
    <col bestFit="1" customWidth="1" min="11776" max="11776" style="36" width="54.33203125"/>
    <col min="11777" max="12030" style="36" width="10.6640625"/>
    <col bestFit="1" customWidth="1" min="12031" max="12031" style="36" width="32.6640625"/>
    <col bestFit="1" customWidth="1" min="12032" max="12032" style="36" width="54.33203125"/>
    <col min="12033" max="12286" style="36" width="10.6640625"/>
    <col bestFit="1" customWidth="1" min="12287" max="12287" style="36" width="32.6640625"/>
    <col bestFit="1" customWidth="1" min="12288" max="12288" style="36" width="54.33203125"/>
    <col min="12289" max="12542" style="36" width="10.6640625"/>
    <col bestFit="1" customWidth="1" min="12543" max="12543" style="36" width="32.6640625"/>
    <col bestFit="1" customWidth="1" min="12544" max="12544" style="36" width="54.33203125"/>
    <col min="12545" max="12798" style="36" width="10.6640625"/>
    <col bestFit="1" customWidth="1" min="12799" max="12799" style="36" width="32.6640625"/>
    <col bestFit="1" customWidth="1" min="12800" max="12800" style="36" width="54.33203125"/>
    <col min="12801" max="13054" style="36" width="10.6640625"/>
    <col bestFit="1" customWidth="1" min="13055" max="13055" style="36" width="32.6640625"/>
    <col bestFit="1" customWidth="1" min="13056" max="13056" style="36" width="54.33203125"/>
    <col min="13057" max="13310" style="36" width="10.6640625"/>
    <col bestFit="1" customWidth="1" min="13311" max="13311" style="36" width="32.6640625"/>
    <col bestFit="1" customWidth="1" min="13312" max="13312" style="36" width="54.33203125"/>
    <col min="13313" max="13566" style="36" width="10.6640625"/>
    <col bestFit="1" customWidth="1" min="13567" max="13567" style="36" width="32.6640625"/>
    <col bestFit="1" customWidth="1" min="13568" max="13568" style="36" width="54.33203125"/>
    <col min="13569" max="13822" style="36" width="10.6640625"/>
    <col bestFit="1" customWidth="1" min="13823" max="13823" style="36" width="32.6640625"/>
    <col bestFit="1" customWidth="1" min="13824" max="13824" style="36" width="54.33203125"/>
    <col min="13825" max="14078" style="36" width="10.6640625"/>
    <col bestFit="1" customWidth="1" min="14079" max="14079" style="36" width="32.6640625"/>
    <col bestFit="1" customWidth="1" min="14080" max="14080" style="36" width="54.33203125"/>
    <col min="14081" max="14334" style="36" width="10.6640625"/>
    <col bestFit="1" customWidth="1" min="14335" max="14335" style="36" width="32.6640625"/>
    <col bestFit="1" customWidth="1" min="14336" max="14336" style="36" width="54.33203125"/>
    <col min="14337" max="14590" style="36" width="10.6640625"/>
    <col bestFit="1" customWidth="1" min="14591" max="14591" style="36" width="32.6640625"/>
    <col bestFit="1" customWidth="1" min="14592" max="14592" style="36" width="54.33203125"/>
    <col min="14593" max="14846" style="36" width="10.6640625"/>
    <col bestFit="1" customWidth="1" min="14847" max="14847" style="36" width="32.6640625"/>
    <col bestFit="1" customWidth="1" min="14848" max="14848" style="36" width="54.33203125"/>
    <col min="14849" max="15102" style="36" width="10.6640625"/>
    <col bestFit="1" customWidth="1" min="15103" max="15103" style="36" width="32.6640625"/>
    <col bestFit="1" customWidth="1" min="15104" max="15104" style="36" width="54.33203125"/>
    <col min="15105" max="15358" style="36" width="10.6640625"/>
    <col bestFit="1" customWidth="1" min="15359" max="15359" style="36" width="32.6640625"/>
    <col bestFit="1" customWidth="1" min="15360" max="15360" style="36" width="54.33203125"/>
    <col min="15361" max="15614" style="36" width="10.6640625"/>
    <col bestFit="1" customWidth="1" min="15615" max="15615" style="36" width="32.6640625"/>
    <col bestFit="1" customWidth="1" min="15616" max="15616" style="36" width="54.33203125"/>
    <col min="15617" max="15870" style="36" width="10.6640625"/>
    <col bestFit="1" customWidth="1" min="15871" max="15871" style="36" width="32.6640625"/>
    <col bestFit="1" customWidth="1" min="15872" max="15872" style="36" width="54.33203125"/>
    <col min="15873" max="16126" style="36" width="10.6640625"/>
    <col bestFit="1" customWidth="1" min="16127" max="16127" style="36" width="32.6640625"/>
    <col bestFit="1" customWidth="1" min="16128" max="16128" style="36" width="54.33203125"/>
    <col min="16129" max="16384" style="36" width="10.6640625"/>
  </cols>
  <sheetData>
    <row r="1" ht="34.5" customHeight="1">
      <c r="A1" s="554" t="s">
        <v>471</v>
      </c>
      <c r="B1" s="554"/>
      <c r="C1" s="554"/>
      <c r="D1" s="554"/>
    </row>
    <row r="2">
      <c r="A2" s="144" t="s">
        <v>472</v>
      </c>
      <c r="I2" s="555"/>
    </row>
    <row r="3">
      <c r="A3" s="144" t="s">
        <v>473</v>
      </c>
      <c r="B3" s="144" t="s">
        <v>474</v>
      </c>
      <c r="C3" s="144" t="s">
        <v>475</v>
      </c>
      <c r="D3" s="144" t="s">
        <v>476</v>
      </c>
      <c r="E3" s="553" t="s">
        <v>477</v>
      </c>
      <c r="F3" s="553" t="s">
        <v>478</v>
      </c>
      <c r="G3" s="553" t="s">
        <v>479</v>
      </c>
      <c r="I3" s="556">
        <v>44957</v>
      </c>
      <c r="J3" s="63" t="s">
        <v>480</v>
      </c>
    </row>
    <row r="4">
      <c r="A4" s="86"/>
      <c r="B4" s="86"/>
      <c r="C4" s="86"/>
      <c r="D4" s="86"/>
      <c r="E4" s="552">
        <f t="shared" ref="E4:E67" si="364">C4-D4</f>
        <v>0</v>
      </c>
      <c r="F4" s="557" t="str">
        <f t="shared" ref="F4:F35" si="365">LEFT(A4,1)</f>
        <v/>
      </c>
      <c r="G4" s="553" t="str">
        <f t="shared" ref="G4:G35" si="366">LEFT(A4,3)</f>
        <v/>
      </c>
      <c r="I4" s="36" t="str">
        <f>IF(A4="","",IF(OR(F4=1,F4=2,F4=3,F4=4,F4=5),1,SUMIF('Suivi budgétaire'!$A:$A,'Import balance'!A4,'Suivi budgétaire'!$A:$A)+SUMIF('Suivi budgétaire'!$B:$B,'Import balance'!A4,'Suivi budgétaire'!$B:$B)+SUMIF('Suivi budgétaire'!$C:$C,'Import balance'!A4,'Suivi budgétaire'!$C:$C)+SUMIF('Suivi budgétaire'!$D:$D,'Import balance'!A4,'Suivi budgétaire'!$D:$D)+SUMIF('Suivi budgétaire'!$E:$E,'Import balance'!A4,'Suivi budgétaire'!$E:$E)))</f>
        <v/>
      </c>
    </row>
    <row r="5">
      <c r="A5" s="86"/>
      <c r="B5" s="86"/>
      <c r="C5" s="86"/>
      <c r="D5" s="86"/>
      <c r="E5" s="552">
        <f t="shared" si="364"/>
        <v>0</v>
      </c>
      <c r="F5" s="557" t="str">
        <f t="shared" si="365"/>
        <v/>
      </c>
      <c r="G5" s="553" t="str">
        <f t="shared" si="366"/>
        <v/>
      </c>
      <c r="I5" s="36" t="str">
        <f>IF(A5="","",IF(OR(F5=1,F5=2,F5=3,F5=4,F5=5),1,SUMIF('Suivi budgétaire'!$A:$A,'Import balance'!A5,'Suivi budgétaire'!$A:$A)+SUMIF('Suivi budgétaire'!$B:$B,'Import balance'!A5,'Suivi budgétaire'!$B:$B)+SUMIF('Suivi budgétaire'!$C:$C,'Import balance'!A5,'Suivi budgétaire'!$C:$C)+SUMIF('Suivi budgétaire'!$D:$D,'Import balance'!A5,'Suivi budgétaire'!$D:$D)+SUMIF('Suivi budgétaire'!$E:$E,'Import balance'!A5,'Suivi budgétaire'!$E:$E)))</f>
        <v/>
      </c>
    </row>
    <row r="6">
      <c r="A6" s="86"/>
      <c r="B6" s="86"/>
      <c r="C6" s="86"/>
      <c r="D6" s="86"/>
      <c r="E6" s="552">
        <f t="shared" si="364"/>
        <v>0</v>
      </c>
      <c r="F6" s="557" t="str">
        <f t="shared" si="365"/>
        <v/>
      </c>
      <c r="G6" s="553" t="str">
        <f t="shared" si="366"/>
        <v/>
      </c>
      <c r="I6" s="36" t="str">
        <f>IF(A6="","",IF(OR(F6=1,F6=2,F6=3,F6=4,F6=5),1,SUMIF('Suivi budgétaire'!$A:$A,'Import balance'!A6,'Suivi budgétaire'!$A:$A)+SUMIF('Suivi budgétaire'!$B:$B,'Import balance'!A6,'Suivi budgétaire'!$B:$B)+SUMIF('Suivi budgétaire'!$C:$C,'Import balance'!A6,'Suivi budgétaire'!$C:$C)+SUMIF('Suivi budgétaire'!$D:$D,'Import balance'!A6,'Suivi budgétaire'!$D:$D)+SUMIF('Suivi budgétaire'!$E:$E,'Import balance'!A6,'Suivi budgétaire'!$E:$E)))</f>
        <v/>
      </c>
      <c r="J6" s="63"/>
      <c r="K6" s="63"/>
      <c r="L6" s="63"/>
    </row>
    <row r="7">
      <c r="A7" s="86"/>
      <c r="B7" s="86"/>
      <c r="C7" s="86"/>
      <c r="D7" s="86"/>
      <c r="E7" s="552">
        <f t="shared" si="364"/>
        <v>0</v>
      </c>
      <c r="F7" s="557" t="str">
        <f t="shared" si="365"/>
        <v/>
      </c>
      <c r="G7" s="553" t="str">
        <f t="shared" si="366"/>
        <v/>
      </c>
      <c r="I7" s="36" t="str">
        <f>IF(A7="","",IF(OR(F7=1,F7=2,F7=3,F7=4,F7=5),1,SUMIF('Suivi budgétaire'!$A:$A,'Import balance'!A7,'Suivi budgétaire'!$A:$A)+SUMIF('Suivi budgétaire'!$B:$B,'Import balance'!A7,'Suivi budgétaire'!$B:$B)+SUMIF('Suivi budgétaire'!$C:$C,'Import balance'!A7,'Suivi budgétaire'!$C:$C)+SUMIF('Suivi budgétaire'!$D:$D,'Import balance'!A7,'Suivi budgétaire'!$D:$D)+SUMIF('Suivi budgétaire'!$E:$E,'Import balance'!A7,'Suivi budgétaire'!$E:$E)))</f>
        <v/>
      </c>
      <c r="J7" s="558"/>
    </row>
    <row r="8">
      <c r="A8" s="86"/>
      <c r="B8" s="86"/>
      <c r="C8" s="86"/>
      <c r="D8" s="86"/>
      <c r="E8" s="552">
        <f t="shared" si="364"/>
        <v>0</v>
      </c>
      <c r="F8" s="557" t="str">
        <f t="shared" si="365"/>
        <v/>
      </c>
      <c r="G8" s="553" t="str">
        <f t="shared" si="366"/>
        <v/>
      </c>
      <c r="I8" s="36" t="str">
        <f>IF(A8="","",IF(OR(F8=1,F8=2,F8=3,F8=4,F8=5),1,SUMIF('Suivi budgétaire'!$A:$A,'Import balance'!A8,'Suivi budgétaire'!$A:$A)+SUMIF('Suivi budgétaire'!$B:$B,'Import balance'!A8,'Suivi budgétaire'!$B:$B)+SUMIF('Suivi budgétaire'!$C:$C,'Import balance'!A8,'Suivi budgétaire'!$C:$C)+SUMIF('Suivi budgétaire'!$D:$D,'Import balance'!A8,'Suivi budgétaire'!$D:$D)+SUMIF('Suivi budgétaire'!$E:$E,'Import balance'!A8,'Suivi budgétaire'!$E:$E)))</f>
        <v/>
      </c>
      <c r="J8" s="558"/>
    </row>
    <row r="9">
      <c r="A9" s="86"/>
      <c r="B9" s="86"/>
      <c r="C9" s="86"/>
      <c r="D9" s="86"/>
      <c r="E9" s="552">
        <f t="shared" si="364"/>
        <v>0</v>
      </c>
      <c r="F9" s="557" t="str">
        <f t="shared" si="365"/>
        <v/>
      </c>
      <c r="G9" s="553" t="str">
        <f t="shared" si="366"/>
        <v/>
      </c>
      <c r="I9" s="36" t="str">
        <f>IF(A9="","",IF(OR(F9=1,F9=2,F9=3,F9=4,F9=5),1,SUMIF('Suivi budgétaire'!$A:$A,'Import balance'!A9,'Suivi budgétaire'!$A:$A)+SUMIF('Suivi budgétaire'!$B:$B,'Import balance'!A9,'Suivi budgétaire'!$B:$B)+SUMIF('Suivi budgétaire'!$C:$C,'Import balance'!A9,'Suivi budgétaire'!$C:$C)+SUMIF('Suivi budgétaire'!$D:$D,'Import balance'!A9,'Suivi budgétaire'!$D:$D)+SUMIF('Suivi budgétaire'!$E:$E,'Import balance'!A9,'Suivi budgétaire'!$E:$E)))</f>
        <v/>
      </c>
      <c r="J9" s="558"/>
    </row>
    <row r="10">
      <c r="A10" s="86"/>
      <c r="B10" s="86"/>
      <c r="C10" s="86"/>
      <c r="D10" s="86"/>
      <c r="E10" s="552">
        <f t="shared" si="364"/>
        <v>0</v>
      </c>
      <c r="F10" s="557" t="str">
        <f t="shared" si="365"/>
        <v/>
      </c>
      <c r="G10" s="553" t="str">
        <f t="shared" si="366"/>
        <v/>
      </c>
      <c r="I10" s="36" t="str">
        <f>IF(A10="","",IF(OR(F10=1,F10=2,F10=3,F10=4,F10=5),1,SUMIF('Suivi budgétaire'!$A:$A,'Import balance'!A10,'Suivi budgétaire'!$A:$A)+SUMIF('Suivi budgétaire'!$B:$B,'Import balance'!A10,'Suivi budgétaire'!$B:$B)+SUMIF('Suivi budgétaire'!$C:$C,'Import balance'!A10,'Suivi budgétaire'!$C:$C)+SUMIF('Suivi budgétaire'!$D:$D,'Import balance'!A10,'Suivi budgétaire'!$D:$D)+SUMIF('Suivi budgétaire'!$E:$E,'Import balance'!A10,'Suivi budgétaire'!$E:$E)))</f>
        <v/>
      </c>
    </row>
    <row r="11">
      <c r="A11" s="86"/>
      <c r="B11" s="86"/>
      <c r="C11" s="86"/>
      <c r="D11" s="86"/>
      <c r="E11" s="552">
        <f t="shared" si="364"/>
        <v>0</v>
      </c>
      <c r="F11" s="557" t="str">
        <f t="shared" si="365"/>
        <v/>
      </c>
      <c r="G11" s="553" t="str">
        <f t="shared" si="366"/>
        <v/>
      </c>
      <c r="I11" s="36" t="str">
        <f>IF(A11="","",IF(OR(F11=1,F11=2,F11=3,F11=4,F11=5),1,SUMIF('Suivi budgétaire'!$A:$A,'Import balance'!A11,'Suivi budgétaire'!$A:$A)+SUMIF('Suivi budgétaire'!$B:$B,'Import balance'!A11,'Suivi budgétaire'!$B:$B)+SUMIF('Suivi budgétaire'!$C:$C,'Import balance'!A11,'Suivi budgétaire'!$C:$C)+SUMIF('Suivi budgétaire'!$D:$D,'Import balance'!A11,'Suivi budgétaire'!$D:$D)+SUMIF('Suivi budgétaire'!$E:$E,'Import balance'!A11,'Suivi budgétaire'!$E:$E)))</f>
        <v/>
      </c>
    </row>
    <row r="12">
      <c r="A12" s="86"/>
      <c r="B12" s="86"/>
      <c r="C12" s="86"/>
      <c r="D12" s="86"/>
      <c r="E12" s="552">
        <f t="shared" si="364"/>
        <v>0</v>
      </c>
      <c r="F12" s="557" t="str">
        <f t="shared" si="365"/>
        <v/>
      </c>
      <c r="G12" s="553" t="str">
        <f t="shared" si="366"/>
        <v/>
      </c>
      <c r="I12" s="36" t="str">
        <f>IF(A12="","",IF(OR(F12=1,F12=2,F12=3,F12=4,F12=5),1,SUMIF('Suivi budgétaire'!$A:$A,'Import balance'!A12,'Suivi budgétaire'!$A:$A)+SUMIF('Suivi budgétaire'!$B:$B,'Import balance'!A12,'Suivi budgétaire'!$B:$B)+SUMIF('Suivi budgétaire'!$C:$C,'Import balance'!A12,'Suivi budgétaire'!$C:$C)+SUMIF('Suivi budgétaire'!$D:$D,'Import balance'!A12,'Suivi budgétaire'!$D:$D)+SUMIF('Suivi budgétaire'!$E:$E,'Import balance'!A12,'Suivi budgétaire'!$E:$E)))</f>
        <v/>
      </c>
    </row>
    <row r="13">
      <c r="A13" s="86"/>
      <c r="B13" s="86"/>
      <c r="C13" s="86"/>
      <c r="D13" s="86"/>
      <c r="E13" s="552">
        <f t="shared" si="364"/>
        <v>0</v>
      </c>
      <c r="F13" s="557" t="str">
        <f t="shared" si="365"/>
        <v/>
      </c>
      <c r="G13" s="553" t="str">
        <f t="shared" si="366"/>
        <v/>
      </c>
      <c r="I13" s="36" t="str">
        <f>IF(A13="","",IF(OR(F13=1,F13=2,F13=3,F13=4,F13=5),1,SUMIF('Suivi budgétaire'!$A:$A,'Import balance'!A13,'Suivi budgétaire'!$A:$A)+SUMIF('Suivi budgétaire'!$B:$B,'Import balance'!A13,'Suivi budgétaire'!$B:$B)+SUMIF('Suivi budgétaire'!$C:$C,'Import balance'!A13,'Suivi budgétaire'!$C:$C)+SUMIF('Suivi budgétaire'!$D:$D,'Import balance'!A13,'Suivi budgétaire'!$D:$D)+SUMIF('Suivi budgétaire'!$E:$E,'Import balance'!A13,'Suivi budgétaire'!$E:$E)))</f>
        <v/>
      </c>
    </row>
    <row r="14">
      <c r="A14" s="86"/>
      <c r="B14" s="86"/>
      <c r="C14" s="86"/>
      <c r="D14" s="86"/>
      <c r="E14" s="552">
        <f t="shared" si="364"/>
        <v>0</v>
      </c>
      <c r="F14" s="557" t="str">
        <f t="shared" si="365"/>
        <v/>
      </c>
      <c r="G14" s="553" t="str">
        <f t="shared" si="366"/>
        <v/>
      </c>
      <c r="I14" s="36" t="str">
        <f>IF(A14="","",IF(OR(F14=1,F14=2,F14=3,F14=4,F14=5),1,SUMIF('Suivi budgétaire'!$A:$A,'Import balance'!A14,'Suivi budgétaire'!$A:$A)+SUMIF('Suivi budgétaire'!$B:$B,'Import balance'!A14,'Suivi budgétaire'!$B:$B)+SUMIF('Suivi budgétaire'!$C:$C,'Import balance'!A14,'Suivi budgétaire'!$C:$C)+SUMIF('Suivi budgétaire'!$D:$D,'Import balance'!A14,'Suivi budgétaire'!$D:$D)+SUMIF('Suivi budgétaire'!$E:$E,'Import balance'!A14,'Suivi budgétaire'!$E:$E)))</f>
        <v/>
      </c>
    </row>
    <row r="15">
      <c r="A15" s="86"/>
      <c r="B15" s="86"/>
      <c r="C15" s="86"/>
      <c r="D15" s="86"/>
      <c r="E15" s="552">
        <f t="shared" si="364"/>
        <v>0</v>
      </c>
      <c r="F15" s="557" t="str">
        <f t="shared" si="365"/>
        <v/>
      </c>
      <c r="G15" s="553" t="str">
        <f t="shared" si="366"/>
        <v/>
      </c>
      <c r="I15" s="36" t="str">
        <f>IF(A15="","",IF(OR(F15=1,F15=2,F15=3,F15=4,F15=5),1,SUMIF('Suivi budgétaire'!$A:$A,'Import balance'!A15,'Suivi budgétaire'!$A:$A)+SUMIF('Suivi budgétaire'!$B:$B,'Import balance'!A15,'Suivi budgétaire'!$B:$B)+SUMIF('Suivi budgétaire'!$C:$C,'Import balance'!A15,'Suivi budgétaire'!$C:$C)+SUMIF('Suivi budgétaire'!$D:$D,'Import balance'!A15,'Suivi budgétaire'!$D:$D)+SUMIF('Suivi budgétaire'!$E:$E,'Import balance'!A15,'Suivi budgétaire'!$E:$E)))</f>
        <v/>
      </c>
    </row>
    <row r="16">
      <c r="A16" s="86"/>
      <c r="B16" s="86"/>
      <c r="C16" s="86"/>
      <c r="D16" s="86"/>
      <c r="E16" s="552">
        <f t="shared" si="364"/>
        <v>0</v>
      </c>
      <c r="F16" s="557" t="str">
        <f t="shared" si="365"/>
        <v/>
      </c>
      <c r="G16" s="553" t="str">
        <f t="shared" si="366"/>
        <v/>
      </c>
      <c r="I16" s="36" t="str">
        <f>IF(A16="","",IF(OR(F16=1,F16=2,F16=3,F16=4,F16=5),1,SUMIF('Suivi budgétaire'!$A:$A,'Import balance'!A16,'Suivi budgétaire'!$A:$A)+SUMIF('Suivi budgétaire'!$B:$B,'Import balance'!A16,'Suivi budgétaire'!$B:$B)+SUMIF('Suivi budgétaire'!$C:$C,'Import balance'!A16,'Suivi budgétaire'!$C:$C)+SUMIF('Suivi budgétaire'!$D:$D,'Import balance'!A16,'Suivi budgétaire'!$D:$D)+SUMIF('Suivi budgétaire'!$E:$E,'Import balance'!A16,'Suivi budgétaire'!$E:$E)))</f>
        <v/>
      </c>
    </row>
    <row r="17">
      <c r="A17" s="86"/>
      <c r="B17" s="86"/>
      <c r="C17" s="86"/>
      <c r="D17" s="86"/>
      <c r="E17" s="552">
        <f t="shared" si="364"/>
        <v>0</v>
      </c>
      <c r="F17" s="557" t="str">
        <f t="shared" si="365"/>
        <v/>
      </c>
      <c r="G17" s="553" t="str">
        <f t="shared" si="366"/>
        <v/>
      </c>
      <c r="I17" s="36" t="str">
        <f>IF(A17="","",IF(OR(F17=1,F17=2,F17=3,F17=4,F17=5),1,SUMIF('Suivi budgétaire'!$A:$A,'Import balance'!A17,'Suivi budgétaire'!$A:$A)+SUMIF('Suivi budgétaire'!$B:$B,'Import balance'!A17,'Suivi budgétaire'!$B:$B)+SUMIF('Suivi budgétaire'!$C:$C,'Import balance'!A17,'Suivi budgétaire'!$C:$C)+SUMIF('Suivi budgétaire'!$D:$D,'Import balance'!A17,'Suivi budgétaire'!$D:$D)+SUMIF('Suivi budgétaire'!$E:$E,'Import balance'!A17,'Suivi budgétaire'!$E:$E)))</f>
        <v/>
      </c>
    </row>
    <row r="18">
      <c r="A18" s="86"/>
      <c r="B18" s="86"/>
      <c r="C18" s="86"/>
      <c r="D18" s="86"/>
      <c r="E18" s="552">
        <f t="shared" si="364"/>
        <v>0</v>
      </c>
      <c r="F18" s="557" t="str">
        <f t="shared" si="365"/>
        <v/>
      </c>
      <c r="G18" s="553" t="str">
        <f t="shared" si="366"/>
        <v/>
      </c>
      <c r="I18" s="36" t="str">
        <f>IF(A18="","",IF(OR(F18=1,F18=2,F18=3,F18=4,F18=5),1,SUMIF('Suivi budgétaire'!$A:$A,'Import balance'!A18,'Suivi budgétaire'!$A:$A)+SUMIF('Suivi budgétaire'!$B:$B,'Import balance'!A18,'Suivi budgétaire'!$B:$B)+SUMIF('Suivi budgétaire'!$C:$C,'Import balance'!A18,'Suivi budgétaire'!$C:$C)+SUMIF('Suivi budgétaire'!$D:$D,'Import balance'!A18,'Suivi budgétaire'!$D:$D)+SUMIF('Suivi budgétaire'!$E:$E,'Import balance'!A18,'Suivi budgétaire'!$E:$E)))</f>
        <v/>
      </c>
    </row>
    <row r="19">
      <c r="A19" s="86"/>
      <c r="B19" s="86"/>
      <c r="C19" s="86"/>
      <c r="D19" s="86"/>
      <c r="E19" s="552">
        <f t="shared" si="364"/>
        <v>0</v>
      </c>
      <c r="F19" s="557" t="str">
        <f t="shared" si="365"/>
        <v/>
      </c>
      <c r="G19" s="553" t="str">
        <f t="shared" si="366"/>
        <v/>
      </c>
      <c r="I19" s="36" t="str">
        <f>IF(A19="","",IF(OR(F19=1,F19=2,F19=3,F19=4,F19=5),1,SUMIF('Suivi budgétaire'!$A:$A,'Import balance'!A19,'Suivi budgétaire'!$A:$A)+SUMIF('Suivi budgétaire'!$B:$B,'Import balance'!A19,'Suivi budgétaire'!$B:$B)+SUMIF('Suivi budgétaire'!$C:$C,'Import balance'!A19,'Suivi budgétaire'!$C:$C)+SUMIF('Suivi budgétaire'!$D:$D,'Import balance'!A19,'Suivi budgétaire'!$D:$D)+SUMIF('Suivi budgétaire'!$E:$E,'Import balance'!A19,'Suivi budgétaire'!$E:$E)))</f>
        <v/>
      </c>
    </row>
    <row r="20">
      <c r="A20" s="86"/>
      <c r="B20" s="86"/>
      <c r="C20" s="86"/>
      <c r="D20" s="86"/>
      <c r="E20" s="552">
        <f t="shared" si="364"/>
        <v>0</v>
      </c>
      <c r="F20" s="557" t="str">
        <f t="shared" si="365"/>
        <v/>
      </c>
      <c r="G20" s="553" t="str">
        <f t="shared" si="366"/>
        <v/>
      </c>
      <c r="I20" s="36" t="str">
        <f>IF(A20="","",IF(OR(F20=1,F20=2,F20=3,F20=4,F20=5),1,SUMIF('Suivi budgétaire'!$A:$A,'Import balance'!A20,'Suivi budgétaire'!$A:$A)+SUMIF('Suivi budgétaire'!$B:$B,'Import balance'!A20,'Suivi budgétaire'!$B:$B)+SUMIF('Suivi budgétaire'!$C:$C,'Import balance'!A20,'Suivi budgétaire'!$C:$C)+SUMIF('Suivi budgétaire'!$D:$D,'Import balance'!A20,'Suivi budgétaire'!$D:$D)+SUMIF('Suivi budgétaire'!$E:$E,'Import balance'!A20,'Suivi budgétaire'!$E:$E)))</f>
        <v/>
      </c>
    </row>
    <row r="21">
      <c r="A21" s="86"/>
      <c r="B21" s="86"/>
      <c r="C21" s="86"/>
      <c r="D21" s="86"/>
      <c r="E21" s="552">
        <f t="shared" si="364"/>
        <v>0</v>
      </c>
      <c r="F21" s="557" t="str">
        <f t="shared" si="365"/>
        <v/>
      </c>
      <c r="G21" s="553" t="str">
        <f t="shared" si="366"/>
        <v/>
      </c>
      <c r="I21" s="36" t="str">
        <f>IF(A21="","",IF(OR(F21=1,F21=2,F21=3,F21=4,F21=5),1,SUMIF('Suivi budgétaire'!$A:$A,'Import balance'!A21,'Suivi budgétaire'!$A:$A)+SUMIF('Suivi budgétaire'!$B:$B,'Import balance'!A21,'Suivi budgétaire'!$B:$B)+SUMIF('Suivi budgétaire'!$C:$C,'Import balance'!A21,'Suivi budgétaire'!$C:$C)+SUMIF('Suivi budgétaire'!$D:$D,'Import balance'!A21,'Suivi budgétaire'!$D:$D)+SUMIF('Suivi budgétaire'!$E:$E,'Import balance'!A21,'Suivi budgétaire'!$E:$E)))</f>
        <v/>
      </c>
    </row>
    <row r="22">
      <c r="A22" s="86"/>
      <c r="B22" s="86"/>
      <c r="C22" s="86"/>
      <c r="D22" s="86"/>
      <c r="E22" s="552">
        <f t="shared" si="364"/>
        <v>0</v>
      </c>
      <c r="F22" s="557" t="str">
        <f t="shared" si="365"/>
        <v/>
      </c>
      <c r="G22" s="553" t="str">
        <f t="shared" si="366"/>
        <v/>
      </c>
      <c r="I22" s="36" t="str">
        <f>IF(A22="","",IF(OR(F22=1,F22=2,F22=3,F22=4,F22=5),1,SUMIF('Suivi budgétaire'!$A:$A,'Import balance'!A22,'Suivi budgétaire'!$A:$A)+SUMIF('Suivi budgétaire'!$B:$B,'Import balance'!A22,'Suivi budgétaire'!$B:$B)+SUMIF('Suivi budgétaire'!$C:$C,'Import balance'!A22,'Suivi budgétaire'!$C:$C)+SUMIF('Suivi budgétaire'!$D:$D,'Import balance'!A22,'Suivi budgétaire'!$D:$D)+SUMIF('Suivi budgétaire'!$E:$E,'Import balance'!A22,'Suivi budgétaire'!$E:$E)))</f>
        <v/>
      </c>
    </row>
    <row r="23">
      <c r="A23" s="86"/>
      <c r="B23" s="86"/>
      <c r="C23" s="86"/>
      <c r="D23" s="86"/>
      <c r="E23" s="552">
        <f t="shared" si="364"/>
        <v>0</v>
      </c>
      <c r="F23" s="557" t="str">
        <f t="shared" si="365"/>
        <v/>
      </c>
      <c r="G23" s="553" t="str">
        <f t="shared" si="366"/>
        <v/>
      </c>
      <c r="I23" s="36" t="str">
        <f>IF(A23="","",IF(OR(F23=1,F23=2,F23=3,F23=4,F23=5),1,SUMIF('Suivi budgétaire'!$A:$A,'Import balance'!A23,'Suivi budgétaire'!$A:$A)+SUMIF('Suivi budgétaire'!$B:$B,'Import balance'!A23,'Suivi budgétaire'!$B:$B)+SUMIF('Suivi budgétaire'!$C:$C,'Import balance'!A23,'Suivi budgétaire'!$C:$C)+SUMIF('Suivi budgétaire'!$D:$D,'Import balance'!A23,'Suivi budgétaire'!$D:$D)+SUMIF('Suivi budgétaire'!$E:$E,'Import balance'!A23,'Suivi budgétaire'!$E:$E)))</f>
        <v/>
      </c>
    </row>
    <row r="24">
      <c r="A24" s="86"/>
      <c r="B24" s="86"/>
      <c r="C24" s="86"/>
      <c r="D24" s="86"/>
      <c r="E24" s="552">
        <f t="shared" si="364"/>
        <v>0</v>
      </c>
      <c r="F24" s="557" t="str">
        <f t="shared" si="365"/>
        <v/>
      </c>
      <c r="G24" s="553" t="str">
        <f t="shared" si="366"/>
        <v/>
      </c>
      <c r="I24" s="36" t="str">
        <f>IF(A24="","",IF(OR(F24=1,F24=2,F24=3,F24=4,F24=5),1,SUMIF('Suivi budgétaire'!$A:$A,'Import balance'!A24,'Suivi budgétaire'!$A:$A)+SUMIF('Suivi budgétaire'!$B:$B,'Import balance'!A24,'Suivi budgétaire'!$B:$B)+SUMIF('Suivi budgétaire'!$C:$C,'Import balance'!A24,'Suivi budgétaire'!$C:$C)+SUMIF('Suivi budgétaire'!$D:$D,'Import balance'!A24,'Suivi budgétaire'!$D:$D)+SUMIF('Suivi budgétaire'!$E:$E,'Import balance'!A24,'Suivi budgétaire'!$E:$E)))</f>
        <v/>
      </c>
    </row>
    <row r="25">
      <c r="A25" s="86"/>
      <c r="B25" s="86"/>
      <c r="C25" s="86"/>
      <c r="D25" s="86"/>
      <c r="E25" s="552">
        <f t="shared" si="364"/>
        <v>0</v>
      </c>
      <c r="F25" s="557" t="str">
        <f t="shared" si="365"/>
        <v/>
      </c>
      <c r="G25" s="553" t="str">
        <f t="shared" si="366"/>
        <v/>
      </c>
      <c r="I25" s="36" t="str">
        <f>IF(A25="","",IF(OR(F25=1,F25=2,F25=3,F25=4,F25=5),1,SUMIF('Suivi budgétaire'!$A:$A,'Import balance'!A25,'Suivi budgétaire'!$A:$A)+SUMIF('Suivi budgétaire'!$B:$B,'Import balance'!A25,'Suivi budgétaire'!$B:$B)+SUMIF('Suivi budgétaire'!$C:$C,'Import balance'!A25,'Suivi budgétaire'!$C:$C)+SUMIF('Suivi budgétaire'!$D:$D,'Import balance'!A25,'Suivi budgétaire'!$D:$D)+SUMIF('Suivi budgétaire'!$E:$E,'Import balance'!A25,'Suivi budgétaire'!$E:$E)))</f>
        <v/>
      </c>
    </row>
    <row r="26">
      <c r="A26" s="86"/>
      <c r="B26" s="86"/>
      <c r="C26" s="86"/>
      <c r="D26" s="86"/>
      <c r="E26" s="552">
        <f t="shared" si="364"/>
        <v>0</v>
      </c>
      <c r="F26" s="557" t="str">
        <f t="shared" si="365"/>
        <v/>
      </c>
      <c r="G26" s="553" t="str">
        <f t="shared" si="366"/>
        <v/>
      </c>
      <c r="I26" s="36" t="str">
        <f>IF(A26="","",IF(OR(F26=1,F26=2,F26=3,F26=4,F26=5),1,SUMIF('Suivi budgétaire'!$A:$A,'Import balance'!A26,'Suivi budgétaire'!$A:$A)+SUMIF('Suivi budgétaire'!$B:$B,'Import balance'!A26,'Suivi budgétaire'!$B:$B)+SUMIF('Suivi budgétaire'!$C:$C,'Import balance'!A26,'Suivi budgétaire'!$C:$C)+SUMIF('Suivi budgétaire'!$D:$D,'Import balance'!A26,'Suivi budgétaire'!$D:$D)+SUMIF('Suivi budgétaire'!$E:$E,'Import balance'!A26,'Suivi budgétaire'!$E:$E)))</f>
        <v/>
      </c>
    </row>
    <row r="27">
      <c r="A27" s="86"/>
      <c r="B27" s="86"/>
      <c r="C27" s="86"/>
      <c r="D27" s="86"/>
      <c r="E27" s="552">
        <f t="shared" si="364"/>
        <v>0</v>
      </c>
      <c r="F27" s="557" t="str">
        <f t="shared" si="365"/>
        <v/>
      </c>
      <c r="G27" s="553" t="str">
        <f t="shared" si="366"/>
        <v/>
      </c>
      <c r="I27" s="36" t="str">
        <f>IF(A27="","",IF(OR(F27=1,F27=2,F27=3,F27=4,F27=5),1,SUMIF('Suivi budgétaire'!$A:$A,'Import balance'!A27,'Suivi budgétaire'!$A:$A)+SUMIF('Suivi budgétaire'!$B:$B,'Import balance'!A27,'Suivi budgétaire'!$B:$B)+SUMIF('Suivi budgétaire'!$C:$C,'Import balance'!A27,'Suivi budgétaire'!$C:$C)+SUMIF('Suivi budgétaire'!$D:$D,'Import balance'!A27,'Suivi budgétaire'!$D:$D)+SUMIF('Suivi budgétaire'!$E:$E,'Import balance'!A27,'Suivi budgétaire'!$E:$E)))</f>
        <v/>
      </c>
    </row>
    <row r="28">
      <c r="A28" s="86"/>
      <c r="B28" s="86"/>
      <c r="C28" s="86"/>
      <c r="D28" s="86"/>
      <c r="E28" s="552">
        <f t="shared" si="364"/>
        <v>0</v>
      </c>
      <c r="F28" s="557" t="str">
        <f t="shared" si="365"/>
        <v/>
      </c>
      <c r="G28" s="553" t="str">
        <f t="shared" si="366"/>
        <v/>
      </c>
      <c r="I28" s="36" t="str">
        <f>IF(A28="","",IF(OR(F28=1,F28=2,F28=3,F28=4,F28=5),1,SUMIF('Suivi budgétaire'!$A:$A,'Import balance'!A28,'Suivi budgétaire'!$A:$A)+SUMIF('Suivi budgétaire'!$B:$B,'Import balance'!A28,'Suivi budgétaire'!$B:$B)+SUMIF('Suivi budgétaire'!$C:$C,'Import balance'!A28,'Suivi budgétaire'!$C:$C)+SUMIF('Suivi budgétaire'!$D:$D,'Import balance'!A28,'Suivi budgétaire'!$D:$D)+SUMIF('Suivi budgétaire'!$E:$E,'Import balance'!A28,'Suivi budgétaire'!$E:$E)))</f>
        <v/>
      </c>
    </row>
    <row r="29">
      <c r="A29" s="86"/>
      <c r="B29" s="86"/>
      <c r="C29" s="86"/>
      <c r="D29" s="86"/>
      <c r="E29" s="552">
        <f t="shared" si="364"/>
        <v>0</v>
      </c>
      <c r="F29" s="557" t="str">
        <f t="shared" si="365"/>
        <v/>
      </c>
      <c r="G29" s="553" t="str">
        <f t="shared" si="366"/>
        <v/>
      </c>
      <c r="I29" s="36" t="str">
        <f>IF(A29="","",IF(OR(F29=1,F29=2,F29=3,F29=4,F29=5),1,SUMIF('Suivi budgétaire'!$A:$A,'Import balance'!A29,'Suivi budgétaire'!$A:$A)+SUMIF('Suivi budgétaire'!$B:$B,'Import balance'!A29,'Suivi budgétaire'!$B:$B)+SUMIF('Suivi budgétaire'!$C:$C,'Import balance'!A29,'Suivi budgétaire'!$C:$C)+SUMIF('Suivi budgétaire'!$D:$D,'Import balance'!A29,'Suivi budgétaire'!$D:$D)+SUMIF('Suivi budgétaire'!$E:$E,'Import balance'!A29,'Suivi budgétaire'!$E:$E)))</f>
        <v/>
      </c>
    </row>
    <row r="30">
      <c r="A30" s="86"/>
      <c r="B30" s="86"/>
      <c r="C30" s="86"/>
      <c r="D30" s="86"/>
      <c r="E30" s="552">
        <f t="shared" si="364"/>
        <v>0</v>
      </c>
      <c r="F30" s="557" t="str">
        <f t="shared" si="365"/>
        <v/>
      </c>
      <c r="G30" s="553" t="str">
        <f t="shared" si="366"/>
        <v/>
      </c>
      <c r="I30" s="36" t="str">
        <f>IF(A30="","",IF(OR(F30=1,F30=2,F30=3,F30=4,F30=5),1,SUMIF('Suivi budgétaire'!$A:$A,'Import balance'!A30,'Suivi budgétaire'!$A:$A)+SUMIF('Suivi budgétaire'!$B:$B,'Import balance'!A30,'Suivi budgétaire'!$B:$B)+SUMIF('Suivi budgétaire'!$C:$C,'Import balance'!A30,'Suivi budgétaire'!$C:$C)+SUMIF('Suivi budgétaire'!$D:$D,'Import balance'!A30,'Suivi budgétaire'!$D:$D)+SUMIF('Suivi budgétaire'!$E:$E,'Import balance'!A30,'Suivi budgétaire'!$E:$E)))</f>
        <v/>
      </c>
    </row>
    <row r="31">
      <c r="A31" s="86"/>
      <c r="B31" s="86"/>
      <c r="C31" s="86"/>
      <c r="D31" s="86"/>
      <c r="E31" s="552">
        <f t="shared" si="364"/>
        <v>0</v>
      </c>
      <c r="F31" s="557" t="str">
        <f t="shared" si="365"/>
        <v/>
      </c>
      <c r="G31" s="553" t="str">
        <f t="shared" si="366"/>
        <v/>
      </c>
      <c r="I31" s="36" t="str">
        <f>IF(A31="","",IF(OR(F31=1,F31=2,F31=3,F31=4,F31=5),1,SUMIF('Suivi budgétaire'!$A:$A,'Import balance'!A31,'Suivi budgétaire'!$A:$A)+SUMIF('Suivi budgétaire'!$B:$B,'Import balance'!A31,'Suivi budgétaire'!$B:$B)+SUMIF('Suivi budgétaire'!$C:$C,'Import balance'!A31,'Suivi budgétaire'!$C:$C)+SUMIF('Suivi budgétaire'!$D:$D,'Import balance'!A31,'Suivi budgétaire'!$D:$D)+SUMIF('Suivi budgétaire'!$E:$E,'Import balance'!A31,'Suivi budgétaire'!$E:$E)))</f>
        <v/>
      </c>
    </row>
    <row r="32">
      <c r="A32" s="86"/>
      <c r="B32" s="86"/>
      <c r="C32" s="86"/>
      <c r="D32" s="86"/>
      <c r="E32" s="552">
        <f t="shared" si="364"/>
        <v>0</v>
      </c>
      <c r="F32" s="557" t="str">
        <f t="shared" si="365"/>
        <v/>
      </c>
      <c r="G32" s="553" t="str">
        <f t="shared" si="366"/>
        <v/>
      </c>
      <c r="I32" s="36" t="str">
        <f>IF(A32="","",IF(OR(F32=1,F32=2,F32=3,F32=4,F32=5),1,SUMIF('Suivi budgétaire'!$A:$A,'Import balance'!A32,'Suivi budgétaire'!$A:$A)+SUMIF('Suivi budgétaire'!$B:$B,'Import balance'!A32,'Suivi budgétaire'!$B:$B)+SUMIF('Suivi budgétaire'!$C:$C,'Import balance'!A32,'Suivi budgétaire'!$C:$C)+SUMIF('Suivi budgétaire'!$D:$D,'Import balance'!A32,'Suivi budgétaire'!$D:$D)+SUMIF('Suivi budgétaire'!$E:$E,'Import balance'!A32,'Suivi budgétaire'!$E:$E)))</f>
        <v/>
      </c>
    </row>
    <row r="33">
      <c r="A33" s="86"/>
      <c r="B33" s="86"/>
      <c r="C33" s="86"/>
      <c r="D33" s="86"/>
      <c r="E33" s="552">
        <f t="shared" si="364"/>
        <v>0</v>
      </c>
      <c r="F33" s="557" t="str">
        <f t="shared" si="365"/>
        <v/>
      </c>
      <c r="G33" s="553" t="str">
        <f t="shared" si="366"/>
        <v/>
      </c>
      <c r="I33" s="36" t="str">
        <f>IF(A33="","",IF(OR(F33=1,F33=2,F33=3,F33=4,F33=5),1,SUMIF('Suivi budgétaire'!$A:$A,'Import balance'!A33,'Suivi budgétaire'!$A:$A)+SUMIF('Suivi budgétaire'!$B:$B,'Import balance'!A33,'Suivi budgétaire'!$B:$B)+SUMIF('Suivi budgétaire'!$C:$C,'Import balance'!A33,'Suivi budgétaire'!$C:$C)+SUMIF('Suivi budgétaire'!$D:$D,'Import balance'!A33,'Suivi budgétaire'!$D:$D)+SUMIF('Suivi budgétaire'!$E:$E,'Import balance'!A33,'Suivi budgétaire'!$E:$E)))</f>
        <v/>
      </c>
    </row>
    <row r="34">
      <c r="A34" s="86"/>
      <c r="B34" s="86"/>
      <c r="C34" s="86"/>
      <c r="D34" s="86"/>
      <c r="E34" s="552">
        <f t="shared" si="364"/>
        <v>0</v>
      </c>
      <c r="F34" s="557" t="str">
        <f t="shared" si="365"/>
        <v/>
      </c>
      <c r="G34" s="553" t="str">
        <f t="shared" si="366"/>
        <v/>
      </c>
      <c r="I34" s="36" t="str">
        <f>IF(A34="","",IF(OR(F34=1,F34=2,F34=3,F34=4,F34=5),1,SUMIF('Suivi budgétaire'!$A:$A,'Import balance'!A34,'Suivi budgétaire'!$A:$A)+SUMIF('Suivi budgétaire'!$B:$B,'Import balance'!A34,'Suivi budgétaire'!$B:$B)+SUMIF('Suivi budgétaire'!$C:$C,'Import balance'!A34,'Suivi budgétaire'!$C:$C)+SUMIF('Suivi budgétaire'!$D:$D,'Import balance'!A34,'Suivi budgétaire'!$D:$D)+SUMIF('Suivi budgétaire'!$E:$E,'Import balance'!A34,'Suivi budgétaire'!$E:$E)))</f>
        <v/>
      </c>
    </row>
    <row r="35">
      <c r="A35" s="86"/>
      <c r="B35" s="86"/>
      <c r="C35" s="86"/>
      <c r="D35" s="86"/>
      <c r="E35" s="552">
        <f t="shared" si="364"/>
        <v>0</v>
      </c>
      <c r="F35" s="557" t="str">
        <f t="shared" si="365"/>
        <v/>
      </c>
      <c r="G35" s="553" t="str">
        <f t="shared" si="366"/>
        <v/>
      </c>
      <c r="I35" s="36" t="str">
        <f>IF(A35="","",IF(OR(F35=1,F35=2,F35=3,F35=4,F35=5),1,SUMIF('Suivi budgétaire'!$A:$A,'Import balance'!A35,'Suivi budgétaire'!$A:$A)+SUMIF('Suivi budgétaire'!$B:$B,'Import balance'!A35,'Suivi budgétaire'!$B:$B)+SUMIF('Suivi budgétaire'!$C:$C,'Import balance'!A35,'Suivi budgétaire'!$C:$C)+SUMIF('Suivi budgétaire'!$D:$D,'Import balance'!A35,'Suivi budgétaire'!$D:$D)+SUMIF('Suivi budgétaire'!$E:$E,'Import balance'!A35,'Suivi budgétaire'!$E:$E)))</f>
        <v/>
      </c>
    </row>
    <row r="36">
      <c r="A36" s="86"/>
      <c r="B36" s="86"/>
      <c r="C36" s="86"/>
      <c r="D36" s="86"/>
      <c r="E36" s="552">
        <f t="shared" si="364"/>
        <v>0</v>
      </c>
      <c r="F36" s="557" t="str">
        <f t="shared" ref="F36:F99" si="367">LEFT(A36,1)</f>
        <v/>
      </c>
      <c r="G36" s="553" t="str">
        <f t="shared" ref="G36:G99" si="368">LEFT(A36,3)</f>
        <v/>
      </c>
      <c r="I36" s="36" t="str">
        <f>IF(A36="","",IF(OR(F36=1,F36=2,F36=3,F36=4,F36=5),1,SUMIF('Suivi budgétaire'!$A:$A,'Import balance'!A36,'Suivi budgétaire'!$A:$A)+SUMIF('Suivi budgétaire'!$B:$B,'Import balance'!A36,'Suivi budgétaire'!$B:$B)+SUMIF('Suivi budgétaire'!$C:$C,'Import balance'!A36,'Suivi budgétaire'!$C:$C)+SUMIF('Suivi budgétaire'!$D:$D,'Import balance'!A36,'Suivi budgétaire'!$D:$D)+SUMIF('Suivi budgétaire'!$E:$E,'Import balance'!A36,'Suivi budgétaire'!$E:$E)))</f>
        <v/>
      </c>
    </row>
    <row r="37">
      <c r="A37" s="86"/>
      <c r="B37" s="86"/>
      <c r="C37" s="86"/>
      <c r="D37" s="86"/>
      <c r="E37" s="552">
        <f t="shared" si="364"/>
        <v>0</v>
      </c>
      <c r="F37" s="557" t="str">
        <f t="shared" si="367"/>
        <v/>
      </c>
      <c r="G37" s="553" t="str">
        <f t="shared" si="368"/>
        <v/>
      </c>
      <c r="I37" s="36" t="str">
        <f>IF(A37="","",IF(OR(F37=1,F37=2,F37=3,F37=4,F37=5),1,SUMIF('Suivi budgétaire'!$A:$A,'Import balance'!A37,'Suivi budgétaire'!$A:$A)+SUMIF('Suivi budgétaire'!$B:$B,'Import balance'!A37,'Suivi budgétaire'!$B:$B)+SUMIF('Suivi budgétaire'!$C:$C,'Import balance'!A37,'Suivi budgétaire'!$C:$C)+SUMIF('Suivi budgétaire'!$D:$D,'Import balance'!A37,'Suivi budgétaire'!$D:$D)+SUMIF('Suivi budgétaire'!$E:$E,'Import balance'!A37,'Suivi budgétaire'!$E:$E)))</f>
        <v/>
      </c>
    </row>
    <row r="38">
      <c r="A38" s="86"/>
      <c r="B38" s="86"/>
      <c r="C38" s="86"/>
      <c r="D38" s="86"/>
      <c r="E38" s="552">
        <f t="shared" si="364"/>
        <v>0</v>
      </c>
      <c r="F38" s="557" t="str">
        <f t="shared" si="367"/>
        <v/>
      </c>
      <c r="G38" s="553" t="str">
        <f t="shared" si="368"/>
        <v/>
      </c>
      <c r="I38" s="36" t="str">
        <f>IF(A38="","",IF(OR(F38=1,F38=2,F38=3,F38=4,F38=5),1,SUMIF('Suivi budgétaire'!$A:$A,'Import balance'!A38,'Suivi budgétaire'!$A:$A)+SUMIF('Suivi budgétaire'!$B:$B,'Import balance'!A38,'Suivi budgétaire'!$B:$B)+SUMIF('Suivi budgétaire'!$C:$C,'Import balance'!A38,'Suivi budgétaire'!$C:$C)+SUMIF('Suivi budgétaire'!$D:$D,'Import balance'!A38,'Suivi budgétaire'!$D:$D)+SUMIF('Suivi budgétaire'!$E:$E,'Import balance'!A38,'Suivi budgétaire'!$E:$E)))</f>
        <v/>
      </c>
    </row>
    <row r="39">
      <c r="A39" s="86"/>
      <c r="B39" s="86"/>
      <c r="C39" s="86"/>
      <c r="D39" s="86"/>
      <c r="E39" s="552">
        <f t="shared" si="364"/>
        <v>0</v>
      </c>
      <c r="F39" s="557" t="str">
        <f t="shared" si="367"/>
        <v/>
      </c>
      <c r="G39" s="553" t="str">
        <f t="shared" si="368"/>
        <v/>
      </c>
      <c r="I39" s="36" t="str">
        <f>IF(A39="","",IF(OR(F39=1,F39=2,F39=3,F39=4,F39=5),1,SUMIF('Suivi budgétaire'!$A:$A,'Import balance'!A39,'Suivi budgétaire'!$A:$A)+SUMIF('Suivi budgétaire'!$B:$B,'Import balance'!A39,'Suivi budgétaire'!$B:$B)+SUMIF('Suivi budgétaire'!$C:$C,'Import balance'!A39,'Suivi budgétaire'!$C:$C)+SUMIF('Suivi budgétaire'!$D:$D,'Import balance'!A39,'Suivi budgétaire'!$D:$D)+SUMIF('Suivi budgétaire'!$E:$E,'Import balance'!A39,'Suivi budgétaire'!$E:$E)))</f>
        <v/>
      </c>
    </row>
    <row r="40">
      <c r="A40" s="86"/>
      <c r="B40" s="86"/>
      <c r="C40" s="86"/>
      <c r="D40" s="86"/>
      <c r="E40" s="552">
        <f t="shared" si="364"/>
        <v>0</v>
      </c>
      <c r="F40" s="557" t="str">
        <f t="shared" si="367"/>
        <v/>
      </c>
      <c r="G40" s="553" t="str">
        <f t="shared" si="368"/>
        <v/>
      </c>
      <c r="I40" s="36" t="str">
        <f>IF(A40="","",IF(OR(F40=1,F40=2,F40=3,F40=4,F40=5),1,SUMIF('Suivi budgétaire'!$A:$A,'Import balance'!A40,'Suivi budgétaire'!$A:$A)+SUMIF('Suivi budgétaire'!$B:$B,'Import balance'!A40,'Suivi budgétaire'!$B:$B)+SUMIF('Suivi budgétaire'!$C:$C,'Import balance'!A40,'Suivi budgétaire'!$C:$C)+SUMIF('Suivi budgétaire'!$D:$D,'Import balance'!A40,'Suivi budgétaire'!$D:$D)+SUMIF('Suivi budgétaire'!$E:$E,'Import balance'!A40,'Suivi budgétaire'!$E:$E)))</f>
        <v/>
      </c>
    </row>
    <row r="41">
      <c r="A41" s="86"/>
      <c r="B41" s="86"/>
      <c r="C41" s="86"/>
      <c r="D41" s="86"/>
      <c r="E41" s="552">
        <f t="shared" si="364"/>
        <v>0</v>
      </c>
      <c r="F41" s="557" t="str">
        <f t="shared" si="367"/>
        <v/>
      </c>
      <c r="G41" s="553" t="str">
        <f t="shared" si="368"/>
        <v/>
      </c>
      <c r="I41" s="36" t="str">
        <f>IF(A41="","",IF(OR(F41=1,F41=2,F41=3,F41=4,F41=5),1,SUMIF('Suivi budgétaire'!$A:$A,'Import balance'!A41,'Suivi budgétaire'!$A:$A)+SUMIF('Suivi budgétaire'!$B:$B,'Import balance'!A41,'Suivi budgétaire'!$B:$B)+SUMIF('Suivi budgétaire'!$C:$C,'Import balance'!A41,'Suivi budgétaire'!$C:$C)+SUMIF('Suivi budgétaire'!$D:$D,'Import balance'!A41,'Suivi budgétaire'!$D:$D)+SUMIF('Suivi budgétaire'!$E:$E,'Import balance'!A41,'Suivi budgétaire'!$E:$E)))</f>
        <v/>
      </c>
    </row>
    <row r="42">
      <c r="A42" s="86"/>
      <c r="B42" s="86"/>
      <c r="C42" s="86"/>
      <c r="D42" s="86"/>
      <c r="E42" s="552">
        <f t="shared" si="364"/>
        <v>0</v>
      </c>
      <c r="F42" s="557" t="str">
        <f t="shared" si="367"/>
        <v/>
      </c>
      <c r="G42" s="553" t="str">
        <f t="shared" si="368"/>
        <v/>
      </c>
      <c r="I42" s="36" t="str">
        <f>IF(A42="","",IF(OR(F42=1,F42=2,F42=3,F42=4,F42=5),1,SUMIF('Suivi budgétaire'!$A:$A,'Import balance'!A42,'Suivi budgétaire'!$A:$A)+SUMIF('Suivi budgétaire'!$B:$B,'Import balance'!A42,'Suivi budgétaire'!$B:$B)+SUMIF('Suivi budgétaire'!$C:$C,'Import balance'!A42,'Suivi budgétaire'!$C:$C)+SUMIF('Suivi budgétaire'!$D:$D,'Import balance'!A42,'Suivi budgétaire'!$D:$D)+SUMIF('Suivi budgétaire'!$E:$E,'Import balance'!A42,'Suivi budgétaire'!$E:$E)))</f>
        <v/>
      </c>
    </row>
    <row r="43">
      <c r="A43" s="86"/>
      <c r="B43" s="86"/>
      <c r="C43" s="86"/>
      <c r="D43" s="86"/>
      <c r="E43" s="552">
        <f t="shared" si="364"/>
        <v>0</v>
      </c>
      <c r="F43" s="557" t="str">
        <f t="shared" si="367"/>
        <v/>
      </c>
      <c r="G43" s="553" t="str">
        <f t="shared" si="368"/>
        <v/>
      </c>
      <c r="I43" s="36" t="str">
        <f>IF(A43="","",IF(OR(F43=1,F43=2,F43=3,F43=4,F43=5),1,SUMIF('Suivi budgétaire'!$A:$A,'Import balance'!A43,'Suivi budgétaire'!$A:$A)+SUMIF('Suivi budgétaire'!$B:$B,'Import balance'!A43,'Suivi budgétaire'!$B:$B)+SUMIF('Suivi budgétaire'!$C:$C,'Import balance'!A43,'Suivi budgétaire'!$C:$C)+SUMIF('Suivi budgétaire'!$D:$D,'Import balance'!A43,'Suivi budgétaire'!$D:$D)+SUMIF('Suivi budgétaire'!$E:$E,'Import balance'!A43,'Suivi budgétaire'!$E:$E)))</f>
        <v/>
      </c>
    </row>
    <row r="44">
      <c r="A44" s="86"/>
      <c r="B44" s="86"/>
      <c r="C44" s="86"/>
      <c r="D44" s="86"/>
      <c r="E44" s="552">
        <f t="shared" si="364"/>
        <v>0</v>
      </c>
      <c r="F44" s="557" t="str">
        <f t="shared" si="367"/>
        <v/>
      </c>
      <c r="G44" s="553" t="str">
        <f t="shared" si="368"/>
        <v/>
      </c>
      <c r="I44" s="36" t="str">
        <f>IF(A44="","",IF(OR(F44=1,F44=2,F44=3,F44=4,F44=5),1,SUMIF('Suivi budgétaire'!$A:$A,'Import balance'!A44,'Suivi budgétaire'!$A:$A)+SUMIF('Suivi budgétaire'!$B:$B,'Import balance'!A44,'Suivi budgétaire'!$B:$B)+SUMIF('Suivi budgétaire'!$C:$C,'Import balance'!A44,'Suivi budgétaire'!$C:$C)+SUMIF('Suivi budgétaire'!$D:$D,'Import balance'!A44,'Suivi budgétaire'!$D:$D)+SUMIF('Suivi budgétaire'!$E:$E,'Import balance'!A44,'Suivi budgétaire'!$E:$E)))</f>
        <v/>
      </c>
    </row>
    <row r="45">
      <c r="A45" s="86"/>
      <c r="B45" s="86"/>
      <c r="C45" s="86"/>
      <c r="D45" s="86"/>
      <c r="E45" s="552">
        <f t="shared" si="364"/>
        <v>0</v>
      </c>
      <c r="F45" s="557" t="str">
        <f t="shared" si="367"/>
        <v/>
      </c>
      <c r="G45" s="553" t="str">
        <f t="shared" si="368"/>
        <v/>
      </c>
      <c r="I45" s="36" t="str">
        <f>IF(A45="","",IF(OR(F45=1,F45=2,F45=3,F45=4,F45=5),1,SUMIF('Suivi budgétaire'!$A:$A,'Import balance'!A45,'Suivi budgétaire'!$A:$A)+SUMIF('Suivi budgétaire'!$B:$B,'Import balance'!A45,'Suivi budgétaire'!$B:$B)+SUMIF('Suivi budgétaire'!$C:$C,'Import balance'!A45,'Suivi budgétaire'!$C:$C)+SUMIF('Suivi budgétaire'!$D:$D,'Import balance'!A45,'Suivi budgétaire'!$D:$D)+SUMIF('Suivi budgétaire'!$E:$E,'Import balance'!A45,'Suivi budgétaire'!$E:$E)))</f>
        <v/>
      </c>
    </row>
    <row r="46">
      <c r="A46" s="86"/>
      <c r="B46" s="86"/>
      <c r="C46" s="86"/>
      <c r="D46" s="86"/>
      <c r="E46" s="552">
        <f t="shared" si="364"/>
        <v>0</v>
      </c>
      <c r="F46" s="557" t="str">
        <f t="shared" si="367"/>
        <v/>
      </c>
      <c r="G46" s="553" t="str">
        <f t="shared" si="368"/>
        <v/>
      </c>
      <c r="I46" s="36" t="str">
        <f>IF(A46="","",IF(OR(F46=1,F46=2,F46=3,F46=4,F46=5),1,SUMIF('Suivi budgétaire'!$A:$A,'Import balance'!A46,'Suivi budgétaire'!$A:$A)+SUMIF('Suivi budgétaire'!$B:$B,'Import balance'!A46,'Suivi budgétaire'!$B:$B)+SUMIF('Suivi budgétaire'!$C:$C,'Import balance'!A46,'Suivi budgétaire'!$C:$C)+SUMIF('Suivi budgétaire'!$D:$D,'Import balance'!A46,'Suivi budgétaire'!$D:$D)+SUMIF('Suivi budgétaire'!$E:$E,'Import balance'!A46,'Suivi budgétaire'!$E:$E)))</f>
        <v/>
      </c>
    </row>
    <row r="47">
      <c r="A47" s="86"/>
      <c r="B47" s="86"/>
      <c r="C47" s="86"/>
      <c r="D47" s="86"/>
      <c r="E47" s="552">
        <f t="shared" si="364"/>
        <v>0</v>
      </c>
      <c r="F47" s="557" t="str">
        <f t="shared" si="367"/>
        <v/>
      </c>
      <c r="G47" s="553" t="str">
        <f t="shared" si="368"/>
        <v/>
      </c>
      <c r="I47" s="36" t="str">
        <f>IF(A47="","",IF(OR(F47=1,F47=2,F47=3,F47=4,F47=5),1,SUMIF('Suivi budgétaire'!$A:$A,'Import balance'!A47,'Suivi budgétaire'!$A:$A)+SUMIF('Suivi budgétaire'!$B:$B,'Import balance'!A47,'Suivi budgétaire'!$B:$B)+SUMIF('Suivi budgétaire'!$C:$C,'Import balance'!A47,'Suivi budgétaire'!$C:$C)+SUMIF('Suivi budgétaire'!$D:$D,'Import balance'!A47,'Suivi budgétaire'!$D:$D)+SUMIF('Suivi budgétaire'!$E:$E,'Import balance'!A47,'Suivi budgétaire'!$E:$E)))</f>
        <v/>
      </c>
    </row>
    <row r="48">
      <c r="A48" s="86"/>
      <c r="B48" s="86"/>
      <c r="C48" s="86"/>
      <c r="D48" s="86"/>
      <c r="E48" s="552">
        <f t="shared" si="364"/>
        <v>0</v>
      </c>
      <c r="F48" s="557" t="str">
        <f t="shared" si="367"/>
        <v/>
      </c>
      <c r="G48" s="553" t="str">
        <f t="shared" si="368"/>
        <v/>
      </c>
      <c r="I48" s="36" t="str">
        <f>IF(A48="","",IF(OR(F48=1,F48=2,F48=3,F48=4,F48=5),1,SUMIF('Suivi budgétaire'!$A:$A,'Import balance'!A48,'Suivi budgétaire'!$A:$A)+SUMIF('Suivi budgétaire'!$B:$B,'Import balance'!A48,'Suivi budgétaire'!$B:$B)+SUMIF('Suivi budgétaire'!$C:$C,'Import balance'!A48,'Suivi budgétaire'!$C:$C)+SUMIF('Suivi budgétaire'!$D:$D,'Import balance'!A48,'Suivi budgétaire'!$D:$D)+SUMIF('Suivi budgétaire'!$E:$E,'Import balance'!A48,'Suivi budgétaire'!$E:$E)))</f>
        <v/>
      </c>
    </row>
    <row r="49">
      <c r="A49" s="86"/>
      <c r="B49" s="86"/>
      <c r="C49" s="86"/>
      <c r="D49" s="86"/>
      <c r="E49" s="552">
        <f t="shared" si="364"/>
        <v>0</v>
      </c>
      <c r="F49" s="557" t="str">
        <f t="shared" si="367"/>
        <v/>
      </c>
      <c r="G49" s="553" t="str">
        <f t="shared" si="368"/>
        <v/>
      </c>
      <c r="I49" s="36" t="str">
        <f>IF(A49="","",IF(OR(F49=1,F49=2,F49=3,F49=4,F49=5),1,SUMIF('Suivi budgétaire'!$A:$A,'Import balance'!A49,'Suivi budgétaire'!$A:$A)+SUMIF('Suivi budgétaire'!$B:$B,'Import balance'!A49,'Suivi budgétaire'!$B:$B)+SUMIF('Suivi budgétaire'!$C:$C,'Import balance'!A49,'Suivi budgétaire'!$C:$C)+SUMIF('Suivi budgétaire'!$D:$D,'Import balance'!A49,'Suivi budgétaire'!$D:$D)+SUMIF('Suivi budgétaire'!$E:$E,'Import balance'!A49,'Suivi budgétaire'!$E:$E)))</f>
        <v/>
      </c>
    </row>
    <row r="50">
      <c r="A50" s="86"/>
      <c r="B50" s="86"/>
      <c r="C50" s="86"/>
      <c r="D50" s="86"/>
      <c r="E50" s="552">
        <f t="shared" si="364"/>
        <v>0</v>
      </c>
      <c r="F50" s="557" t="str">
        <f t="shared" si="367"/>
        <v/>
      </c>
      <c r="G50" s="553" t="str">
        <f t="shared" si="368"/>
        <v/>
      </c>
      <c r="I50" s="36" t="str">
        <f>IF(A50="","",IF(OR(F50=1,F50=2,F50=3,F50=4,F50=5),1,SUMIF('Suivi budgétaire'!$A:$A,'Import balance'!A50,'Suivi budgétaire'!$A:$A)+SUMIF('Suivi budgétaire'!$B:$B,'Import balance'!A50,'Suivi budgétaire'!$B:$B)+SUMIF('Suivi budgétaire'!$C:$C,'Import balance'!A50,'Suivi budgétaire'!$C:$C)+SUMIF('Suivi budgétaire'!$D:$D,'Import balance'!A50,'Suivi budgétaire'!$D:$D)+SUMIF('Suivi budgétaire'!$E:$E,'Import balance'!A50,'Suivi budgétaire'!$E:$E)))</f>
        <v/>
      </c>
    </row>
    <row r="51">
      <c r="A51" s="86"/>
      <c r="B51" s="86"/>
      <c r="C51" s="86"/>
      <c r="D51" s="86"/>
      <c r="E51" s="552">
        <f t="shared" si="364"/>
        <v>0</v>
      </c>
      <c r="F51" s="557" t="str">
        <f t="shared" si="367"/>
        <v/>
      </c>
      <c r="G51" s="553" t="str">
        <f t="shared" si="368"/>
        <v/>
      </c>
      <c r="I51" s="36" t="str">
        <f>IF(A51="","",IF(OR(F51=1,F51=2,F51=3,F51=4,F51=5),1,SUMIF('Suivi budgétaire'!$A:$A,'Import balance'!A51,'Suivi budgétaire'!$A:$A)+SUMIF('Suivi budgétaire'!$B:$B,'Import balance'!A51,'Suivi budgétaire'!$B:$B)+SUMIF('Suivi budgétaire'!$C:$C,'Import balance'!A51,'Suivi budgétaire'!$C:$C)+SUMIF('Suivi budgétaire'!$D:$D,'Import balance'!A51,'Suivi budgétaire'!$D:$D)+SUMIF('Suivi budgétaire'!$E:$E,'Import balance'!A51,'Suivi budgétaire'!$E:$E)))</f>
        <v/>
      </c>
    </row>
    <row r="52">
      <c r="A52" s="86"/>
      <c r="B52" s="86"/>
      <c r="C52" s="86"/>
      <c r="D52" s="86"/>
      <c r="E52" s="552">
        <f t="shared" si="364"/>
        <v>0</v>
      </c>
      <c r="F52" s="557" t="str">
        <f t="shared" si="367"/>
        <v/>
      </c>
      <c r="G52" s="553" t="str">
        <f t="shared" si="368"/>
        <v/>
      </c>
      <c r="I52" s="36" t="str">
        <f>IF(A52="","",IF(OR(F52=1,F52=2,F52=3,F52=4,F52=5),1,SUMIF('Suivi budgétaire'!$A:$A,'Import balance'!A52,'Suivi budgétaire'!$A:$A)+SUMIF('Suivi budgétaire'!$B:$B,'Import balance'!A52,'Suivi budgétaire'!$B:$B)+SUMIF('Suivi budgétaire'!$C:$C,'Import balance'!A52,'Suivi budgétaire'!$C:$C)+SUMIF('Suivi budgétaire'!$D:$D,'Import balance'!A52,'Suivi budgétaire'!$D:$D)+SUMIF('Suivi budgétaire'!$E:$E,'Import balance'!A52,'Suivi budgétaire'!$E:$E)))</f>
        <v/>
      </c>
    </row>
    <row r="53">
      <c r="A53" s="86"/>
      <c r="B53" s="86"/>
      <c r="C53" s="86"/>
      <c r="D53" s="86"/>
      <c r="E53" s="552">
        <f t="shared" si="364"/>
        <v>0</v>
      </c>
      <c r="F53" s="557" t="str">
        <f t="shared" si="367"/>
        <v/>
      </c>
      <c r="G53" s="553" t="str">
        <f t="shared" si="368"/>
        <v/>
      </c>
      <c r="I53" s="36" t="str">
        <f>IF(A53="","",IF(OR(F53=1,F53=2,F53=3,F53=4,F53=5),1,SUMIF('Suivi budgétaire'!$A:$A,'Import balance'!A53,'Suivi budgétaire'!$A:$A)+SUMIF('Suivi budgétaire'!$B:$B,'Import balance'!A53,'Suivi budgétaire'!$B:$B)+SUMIF('Suivi budgétaire'!$C:$C,'Import balance'!A53,'Suivi budgétaire'!$C:$C)+SUMIF('Suivi budgétaire'!$D:$D,'Import balance'!A53,'Suivi budgétaire'!$D:$D)+SUMIF('Suivi budgétaire'!$E:$E,'Import balance'!A53,'Suivi budgétaire'!$E:$E)))</f>
        <v/>
      </c>
    </row>
    <row r="54">
      <c r="A54" s="86"/>
      <c r="B54" s="86"/>
      <c r="C54" s="86"/>
      <c r="D54" s="86"/>
      <c r="E54" s="552">
        <f t="shared" si="364"/>
        <v>0</v>
      </c>
      <c r="F54" s="557" t="str">
        <f t="shared" si="367"/>
        <v/>
      </c>
      <c r="G54" s="553" t="str">
        <f t="shared" si="368"/>
        <v/>
      </c>
      <c r="I54" s="36" t="str">
        <f>IF(A54="","",IF(OR(F54=1,F54=2,F54=3,F54=4,F54=5),1,SUMIF('Suivi budgétaire'!$A:$A,'Import balance'!A54,'Suivi budgétaire'!$A:$A)+SUMIF('Suivi budgétaire'!$B:$B,'Import balance'!A54,'Suivi budgétaire'!$B:$B)+SUMIF('Suivi budgétaire'!$C:$C,'Import balance'!A54,'Suivi budgétaire'!$C:$C)+SUMIF('Suivi budgétaire'!$D:$D,'Import balance'!A54,'Suivi budgétaire'!$D:$D)+SUMIF('Suivi budgétaire'!$E:$E,'Import balance'!A54,'Suivi budgétaire'!$E:$E)))</f>
        <v/>
      </c>
    </row>
    <row r="55">
      <c r="A55" s="86"/>
      <c r="B55" s="86"/>
      <c r="C55" s="86"/>
      <c r="D55" s="86"/>
      <c r="E55" s="552">
        <f t="shared" si="364"/>
        <v>0</v>
      </c>
      <c r="F55" s="557" t="str">
        <f t="shared" si="367"/>
        <v/>
      </c>
      <c r="G55" s="553" t="str">
        <f t="shared" si="368"/>
        <v/>
      </c>
      <c r="I55" s="36" t="str">
        <f>IF(A55="","",IF(OR(F55=1,F55=2,F55=3,F55=4,F55=5),1,SUMIF('Suivi budgétaire'!$A:$A,'Import balance'!A55,'Suivi budgétaire'!$A:$A)+SUMIF('Suivi budgétaire'!$B:$B,'Import balance'!A55,'Suivi budgétaire'!$B:$B)+SUMIF('Suivi budgétaire'!$C:$C,'Import balance'!A55,'Suivi budgétaire'!$C:$C)+SUMIF('Suivi budgétaire'!$D:$D,'Import balance'!A55,'Suivi budgétaire'!$D:$D)+SUMIF('Suivi budgétaire'!$E:$E,'Import balance'!A55,'Suivi budgétaire'!$E:$E)))</f>
        <v/>
      </c>
    </row>
    <row r="56">
      <c r="A56" s="86"/>
      <c r="B56" s="86"/>
      <c r="C56" s="86"/>
      <c r="D56" s="86"/>
      <c r="E56" s="552">
        <f t="shared" si="364"/>
        <v>0</v>
      </c>
      <c r="F56" s="557" t="str">
        <f t="shared" si="367"/>
        <v/>
      </c>
      <c r="G56" s="553" t="str">
        <f t="shared" si="368"/>
        <v/>
      </c>
      <c r="I56" s="36" t="str">
        <f>IF(A56="","",IF(OR(F56=1,F56=2,F56=3,F56=4,F56=5),1,SUMIF('Suivi budgétaire'!$A:$A,'Import balance'!A56,'Suivi budgétaire'!$A:$A)+SUMIF('Suivi budgétaire'!$B:$B,'Import balance'!A56,'Suivi budgétaire'!$B:$B)+SUMIF('Suivi budgétaire'!$C:$C,'Import balance'!A56,'Suivi budgétaire'!$C:$C)+SUMIF('Suivi budgétaire'!$D:$D,'Import balance'!A56,'Suivi budgétaire'!$D:$D)+SUMIF('Suivi budgétaire'!$E:$E,'Import balance'!A56,'Suivi budgétaire'!$E:$E)))</f>
        <v/>
      </c>
    </row>
    <row r="57">
      <c r="A57" s="86"/>
      <c r="B57" s="86"/>
      <c r="C57" s="86"/>
      <c r="D57" s="86"/>
      <c r="E57" s="552">
        <f t="shared" si="364"/>
        <v>0</v>
      </c>
      <c r="F57" s="557" t="str">
        <f t="shared" si="367"/>
        <v/>
      </c>
      <c r="G57" s="553" t="str">
        <f t="shared" si="368"/>
        <v/>
      </c>
      <c r="I57" s="36" t="str">
        <f>IF(A57="","",IF(OR(F57=1,F57=2,F57=3,F57=4,F57=5),1,SUMIF('Suivi budgétaire'!$A:$A,'Import balance'!A57,'Suivi budgétaire'!$A:$A)+SUMIF('Suivi budgétaire'!$B:$B,'Import balance'!A57,'Suivi budgétaire'!$B:$B)+SUMIF('Suivi budgétaire'!$C:$C,'Import balance'!A57,'Suivi budgétaire'!$C:$C)+SUMIF('Suivi budgétaire'!$D:$D,'Import balance'!A57,'Suivi budgétaire'!$D:$D)+SUMIF('Suivi budgétaire'!$E:$E,'Import balance'!A57,'Suivi budgétaire'!$E:$E)))</f>
        <v/>
      </c>
    </row>
    <row r="58">
      <c r="A58" s="86"/>
      <c r="B58" s="86"/>
      <c r="C58" s="86"/>
      <c r="D58" s="86"/>
      <c r="E58" s="552">
        <f t="shared" si="364"/>
        <v>0</v>
      </c>
      <c r="F58" s="557" t="str">
        <f t="shared" si="367"/>
        <v/>
      </c>
      <c r="G58" s="553" t="str">
        <f t="shared" si="368"/>
        <v/>
      </c>
      <c r="I58" s="36" t="str">
        <f>IF(A58="","",IF(OR(F58=1,F58=2,F58=3,F58=4,F58=5),1,SUMIF('Suivi budgétaire'!$A:$A,'Import balance'!A58,'Suivi budgétaire'!$A:$A)+SUMIF('Suivi budgétaire'!$B:$B,'Import balance'!A58,'Suivi budgétaire'!$B:$B)+SUMIF('Suivi budgétaire'!$C:$C,'Import balance'!A58,'Suivi budgétaire'!$C:$C)+SUMIF('Suivi budgétaire'!$D:$D,'Import balance'!A58,'Suivi budgétaire'!$D:$D)+SUMIF('Suivi budgétaire'!$E:$E,'Import balance'!A58,'Suivi budgétaire'!$E:$E)))</f>
        <v/>
      </c>
    </row>
    <row r="59">
      <c r="A59" s="86"/>
      <c r="B59" s="86"/>
      <c r="C59" s="86"/>
      <c r="D59" s="86"/>
      <c r="E59" s="552">
        <f t="shared" si="364"/>
        <v>0</v>
      </c>
      <c r="F59" s="557" t="str">
        <f t="shared" si="367"/>
        <v/>
      </c>
      <c r="G59" s="553" t="str">
        <f t="shared" si="368"/>
        <v/>
      </c>
      <c r="I59" s="36" t="str">
        <f>IF(A59="","",IF(OR(F59=1,F59=2,F59=3,F59=4,F59=5),1,SUMIF('Suivi budgétaire'!$A:$A,'Import balance'!A59,'Suivi budgétaire'!$A:$A)+SUMIF('Suivi budgétaire'!$B:$B,'Import balance'!A59,'Suivi budgétaire'!$B:$B)+SUMIF('Suivi budgétaire'!$C:$C,'Import balance'!A59,'Suivi budgétaire'!$C:$C)+SUMIF('Suivi budgétaire'!$D:$D,'Import balance'!A59,'Suivi budgétaire'!$D:$D)+SUMIF('Suivi budgétaire'!$E:$E,'Import balance'!A59,'Suivi budgétaire'!$E:$E)))</f>
        <v/>
      </c>
    </row>
    <row r="60">
      <c r="A60" s="86"/>
      <c r="B60" s="86"/>
      <c r="C60" s="86"/>
      <c r="D60" s="86"/>
      <c r="E60" s="552">
        <f t="shared" si="364"/>
        <v>0</v>
      </c>
      <c r="F60" s="557" t="str">
        <f t="shared" si="367"/>
        <v/>
      </c>
      <c r="G60" s="553" t="str">
        <f t="shared" si="368"/>
        <v/>
      </c>
      <c r="I60" s="36" t="str">
        <f>IF(A60="","",IF(OR(F60=1,F60=2,F60=3,F60=4,F60=5),1,SUMIF('Suivi budgétaire'!$A:$A,'Import balance'!A60,'Suivi budgétaire'!$A:$A)+SUMIF('Suivi budgétaire'!$B:$B,'Import balance'!A60,'Suivi budgétaire'!$B:$B)+SUMIF('Suivi budgétaire'!$C:$C,'Import balance'!A60,'Suivi budgétaire'!$C:$C)+SUMIF('Suivi budgétaire'!$D:$D,'Import balance'!A60,'Suivi budgétaire'!$D:$D)+SUMIF('Suivi budgétaire'!$E:$E,'Import balance'!A60,'Suivi budgétaire'!$E:$E)))</f>
        <v/>
      </c>
    </row>
    <row r="61">
      <c r="A61" s="86"/>
      <c r="B61" s="86"/>
      <c r="C61" s="86"/>
      <c r="D61" s="86"/>
      <c r="E61" s="552">
        <f t="shared" si="364"/>
        <v>0</v>
      </c>
      <c r="F61" s="557" t="str">
        <f t="shared" si="367"/>
        <v/>
      </c>
      <c r="G61" s="553" t="str">
        <f t="shared" si="368"/>
        <v/>
      </c>
      <c r="I61" s="36" t="str">
        <f>IF(A61="","",IF(OR(F61=1,F61=2,F61=3,F61=4,F61=5),1,SUMIF('Suivi budgétaire'!$A:$A,'Import balance'!A61,'Suivi budgétaire'!$A:$A)+SUMIF('Suivi budgétaire'!$B:$B,'Import balance'!A61,'Suivi budgétaire'!$B:$B)+SUMIF('Suivi budgétaire'!$C:$C,'Import balance'!A61,'Suivi budgétaire'!$C:$C)+SUMIF('Suivi budgétaire'!$D:$D,'Import balance'!A61,'Suivi budgétaire'!$D:$D)+SUMIF('Suivi budgétaire'!$E:$E,'Import balance'!A61,'Suivi budgétaire'!$E:$E)))</f>
        <v/>
      </c>
    </row>
    <row r="62">
      <c r="A62" s="86"/>
      <c r="B62" s="86"/>
      <c r="C62" s="86"/>
      <c r="D62" s="86"/>
      <c r="E62" s="552">
        <f t="shared" si="364"/>
        <v>0</v>
      </c>
      <c r="F62" s="557" t="str">
        <f t="shared" si="367"/>
        <v/>
      </c>
      <c r="G62" s="553" t="str">
        <f t="shared" si="368"/>
        <v/>
      </c>
      <c r="I62" s="36" t="str">
        <f>IF(A62="","",IF(OR(F62=1,F62=2,F62=3,F62=4,F62=5),1,SUMIF('Suivi budgétaire'!$A:$A,'Import balance'!A62,'Suivi budgétaire'!$A:$A)+SUMIF('Suivi budgétaire'!$B:$B,'Import balance'!A62,'Suivi budgétaire'!$B:$B)+SUMIF('Suivi budgétaire'!$C:$C,'Import balance'!A62,'Suivi budgétaire'!$C:$C)+SUMIF('Suivi budgétaire'!$D:$D,'Import balance'!A62,'Suivi budgétaire'!$D:$D)+SUMIF('Suivi budgétaire'!$E:$E,'Import balance'!A62,'Suivi budgétaire'!$E:$E)))</f>
        <v/>
      </c>
    </row>
    <row r="63">
      <c r="A63" s="86"/>
      <c r="B63" s="86"/>
      <c r="C63" s="86"/>
      <c r="D63" s="86"/>
      <c r="E63" s="552">
        <f t="shared" si="364"/>
        <v>0</v>
      </c>
      <c r="F63" s="557" t="str">
        <f t="shared" si="367"/>
        <v/>
      </c>
      <c r="G63" s="553" t="str">
        <f t="shared" si="368"/>
        <v/>
      </c>
      <c r="I63" s="36" t="str">
        <f>IF(A63="","",IF(OR(F63=1,F63=2,F63=3,F63=4,F63=5),1,SUMIF('Suivi budgétaire'!$A:$A,'Import balance'!A63,'Suivi budgétaire'!$A:$A)+SUMIF('Suivi budgétaire'!$B:$B,'Import balance'!A63,'Suivi budgétaire'!$B:$B)+SUMIF('Suivi budgétaire'!$C:$C,'Import balance'!A63,'Suivi budgétaire'!$C:$C)+SUMIF('Suivi budgétaire'!$D:$D,'Import balance'!A63,'Suivi budgétaire'!$D:$D)+SUMIF('Suivi budgétaire'!$E:$E,'Import balance'!A63,'Suivi budgétaire'!$E:$E)))</f>
        <v/>
      </c>
    </row>
    <row r="64">
      <c r="A64" s="86"/>
      <c r="B64" s="86"/>
      <c r="C64" s="86"/>
      <c r="D64" s="86"/>
      <c r="E64" s="552">
        <f t="shared" si="364"/>
        <v>0</v>
      </c>
      <c r="F64" s="557" t="str">
        <f t="shared" si="367"/>
        <v/>
      </c>
      <c r="G64" s="553" t="str">
        <f t="shared" si="368"/>
        <v/>
      </c>
      <c r="I64" s="36" t="str">
        <f>IF(A64="","",IF(OR(F64=1,F64=2,F64=3,F64=4,F64=5),1,SUMIF('Suivi budgétaire'!$A:$A,'Import balance'!A64,'Suivi budgétaire'!$A:$A)+SUMIF('Suivi budgétaire'!$B:$B,'Import balance'!A64,'Suivi budgétaire'!$B:$B)+SUMIF('Suivi budgétaire'!$C:$C,'Import balance'!A64,'Suivi budgétaire'!$C:$C)+SUMIF('Suivi budgétaire'!$D:$D,'Import balance'!A64,'Suivi budgétaire'!$D:$D)+SUMIF('Suivi budgétaire'!$E:$E,'Import balance'!A64,'Suivi budgétaire'!$E:$E)))</f>
        <v/>
      </c>
    </row>
    <row r="65">
      <c r="A65" s="86"/>
      <c r="B65" s="86"/>
      <c r="C65" s="86"/>
      <c r="D65" s="86"/>
      <c r="E65" s="552">
        <f t="shared" si="364"/>
        <v>0</v>
      </c>
      <c r="F65" s="557" t="str">
        <f t="shared" si="367"/>
        <v/>
      </c>
      <c r="G65" s="553" t="str">
        <f t="shared" si="368"/>
        <v/>
      </c>
      <c r="I65" s="36" t="str">
        <f>IF(A65="","",IF(OR(F65=1,F65=2,F65=3,F65=4,F65=5),1,SUMIF('Suivi budgétaire'!$A:$A,'Import balance'!A65,'Suivi budgétaire'!$A:$A)+SUMIF('Suivi budgétaire'!$B:$B,'Import balance'!A65,'Suivi budgétaire'!$B:$B)+SUMIF('Suivi budgétaire'!$C:$C,'Import balance'!A65,'Suivi budgétaire'!$C:$C)+SUMIF('Suivi budgétaire'!$D:$D,'Import balance'!A65,'Suivi budgétaire'!$D:$D)+SUMIF('Suivi budgétaire'!$E:$E,'Import balance'!A65,'Suivi budgétaire'!$E:$E)))</f>
        <v/>
      </c>
    </row>
    <row r="66">
      <c r="A66" s="86"/>
      <c r="B66" s="86"/>
      <c r="C66" s="86"/>
      <c r="D66" s="86"/>
      <c r="E66" s="552">
        <f t="shared" si="364"/>
        <v>0</v>
      </c>
      <c r="F66" s="557" t="str">
        <f t="shared" si="367"/>
        <v/>
      </c>
      <c r="G66" s="553" t="str">
        <f t="shared" si="368"/>
        <v/>
      </c>
      <c r="I66" s="36" t="str">
        <f>IF(A66="","",IF(OR(F66=1,F66=2,F66=3,F66=4,F66=5),1,SUMIF('Suivi budgétaire'!$A:$A,'Import balance'!A66,'Suivi budgétaire'!$A:$A)+SUMIF('Suivi budgétaire'!$B:$B,'Import balance'!A66,'Suivi budgétaire'!$B:$B)+SUMIF('Suivi budgétaire'!$C:$C,'Import balance'!A66,'Suivi budgétaire'!$C:$C)+SUMIF('Suivi budgétaire'!$D:$D,'Import balance'!A66,'Suivi budgétaire'!$D:$D)+SUMIF('Suivi budgétaire'!$E:$E,'Import balance'!A66,'Suivi budgétaire'!$E:$E)))</f>
        <v/>
      </c>
    </row>
    <row r="67">
      <c r="A67" s="86"/>
      <c r="B67" s="86"/>
      <c r="C67" s="86"/>
      <c r="D67" s="86"/>
      <c r="E67" s="552">
        <f t="shared" si="364"/>
        <v>0</v>
      </c>
      <c r="F67" s="557" t="str">
        <f t="shared" si="367"/>
        <v/>
      </c>
      <c r="G67" s="553" t="str">
        <f t="shared" si="368"/>
        <v/>
      </c>
      <c r="I67" s="36" t="str">
        <f>IF(A67="","",IF(OR(F67=1,F67=2,F67=3,F67=4,F67=5),1,SUMIF('Suivi budgétaire'!$A:$A,'Import balance'!A67,'Suivi budgétaire'!$A:$A)+SUMIF('Suivi budgétaire'!$B:$B,'Import balance'!A67,'Suivi budgétaire'!$B:$B)+SUMIF('Suivi budgétaire'!$C:$C,'Import balance'!A67,'Suivi budgétaire'!$C:$C)+SUMIF('Suivi budgétaire'!$D:$D,'Import balance'!A67,'Suivi budgétaire'!$D:$D)+SUMIF('Suivi budgétaire'!$E:$E,'Import balance'!A67,'Suivi budgétaire'!$E:$E)))</f>
        <v/>
      </c>
    </row>
    <row r="68">
      <c r="A68" s="86"/>
      <c r="B68" s="86"/>
      <c r="C68" s="86"/>
      <c r="D68" s="86"/>
      <c r="E68" s="552">
        <f t="shared" ref="E68" si="369">C68-D68</f>
        <v>0</v>
      </c>
      <c r="F68" s="557" t="str">
        <f t="shared" si="367"/>
        <v/>
      </c>
      <c r="G68" s="553" t="str">
        <f t="shared" si="368"/>
        <v/>
      </c>
      <c r="I68" s="36" t="str">
        <f>IF(A68="","",IF(OR(F68=1,F68=2,F68=3,F68=4,F68=5),1,SUMIF('Suivi budgétaire'!$A:$A,'Import balance'!A68,'Suivi budgétaire'!$A:$A)+SUMIF('Suivi budgétaire'!$B:$B,'Import balance'!A68,'Suivi budgétaire'!$B:$B)+SUMIF('Suivi budgétaire'!$C:$C,'Import balance'!A68,'Suivi budgétaire'!$C:$C)+SUMIF('Suivi budgétaire'!$D:$D,'Import balance'!A68,'Suivi budgétaire'!$D:$D)+SUMIF('Suivi budgétaire'!$E:$E,'Import balance'!A68,'Suivi budgétaire'!$E:$E)))</f>
        <v/>
      </c>
    </row>
    <row r="69">
      <c r="A69" s="86"/>
      <c r="B69" s="86"/>
      <c r="C69" s="86"/>
      <c r="D69" s="86"/>
      <c r="E69" s="552">
        <f t="shared" ref="E69:E132" si="370">C69-D69</f>
        <v>0</v>
      </c>
      <c r="F69" s="557" t="str">
        <f t="shared" si="367"/>
        <v/>
      </c>
      <c r="G69" s="553" t="str">
        <f t="shared" si="368"/>
        <v/>
      </c>
      <c r="I69" s="36" t="str">
        <f>IF(A69="","",IF(OR(F69=1,F69=2,F69=3,F69=4,F69=5),1,SUMIF('Suivi budgétaire'!$A:$A,'Import balance'!A69,'Suivi budgétaire'!$A:$A)+SUMIF('Suivi budgétaire'!$B:$B,'Import balance'!A69,'Suivi budgétaire'!$B:$B)+SUMIF('Suivi budgétaire'!$C:$C,'Import balance'!A69,'Suivi budgétaire'!$C:$C)+SUMIF('Suivi budgétaire'!$D:$D,'Import balance'!A69,'Suivi budgétaire'!$D:$D)+SUMIF('Suivi budgétaire'!$E:$E,'Import balance'!A69,'Suivi budgétaire'!$E:$E)))</f>
        <v/>
      </c>
    </row>
    <row r="70">
      <c r="A70" s="86"/>
      <c r="B70" s="86"/>
      <c r="C70" s="86"/>
      <c r="D70" s="86"/>
      <c r="E70" s="552">
        <f t="shared" si="370"/>
        <v>0</v>
      </c>
      <c r="F70" s="557" t="str">
        <f t="shared" si="367"/>
        <v/>
      </c>
      <c r="G70" s="553" t="str">
        <f t="shared" si="368"/>
        <v/>
      </c>
      <c r="I70" s="36" t="str">
        <f>IF(A70="","",IF(OR(F70=1,F70=2,F70=3,F70=4,F70=5),1,SUMIF('Suivi budgétaire'!$A:$A,'Import balance'!A70,'Suivi budgétaire'!$A:$A)+SUMIF('Suivi budgétaire'!$B:$B,'Import balance'!A70,'Suivi budgétaire'!$B:$B)+SUMIF('Suivi budgétaire'!$C:$C,'Import balance'!A70,'Suivi budgétaire'!$C:$C)+SUMIF('Suivi budgétaire'!$D:$D,'Import balance'!A70,'Suivi budgétaire'!$D:$D)+SUMIF('Suivi budgétaire'!$E:$E,'Import balance'!A70,'Suivi budgétaire'!$E:$E)))</f>
        <v/>
      </c>
    </row>
    <row r="71">
      <c r="A71" s="86"/>
      <c r="B71" s="86"/>
      <c r="C71" s="86"/>
      <c r="D71" s="86"/>
      <c r="E71" s="552">
        <f t="shared" si="370"/>
        <v>0</v>
      </c>
      <c r="F71" s="557" t="str">
        <f t="shared" si="367"/>
        <v/>
      </c>
      <c r="G71" s="553" t="str">
        <f t="shared" si="368"/>
        <v/>
      </c>
      <c r="I71" s="36" t="str">
        <f>IF(A71="","",IF(OR(F71=1,F71=2,F71=3,F71=4,F71=5),1,SUMIF('Suivi budgétaire'!$A:$A,'Import balance'!A71,'Suivi budgétaire'!$A:$A)+SUMIF('Suivi budgétaire'!$B:$B,'Import balance'!A71,'Suivi budgétaire'!$B:$B)+SUMIF('Suivi budgétaire'!$C:$C,'Import balance'!A71,'Suivi budgétaire'!$C:$C)+SUMIF('Suivi budgétaire'!$D:$D,'Import balance'!A71,'Suivi budgétaire'!$D:$D)+SUMIF('Suivi budgétaire'!$E:$E,'Import balance'!A71,'Suivi budgétaire'!$E:$E)))</f>
        <v/>
      </c>
    </row>
    <row r="72">
      <c r="A72" s="86"/>
      <c r="B72" s="86"/>
      <c r="C72" s="86"/>
      <c r="D72" s="86"/>
      <c r="E72" s="552">
        <f t="shared" si="370"/>
        <v>0</v>
      </c>
      <c r="F72" s="557" t="str">
        <f t="shared" si="367"/>
        <v/>
      </c>
      <c r="G72" s="553" t="str">
        <f t="shared" si="368"/>
        <v/>
      </c>
      <c r="I72" s="36" t="str">
        <f>IF(A72="","",IF(OR(F72=1,F72=2,F72=3,F72=4,F72=5),1,SUMIF('Suivi budgétaire'!$A:$A,'Import balance'!A72,'Suivi budgétaire'!$A:$A)+SUMIF('Suivi budgétaire'!$B:$B,'Import balance'!A72,'Suivi budgétaire'!$B:$B)+SUMIF('Suivi budgétaire'!$C:$C,'Import balance'!A72,'Suivi budgétaire'!$C:$C)+SUMIF('Suivi budgétaire'!$D:$D,'Import balance'!A72,'Suivi budgétaire'!$D:$D)+SUMIF('Suivi budgétaire'!$E:$E,'Import balance'!A72,'Suivi budgétaire'!$E:$E)))</f>
        <v/>
      </c>
    </row>
    <row r="73">
      <c r="A73" s="86"/>
      <c r="B73" s="86"/>
      <c r="C73" s="86"/>
      <c r="D73" s="86"/>
      <c r="E73" s="552">
        <f t="shared" si="370"/>
        <v>0</v>
      </c>
      <c r="F73" s="557" t="str">
        <f t="shared" si="367"/>
        <v/>
      </c>
      <c r="G73" s="553" t="str">
        <f t="shared" si="368"/>
        <v/>
      </c>
      <c r="I73" s="36" t="str">
        <f>IF(A73="","",IF(OR(F73=1,F73=2,F73=3,F73=4,F73=5),1,SUMIF('Suivi budgétaire'!$A:$A,'Import balance'!A73,'Suivi budgétaire'!$A:$A)+SUMIF('Suivi budgétaire'!$B:$B,'Import balance'!A73,'Suivi budgétaire'!$B:$B)+SUMIF('Suivi budgétaire'!$C:$C,'Import balance'!A73,'Suivi budgétaire'!$C:$C)+SUMIF('Suivi budgétaire'!$D:$D,'Import balance'!A73,'Suivi budgétaire'!$D:$D)+SUMIF('Suivi budgétaire'!$E:$E,'Import balance'!A73,'Suivi budgétaire'!$E:$E)))</f>
        <v/>
      </c>
    </row>
    <row r="74">
      <c r="A74" s="86"/>
      <c r="B74" s="86"/>
      <c r="C74" s="86"/>
      <c r="D74" s="86"/>
      <c r="E74" s="552">
        <f t="shared" si="370"/>
        <v>0</v>
      </c>
      <c r="F74" s="557" t="str">
        <f t="shared" si="367"/>
        <v/>
      </c>
      <c r="G74" s="553" t="str">
        <f t="shared" si="368"/>
        <v/>
      </c>
      <c r="I74" s="36" t="str">
        <f>IF(A74="","",IF(OR(F74=1,F74=2,F74=3,F74=4,F74=5),1,SUMIF('Suivi budgétaire'!$A:$A,'Import balance'!A74,'Suivi budgétaire'!$A:$A)+SUMIF('Suivi budgétaire'!$B:$B,'Import balance'!A74,'Suivi budgétaire'!$B:$B)+SUMIF('Suivi budgétaire'!$C:$C,'Import balance'!A74,'Suivi budgétaire'!$C:$C)+SUMIF('Suivi budgétaire'!$D:$D,'Import balance'!A74,'Suivi budgétaire'!$D:$D)+SUMIF('Suivi budgétaire'!$E:$E,'Import balance'!A74,'Suivi budgétaire'!$E:$E)))</f>
        <v/>
      </c>
    </row>
    <row r="75">
      <c r="A75" s="86"/>
      <c r="B75" s="86"/>
      <c r="C75" s="86"/>
      <c r="D75" s="86"/>
      <c r="E75" s="552">
        <f t="shared" si="370"/>
        <v>0</v>
      </c>
      <c r="F75" s="557" t="str">
        <f t="shared" si="367"/>
        <v/>
      </c>
      <c r="G75" s="553" t="str">
        <f t="shared" si="368"/>
        <v/>
      </c>
      <c r="I75" s="36" t="str">
        <f>IF(A75="","",IF(OR(F75=1,F75=2,F75=3,F75=4,F75=5),1,SUMIF('Suivi budgétaire'!$A:$A,'Import balance'!A75,'Suivi budgétaire'!$A:$A)+SUMIF('Suivi budgétaire'!$B:$B,'Import balance'!A75,'Suivi budgétaire'!$B:$B)+SUMIF('Suivi budgétaire'!$C:$C,'Import balance'!A75,'Suivi budgétaire'!$C:$C)+SUMIF('Suivi budgétaire'!$D:$D,'Import balance'!A75,'Suivi budgétaire'!$D:$D)+SUMIF('Suivi budgétaire'!$E:$E,'Import balance'!A75,'Suivi budgétaire'!$E:$E)))</f>
        <v/>
      </c>
    </row>
    <row r="76">
      <c r="A76" s="86"/>
      <c r="B76" s="86"/>
      <c r="C76" s="86"/>
      <c r="D76" s="86"/>
      <c r="E76" s="552">
        <f t="shared" si="370"/>
        <v>0</v>
      </c>
      <c r="F76" s="557" t="str">
        <f t="shared" si="367"/>
        <v/>
      </c>
      <c r="G76" s="553" t="str">
        <f t="shared" si="368"/>
        <v/>
      </c>
      <c r="I76" s="36" t="str">
        <f>IF(A76="","",IF(OR(F76=1,F76=2,F76=3,F76=4,F76=5),1,SUMIF('Suivi budgétaire'!$A:$A,'Import balance'!A76,'Suivi budgétaire'!$A:$A)+SUMIF('Suivi budgétaire'!$B:$B,'Import balance'!A76,'Suivi budgétaire'!$B:$B)+SUMIF('Suivi budgétaire'!$C:$C,'Import balance'!A76,'Suivi budgétaire'!$C:$C)+SUMIF('Suivi budgétaire'!$D:$D,'Import balance'!A76,'Suivi budgétaire'!$D:$D)+SUMIF('Suivi budgétaire'!$E:$E,'Import balance'!A76,'Suivi budgétaire'!$E:$E)))</f>
        <v/>
      </c>
    </row>
    <row r="77">
      <c r="A77" s="86"/>
      <c r="B77" s="86"/>
      <c r="C77" s="86"/>
      <c r="D77" s="86"/>
      <c r="E77" s="552">
        <f t="shared" si="370"/>
        <v>0</v>
      </c>
      <c r="F77" s="557" t="str">
        <f t="shared" si="367"/>
        <v/>
      </c>
      <c r="G77" s="553" t="str">
        <f t="shared" si="368"/>
        <v/>
      </c>
      <c r="I77" s="36" t="str">
        <f>IF(A77="","",IF(OR(F77=1,F77=2,F77=3,F77=4,F77=5),1,SUMIF('Suivi budgétaire'!$A:$A,'Import balance'!A77,'Suivi budgétaire'!$A:$A)+SUMIF('Suivi budgétaire'!$B:$B,'Import balance'!A77,'Suivi budgétaire'!$B:$B)+SUMIF('Suivi budgétaire'!$C:$C,'Import balance'!A77,'Suivi budgétaire'!$C:$C)+SUMIF('Suivi budgétaire'!$D:$D,'Import balance'!A77,'Suivi budgétaire'!$D:$D)+SUMIF('Suivi budgétaire'!$E:$E,'Import balance'!A77,'Suivi budgétaire'!$E:$E)))</f>
        <v/>
      </c>
    </row>
    <row r="78">
      <c r="A78" s="86"/>
      <c r="B78" s="86"/>
      <c r="C78" s="86"/>
      <c r="D78" s="86"/>
      <c r="E78" s="552">
        <f t="shared" si="370"/>
        <v>0</v>
      </c>
      <c r="F78" s="557" t="str">
        <f t="shared" si="367"/>
        <v/>
      </c>
      <c r="G78" s="553" t="str">
        <f t="shared" si="368"/>
        <v/>
      </c>
      <c r="I78" s="36" t="str">
        <f>IF(A78="","",IF(OR(F78=1,F78=2,F78=3,F78=4,F78=5),1,SUMIF('Suivi budgétaire'!$A:$A,'Import balance'!A78,'Suivi budgétaire'!$A:$A)+SUMIF('Suivi budgétaire'!$B:$B,'Import balance'!A78,'Suivi budgétaire'!$B:$B)+SUMIF('Suivi budgétaire'!$C:$C,'Import balance'!A78,'Suivi budgétaire'!$C:$C)+SUMIF('Suivi budgétaire'!$D:$D,'Import balance'!A78,'Suivi budgétaire'!$D:$D)+SUMIF('Suivi budgétaire'!$E:$E,'Import balance'!A78,'Suivi budgétaire'!$E:$E)))</f>
        <v/>
      </c>
    </row>
    <row r="79">
      <c r="A79" s="86"/>
      <c r="B79" s="86"/>
      <c r="C79" s="86"/>
      <c r="D79" s="86"/>
      <c r="E79" s="552">
        <f t="shared" si="370"/>
        <v>0</v>
      </c>
      <c r="F79" s="557" t="str">
        <f t="shared" si="367"/>
        <v/>
      </c>
      <c r="G79" s="553" t="str">
        <f t="shared" si="368"/>
        <v/>
      </c>
      <c r="I79" s="36" t="str">
        <f>IF(A79="","",IF(OR(F79=1,F79=2,F79=3,F79=4,F79=5),1,SUMIF('Suivi budgétaire'!$A:$A,'Import balance'!A79,'Suivi budgétaire'!$A:$A)+SUMIF('Suivi budgétaire'!$B:$B,'Import balance'!A79,'Suivi budgétaire'!$B:$B)+SUMIF('Suivi budgétaire'!$C:$C,'Import balance'!A79,'Suivi budgétaire'!$C:$C)+SUMIF('Suivi budgétaire'!$D:$D,'Import balance'!A79,'Suivi budgétaire'!$D:$D)+SUMIF('Suivi budgétaire'!$E:$E,'Import balance'!A79,'Suivi budgétaire'!$E:$E)))</f>
        <v/>
      </c>
    </row>
    <row r="80">
      <c r="A80" s="86"/>
      <c r="B80" s="86"/>
      <c r="C80" s="86"/>
      <c r="D80" s="86"/>
      <c r="E80" s="552">
        <f t="shared" si="370"/>
        <v>0</v>
      </c>
      <c r="F80" s="557" t="str">
        <f t="shared" si="367"/>
        <v/>
      </c>
      <c r="G80" s="553" t="str">
        <f t="shared" si="368"/>
        <v/>
      </c>
      <c r="I80" s="36" t="str">
        <f>IF(A80="","",IF(OR(F80=1,F80=2,F80=3,F80=4,F80=5),1,SUMIF('Suivi budgétaire'!$A:$A,'Import balance'!A80,'Suivi budgétaire'!$A:$A)+SUMIF('Suivi budgétaire'!$B:$B,'Import balance'!A80,'Suivi budgétaire'!$B:$B)+SUMIF('Suivi budgétaire'!$C:$C,'Import balance'!A80,'Suivi budgétaire'!$C:$C)+SUMIF('Suivi budgétaire'!$D:$D,'Import balance'!A80,'Suivi budgétaire'!$D:$D)+SUMIF('Suivi budgétaire'!$E:$E,'Import balance'!A80,'Suivi budgétaire'!$E:$E)))</f>
        <v/>
      </c>
    </row>
    <row r="81">
      <c r="A81" s="86"/>
      <c r="B81" s="86"/>
      <c r="C81" s="86"/>
      <c r="D81" s="86"/>
      <c r="E81" s="552">
        <f t="shared" si="370"/>
        <v>0</v>
      </c>
      <c r="F81" s="557" t="str">
        <f t="shared" si="367"/>
        <v/>
      </c>
      <c r="G81" s="553" t="str">
        <f t="shared" si="368"/>
        <v/>
      </c>
      <c r="I81" s="36" t="str">
        <f>IF(A81="","",IF(OR(F81=1,F81=2,F81=3,F81=4,F81=5),1,SUMIF('Suivi budgétaire'!$A:$A,'Import balance'!A81,'Suivi budgétaire'!$A:$A)+SUMIF('Suivi budgétaire'!$B:$B,'Import balance'!A81,'Suivi budgétaire'!$B:$B)+SUMIF('Suivi budgétaire'!$C:$C,'Import balance'!A81,'Suivi budgétaire'!$C:$C)+SUMIF('Suivi budgétaire'!$D:$D,'Import balance'!A81,'Suivi budgétaire'!$D:$D)+SUMIF('Suivi budgétaire'!$E:$E,'Import balance'!A81,'Suivi budgétaire'!$E:$E)))</f>
        <v/>
      </c>
    </row>
    <row r="82">
      <c r="A82" s="86"/>
      <c r="B82" s="86"/>
      <c r="C82" s="86"/>
      <c r="D82" s="86"/>
      <c r="E82" s="552">
        <f t="shared" si="370"/>
        <v>0</v>
      </c>
      <c r="F82" s="557" t="str">
        <f t="shared" si="367"/>
        <v/>
      </c>
      <c r="G82" s="553" t="str">
        <f t="shared" si="368"/>
        <v/>
      </c>
      <c r="I82" s="36" t="str">
        <f>IF(A82="","",IF(OR(F82=1,F82=2,F82=3,F82=4,F82=5),1,SUMIF('Suivi budgétaire'!$A:$A,'Import balance'!A82,'Suivi budgétaire'!$A:$A)+SUMIF('Suivi budgétaire'!$B:$B,'Import balance'!A82,'Suivi budgétaire'!$B:$B)+SUMIF('Suivi budgétaire'!$C:$C,'Import balance'!A82,'Suivi budgétaire'!$C:$C)+SUMIF('Suivi budgétaire'!$D:$D,'Import balance'!A82,'Suivi budgétaire'!$D:$D)+SUMIF('Suivi budgétaire'!$E:$E,'Import balance'!A82,'Suivi budgétaire'!$E:$E)))</f>
        <v/>
      </c>
    </row>
    <row r="83">
      <c r="A83" s="86"/>
      <c r="B83" s="86"/>
      <c r="C83" s="86"/>
      <c r="D83" s="86"/>
      <c r="E83" s="552">
        <f t="shared" si="370"/>
        <v>0</v>
      </c>
      <c r="F83" s="557" t="str">
        <f t="shared" si="367"/>
        <v/>
      </c>
      <c r="G83" s="553" t="str">
        <f t="shared" si="368"/>
        <v/>
      </c>
      <c r="I83" s="36" t="str">
        <f>IF(A83="","",IF(OR(F83=1,F83=2,F83=3,F83=4,F83=5),1,SUMIF('Suivi budgétaire'!$A:$A,'Import balance'!A83,'Suivi budgétaire'!$A:$A)+SUMIF('Suivi budgétaire'!$B:$B,'Import balance'!A83,'Suivi budgétaire'!$B:$B)+SUMIF('Suivi budgétaire'!$C:$C,'Import balance'!A83,'Suivi budgétaire'!$C:$C)+SUMIF('Suivi budgétaire'!$D:$D,'Import balance'!A83,'Suivi budgétaire'!$D:$D)+SUMIF('Suivi budgétaire'!$E:$E,'Import balance'!A83,'Suivi budgétaire'!$E:$E)))</f>
        <v/>
      </c>
    </row>
    <row r="84">
      <c r="A84" s="86"/>
      <c r="B84" s="86"/>
      <c r="C84" s="86"/>
      <c r="D84" s="86"/>
      <c r="E84" s="552">
        <f t="shared" si="370"/>
        <v>0</v>
      </c>
      <c r="F84" s="557" t="str">
        <f t="shared" si="367"/>
        <v/>
      </c>
      <c r="G84" s="553" t="str">
        <f t="shared" si="368"/>
        <v/>
      </c>
      <c r="I84" s="36" t="str">
        <f>IF(A84="","",IF(OR(F84=1,F84=2,F84=3,F84=4,F84=5),1,SUMIF('Suivi budgétaire'!$A:$A,'Import balance'!A84,'Suivi budgétaire'!$A:$A)+SUMIF('Suivi budgétaire'!$B:$B,'Import balance'!A84,'Suivi budgétaire'!$B:$B)+SUMIF('Suivi budgétaire'!$C:$C,'Import balance'!A84,'Suivi budgétaire'!$C:$C)+SUMIF('Suivi budgétaire'!$D:$D,'Import balance'!A84,'Suivi budgétaire'!$D:$D)+SUMIF('Suivi budgétaire'!$E:$E,'Import balance'!A84,'Suivi budgétaire'!$E:$E)))</f>
        <v/>
      </c>
    </row>
    <row r="85">
      <c r="A85" s="86"/>
      <c r="B85" s="86"/>
      <c r="C85" s="86"/>
      <c r="D85" s="86"/>
      <c r="E85" s="552">
        <f t="shared" si="370"/>
        <v>0</v>
      </c>
      <c r="F85" s="557" t="str">
        <f t="shared" si="367"/>
        <v/>
      </c>
      <c r="G85" s="553" t="str">
        <f t="shared" si="368"/>
        <v/>
      </c>
      <c r="I85" s="36" t="str">
        <f>IF(A85="","",IF(OR(F85=1,F85=2,F85=3,F85=4,F85=5),1,SUMIF('Suivi budgétaire'!$A:$A,'Import balance'!A85,'Suivi budgétaire'!$A:$A)+SUMIF('Suivi budgétaire'!$B:$B,'Import balance'!A85,'Suivi budgétaire'!$B:$B)+SUMIF('Suivi budgétaire'!$C:$C,'Import balance'!A85,'Suivi budgétaire'!$C:$C)+SUMIF('Suivi budgétaire'!$D:$D,'Import balance'!A85,'Suivi budgétaire'!$D:$D)+SUMIF('Suivi budgétaire'!$E:$E,'Import balance'!A85,'Suivi budgétaire'!$E:$E)))</f>
        <v/>
      </c>
    </row>
    <row r="86">
      <c r="A86" s="86"/>
      <c r="B86" s="86"/>
      <c r="C86" s="86"/>
      <c r="D86" s="86"/>
      <c r="E86" s="552">
        <f t="shared" si="370"/>
        <v>0</v>
      </c>
      <c r="F86" s="557" t="str">
        <f t="shared" si="367"/>
        <v/>
      </c>
      <c r="G86" s="553" t="str">
        <f t="shared" si="368"/>
        <v/>
      </c>
      <c r="I86" s="36" t="str">
        <f>IF(A86="","",IF(OR(F86=1,F86=2,F86=3,F86=4,F86=5),1,SUMIF('Suivi budgétaire'!$A:$A,'Import balance'!A86,'Suivi budgétaire'!$A:$A)+SUMIF('Suivi budgétaire'!$B:$B,'Import balance'!A86,'Suivi budgétaire'!$B:$B)+SUMIF('Suivi budgétaire'!$C:$C,'Import balance'!A86,'Suivi budgétaire'!$C:$C)+SUMIF('Suivi budgétaire'!$D:$D,'Import balance'!A86,'Suivi budgétaire'!$D:$D)+SUMIF('Suivi budgétaire'!$E:$E,'Import balance'!A86,'Suivi budgétaire'!$E:$E)))</f>
        <v/>
      </c>
    </row>
    <row r="87">
      <c r="A87" s="86"/>
      <c r="B87" s="86"/>
      <c r="C87" s="86"/>
      <c r="D87" s="86"/>
      <c r="E87" s="552">
        <f t="shared" si="370"/>
        <v>0</v>
      </c>
      <c r="F87" s="557" t="str">
        <f t="shared" si="367"/>
        <v/>
      </c>
      <c r="G87" s="553" t="str">
        <f t="shared" si="368"/>
        <v/>
      </c>
      <c r="I87" s="36" t="str">
        <f>IF(A87="","",IF(OR(F87=1,F87=2,F87=3,F87=4,F87=5),1,SUMIF('Suivi budgétaire'!$A:$A,'Import balance'!A87,'Suivi budgétaire'!$A:$A)+SUMIF('Suivi budgétaire'!$B:$B,'Import balance'!A87,'Suivi budgétaire'!$B:$B)+SUMIF('Suivi budgétaire'!$C:$C,'Import balance'!A87,'Suivi budgétaire'!$C:$C)+SUMIF('Suivi budgétaire'!$D:$D,'Import balance'!A87,'Suivi budgétaire'!$D:$D)+SUMIF('Suivi budgétaire'!$E:$E,'Import balance'!A87,'Suivi budgétaire'!$E:$E)))</f>
        <v/>
      </c>
    </row>
    <row r="88">
      <c r="A88" s="86"/>
      <c r="B88" s="86"/>
      <c r="C88" s="86"/>
      <c r="D88" s="86"/>
      <c r="E88" s="552">
        <f t="shared" si="370"/>
        <v>0</v>
      </c>
      <c r="F88" s="557" t="str">
        <f t="shared" si="367"/>
        <v/>
      </c>
      <c r="G88" s="553" t="str">
        <f t="shared" si="368"/>
        <v/>
      </c>
      <c r="I88" s="36" t="str">
        <f>IF(A88="","",IF(OR(F88=1,F88=2,F88=3,F88=4,F88=5),1,SUMIF('Suivi budgétaire'!$A:$A,'Import balance'!A88,'Suivi budgétaire'!$A:$A)+SUMIF('Suivi budgétaire'!$B:$B,'Import balance'!A88,'Suivi budgétaire'!$B:$B)+SUMIF('Suivi budgétaire'!$C:$C,'Import balance'!A88,'Suivi budgétaire'!$C:$C)+SUMIF('Suivi budgétaire'!$D:$D,'Import balance'!A88,'Suivi budgétaire'!$D:$D)+SUMIF('Suivi budgétaire'!$E:$E,'Import balance'!A88,'Suivi budgétaire'!$E:$E)))</f>
        <v/>
      </c>
    </row>
    <row r="89">
      <c r="A89" s="86"/>
      <c r="B89" s="86"/>
      <c r="C89" s="86"/>
      <c r="D89" s="86"/>
      <c r="E89" s="552">
        <f t="shared" si="370"/>
        <v>0</v>
      </c>
      <c r="F89" s="557" t="str">
        <f t="shared" si="367"/>
        <v/>
      </c>
      <c r="G89" s="553" t="str">
        <f t="shared" si="368"/>
        <v/>
      </c>
      <c r="I89" s="36" t="str">
        <f>IF(A89="","",IF(OR(F89=1,F89=2,F89=3,F89=4,F89=5),1,SUMIF('Suivi budgétaire'!$A:$A,'Import balance'!A89,'Suivi budgétaire'!$A:$A)+SUMIF('Suivi budgétaire'!$B:$B,'Import balance'!A89,'Suivi budgétaire'!$B:$B)+SUMIF('Suivi budgétaire'!$C:$C,'Import balance'!A89,'Suivi budgétaire'!$C:$C)+SUMIF('Suivi budgétaire'!$D:$D,'Import balance'!A89,'Suivi budgétaire'!$D:$D)+SUMIF('Suivi budgétaire'!$E:$E,'Import balance'!A89,'Suivi budgétaire'!$E:$E)))</f>
        <v/>
      </c>
    </row>
    <row r="90">
      <c r="A90" s="86"/>
      <c r="B90" s="86"/>
      <c r="C90" s="86"/>
      <c r="D90" s="86"/>
      <c r="E90" s="552">
        <f t="shared" si="370"/>
        <v>0</v>
      </c>
      <c r="F90" s="557" t="str">
        <f t="shared" si="367"/>
        <v/>
      </c>
      <c r="G90" s="553" t="str">
        <f t="shared" si="368"/>
        <v/>
      </c>
      <c r="I90" s="36" t="str">
        <f>IF(A90="","",IF(OR(F90=1,F90=2,F90=3,F90=4,F90=5),1,SUMIF('Suivi budgétaire'!$A:$A,'Import balance'!A90,'Suivi budgétaire'!$A:$A)+SUMIF('Suivi budgétaire'!$B:$B,'Import balance'!A90,'Suivi budgétaire'!$B:$B)+SUMIF('Suivi budgétaire'!$C:$C,'Import balance'!A90,'Suivi budgétaire'!$C:$C)+SUMIF('Suivi budgétaire'!$D:$D,'Import balance'!A90,'Suivi budgétaire'!$D:$D)+SUMIF('Suivi budgétaire'!$E:$E,'Import balance'!A90,'Suivi budgétaire'!$E:$E)))</f>
        <v/>
      </c>
    </row>
    <row r="91">
      <c r="A91" s="86"/>
      <c r="B91" s="86"/>
      <c r="C91" s="86"/>
      <c r="D91" s="86"/>
      <c r="E91" s="552">
        <f t="shared" si="370"/>
        <v>0</v>
      </c>
      <c r="F91" s="557" t="str">
        <f t="shared" si="367"/>
        <v/>
      </c>
      <c r="G91" s="553" t="str">
        <f t="shared" si="368"/>
        <v/>
      </c>
      <c r="I91" s="36" t="str">
        <f>IF(A91="","",IF(OR(F91=1,F91=2,F91=3,F91=4,F91=5),1,SUMIF('Suivi budgétaire'!$A:$A,'Import balance'!A91,'Suivi budgétaire'!$A:$A)+SUMIF('Suivi budgétaire'!$B:$B,'Import balance'!A91,'Suivi budgétaire'!$B:$B)+SUMIF('Suivi budgétaire'!$C:$C,'Import balance'!A91,'Suivi budgétaire'!$C:$C)+SUMIF('Suivi budgétaire'!$D:$D,'Import balance'!A91,'Suivi budgétaire'!$D:$D)+SUMIF('Suivi budgétaire'!$E:$E,'Import balance'!A91,'Suivi budgétaire'!$E:$E)))</f>
        <v/>
      </c>
    </row>
    <row r="92">
      <c r="A92" s="86"/>
      <c r="B92" s="86"/>
      <c r="C92" s="86"/>
      <c r="D92" s="86"/>
      <c r="E92" s="552">
        <f t="shared" si="370"/>
        <v>0</v>
      </c>
      <c r="F92" s="557" t="str">
        <f t="shared" si="367"/>
        <v/>
      </c>
      <c r="G92" s="553" t="str">
        <f t="shared" si="368"/>
        <v/>
      </c>
      <c r="I92" s="36" t="str">
        <f>IF(A92="","",IF(OR(F92=1,F92=2,F92=3,F92=4,F92=5),1,SUMIF('Suivi budgétaire'!$A:$A,'Import balance'!A92,'Suivi budgétaire'!$A:$A)+SUMIF('Suivi budgétaire'!$B:$B,'Import balance'!A92,'Suivi budgétaire'!$B:$B)+SUMIF('Suivi budgétaire'!$C:$C,'Import balance'!A92,'Suivi budgétaire'!$C:$C)+SUMIF('Suivi budgétaire'!$D:$D,'Import balance'!A92,'Suivi budgétaire'!$D:$D)+SUMIF('Suivi budgétaire'!$E:$E,'Import balance'!A92,'Suivi budgétaire'!$E:$E)))</f>
        <v/>
      </c>
    </row>
    <row r="93">
      <c r="A93" s="86"/>
      <c r="B93" s="86"/>
      <c r="C93" s="86"/>
      <c r="D93" s="86"/>
      <c r="E93" s="552">
        <f t="shared" si="370"/>
        <v>0</v>
      </c>
      <c r="F93" s="557" t="str">
        <f t="shared" si="367"/>
        <v/>
      </c>
      <c r="G93" s="553" t="str">
        <f t="shared" si="368"/>
        <v/>
      </c>
      <c r="I93" s="36" t="str">
        <f>IF(A93="","",IF(OR(F93=1,F93=2,F93=3,F93=4,F93=5),1,SUMIF('Suivi budgétaire'!$A:$A,'Import balance'!A93,'Suivi budgétaire'!$A:$A)+SUMIF('Suivi budgétaire'!$B:$B,'Import balance'!A93,'Suivi budgétaire'!$B:$B)+SUMIF('Suivi budgétaire'!$C:$C,'Import balance'!A93,'Suivi budgétaire'!$C:$C)+SUMIF('Suivi budgétaire'!$D:$D,'Import balance'!A93,'Suivi budgétaire'!$D:$D)+SUMIF('Suivi budgétaire'!$E:$E,'Import balance'!A93,'Suivi budgétaire'!$E:$E)))</f>
        <v/>
      </c>
    </row>
    <row r="94">
      <c r="A94" s="86"/>
      <c r="B94" s="86"/>
      <c r="C94" s="86"/>
      <c r="D94" s="86"/>
      <c r="E94" s="552">
        <f t="shared" si="370"/>
        <v>0</v>
      </c>
      <c r="F94" s="557" t="str">
        <f t="shared" si="367"/>
        <v/>
      </c>
      <c r="G94" s="553" t="str">
        <f t="shared" si="368"/>
        <v/>
      </c>
      <c r="I94" s="36" t="str">
        <f>IF(A94="","",IF(OR(F94=1,F94=2,F94=3,F94=4,F94=5),1,SUMIF('Suivi budgétaire'!$A:$A,'Import balance'!A94,'Suivi budgétaire'!$A:$A)+SUMIF('Suivi budgétaire'!$B:$B,'Import balance'!A94,'Suivi budgétaire'!$B:$B)+SUMIF('Suivi budgétaire'!$C:$C,'Import balance'!A94,'Suivi budgétaire'!$C:$C)+SUMIF('Suivi budgétaire'!$D:$D,'Import balance'!A94,'Suivi budgétaire'!$D:$D)+SUMIF('Suivi budgétaire'!$E:$E,'Import balance'!A94,'Suivi budgétaire'!$E:$E)))</f>
        <v/>
      </c>
    </row>
    <row r="95">
      <c r="A95" s="86"/>
      <c r="B95" s="86"/>
      <c r="C95" s="86"/>
      <c r="D95" s="86"/>
      <c r="E95" s="552">
        <f t="shared" si="370"/>
        <v>0</v>
      </c>
      <c r="F95" s="557" t="str">
        <f t="shared" si="367"/>
        <v/>
      </c>
      <c r="G95" s="553" t="str">
        <f t="shared" si="368"/>
        <v/>
      </c>
      <c r="I95" s="36" t="str">
        <f>IF(A95="","",IF(OR(F95=1,F95=2,F95=3,F95=4,F95=5),1,SUMIF('Suivi budgétaire'!$A:$A,'Import balance'!A95,'Suivi budgétaire'!$A:$A)+SUMIF('Suivi budgétaire'!$B:$B,'Import balance'!A95,'Suivi budgétaire'!$B:$B)+SUMIF('Suivi budgétaire'!$C:$C,'Import balance'!A95,'Suivi budgétaire'!$C:$C)+SUMIF('Suivi budgétaire'!$D:$D,'Import balance'!A95,'Suivi budgétaire'!$D:$D)+SUMIF('Suivi budgétaire'!$E:$E,'Import balance'!A95,'Suivi budgétaire'!$E:$E)))</f>
        <v/>
      </c>
    </row>
    <row r="96">
      <c r="A96" s="86"/>
      <c r="B96" s="86"/>
      <c r="C96" s="86"/>
      <c r="D96" s="86"/>
      <c r="E96" s="552">
        <f t="shared" si="370"/>
        <v>0</v>
      </c>
      <c r="F96" s="557" t="str">
        <f t="shared" si="367"/>
        <v/>
      </c>
      <c r="G96" s="553" t="str">
        <f t="shared" si="368"/>
        <v/>
      </c>
      <c r="I96" s="36" t="str">
        <f>IF(A96="","",IF(OR(F96=1,F96=2,F96=3,F96=4,F96=5),1,SUMIF('Suivi budgétaire'!$A:$A,'Import balance'!A96,'Suivi budgétaire'!$A:$A)+SUMIF('Suivi budgétaire'!$B:$B,'Import balance'!A96,'Suivi budgétaire'!$B:$B)+SUMIF('Suivi budgétaire'!$C:$C,'Import balance'!A96,'Suivi budgétaire'!$C:$C)+SUMIF('Suivi budgétaire'!$D:$D,'Import balance'!A96,'Suivi budgétaire'!$D:$D)+SUMIF('Suivi budgétaire'!$E:$E,'Import balance'!A96,'Suivi budgétaire'!$E:$E)))</f>
        <v/>
      </c>
    </row>
    <row r="97">
      <c r="A97" s="86"/>
      <c r="B97" s="86"/>
      <c r="C97" s="86"/>
      <c r="D97" s="86"/>
      <c r="E97" s="552">
        <f t="shared" si="370"/>
        <v>0</v>
      </c>
      <c r="F97" s="557" t="str">
        <f t="shared" si="367"/>
        <v/>
      </c>
      <c r="G97" s="553" t="str">
        <f t="shared" si="368"/>
        <v/>
      </c>
      <c r="I97" s="36" t="str">
        <f>IF(A97="","",IF(OR(F97=1,F97=2,F97=3,F97=4,F97=5),1,SUMIF('Suivi budgétaire'!$A:$A,'Import balance'!A97,'Suivi budgétaire'!$A:$A)+SUMIF('Suivi budgétaire'!$B:$B,'Import balance'!A97,'Suivi budgétaire'!$B:$B)+SUMIF('Suivi budgétaire'!$C:$C,'Import balance'!A97,'Suivi budgétaire'!$C:$C)+SUMIF('Suivi budgétaire'!$D:$D,'Import balance'!A97,'Suivi budgétaire'!$D:$D)+SUMIF('Suivi budgétaire'!$E:$E,'Import balance'!A97,'Suivi budgétaire'!$E:$E)))</f>
        <v/>
      </c>
    </row>
    <row r="98">
      <c r="A98" s="86"/>
      <c r="B98" s="86"/>
      <c r="C98" s="86"/>
      <c r="D98" s="86"/>
      <c r="E98" s="552">
        <f t="shared" si="370"/>
        <v>0</v>
      </c>
      <c r="F98" s="557" t="str">
        <f t="shared" si="367"/>
        <v/>
      </c>
      <c r="G98" s="553" t="str">
        <f t="shared" si="368"/>
        <v/>
      </c>
      <c r="I98" s="36" t="str">
        <f>IF(A98="","",IF(OR(F98=1,F98=2,F98=3,F98=4,F98=5),1,SUMIF('Suivi budgétaire'!$A:$A,'Import balance'!A98,'Suivi budgétaire'!$A:$A)+SUMIF('Suivi budgétaire'!$B:$B,'Import balance'!A98,'Suivi budgétaire'!$B:$B)+SUMIF('Suivi budgétaire'!$C:$C,'Import balance'!A98,'Suivi budgétaire'!$C:$C)+SUMIF('Suivi budgétaire'!$D:$D,'Import balance'!A98,'Suivi budgétaire'!$D:$D)+SUMIF('Suivi budgétaire'!$E:$E,'Import balance'!A98,'Suivi budgétaire'!$E:$E)))</f>
        <v/>
      </c>
    </row>
    <row r="99">
      <c r="A99" s="86"/>
      <c r="B99" s="86"/>
      <c r="C99" s="86"/>
      <c r="D99" s="86"/>
      <c r="E99" s="552">
        <f t="shared" si="370"/>
        <v>0</v>
      </c>
      <c r="F99" s="557" t="str">
        <f t="shared" si="367"/>
        <v/>
      </c>
      <c r="G99" s="553" t="str">
        <f t="shared" si="368"/>
        <v/>
      </c>
      <c r="I99" s="36" t="str">
        <f>IF(A99="","",IF(OR(F99=1,F99=2,F99=3,F99=4,F99=5),1,SUMIF('Suivi budgétaire'!$A:$A,'Import balance'!A99,'Suivi budgétaire'!$A:$A)+SUMIF('Suivi budgétaire'!$B:$B,'Import balance'!A99,'Suivi budgétaire'!$B:$B)+SUMIF('Suivi budgétaire'!$C:$C,'Import balance'!A99,'Suivi budgétaire'!$C:$C)+SUMIF('Suivi budgétaire'!$D:$D,'Import balance'!A99,'Suivi budgétaire'!$D:$D)+SUMIF('Suivi budgétaire'!$E:$E,'Import balance'!A99,'Suivi budgétaire'!$E:$E)))</f>
        <v/>
      </c>
    </row>
    <row r="100">
      <c r="A100" s="86"/>
      <c r="B100" s="86"/>
      <c r="C100" s="86"/>
      <c r="D100" s="86"/>
      <c r="E100" s="552">
        <f t="shared" si="370"/>
        <v>0</v>
      </c>
      <c r="F100" s="557" t="str">
        <f t="shared" ref="F100:F163" si="371">LEFT(A100,1)</f>
        <v/>
      </c>
      <c r="G100" s="553" t="str">
        <f t="shared" ref="G100:G163" si="372">LEFT(A100,3)</f>
        <v/>
      </c>
      <c r="I100" s="36" t="str">
        <f>IF(A100="","",IF(OR(F100=1,F100=2,F100=3,F100=4,F100=5),1,SUMIF('Suivi budgétaire'!$A:$A,'Import balance'!A100,'Suivi budgétaire'!$A:$A)+SUMIF('Suivi budgétaire'!$B:$B,'Import balance'!A100,'Suivi budgétaire'!$B:$B)+SUMIF('Suivi budgétaire'!$C:$C,'Import balance'!A100,'Suivi budgétaire'!$C:$C)+SUMIF('Suivi budgétaire'!$D:$D,'Import balance'!A100,'Suivi budgétaire'!$D:$D)+SUMIF('Suivi budgétaire'!$E:$E,'Import balance'!A100,'Suivi budgétaire'!$E:$E)))</f>
        <v/>
      </c>
    </row>
    <row r="101">
      <c r="A101" s="86"/>
      <c r="B101" s="86"/>
      <c r="C101" s="86"/>
      <c r="D101" s="86"/>
      <c r="E101" s="552">
        <f t="shared" si="370"/>
        <v>0</v>
      </c>
      <c r="F101" s="557" t="str">
        <f t="shared" si="371"/>
        <v/>
      </c>
      <c r="G101" s="553" t="str">
        <f t="shared" si="372"/>
        <v/>
      </c>
      <c r="I101" s="36" t="str">
        <f>IF(A101="","",IF(OR(F101=1,F101=2,F101=3,F101=4,F101=5),1,SUMIF('Suivi budgétaire'!$A:$A,'Import balance'!A101,'Suivi budgétaire'!$A:$A)+SUMIF('Suivi budgétaire'!$B:$B,'Import balance'!A101,'Suivi budgétaire'!$B:$B)+SUMIF('Suivi budgétaire'!$C:$C,'Import balance'!A101,'Suivi budgétaire'!$C:$C)+SUMIF('Suivi budgétaire'!$D:$D,'Import balance'!A101,'Suivi budgétaire'!$D:$D)+SUMIF('Suivi budgétaire'!$E:$E,'Import balance'!A101,'Suivi budgétaire'!$E:$E)))</f>
        <v/>
      </c>
    </row>
    <row r="102">
      <c r="A102" s="86"/>
      <c r="B102" s="86"/>
      <c r="C102" s="86"/>
      <c r="D102" s="86"/>
      <c r="E102" s="552">
        <f t="shared" si="370"/>
        <v>0</v>
      </c>
      <c r="F102" s="557" t="str">
        <f t="shared" si="371"/>
        <v/>
      </c>
      <c r="G102" s="553" t="str">
        <f t="shared" si="372"/>
        <v/>
      </c>
      <c r="I102" s="36" t="str">
        <f>IF(A102="","",IF(OR(F102=1,F102=2,F102=3,F102=4,F102=5),1,SUMIF('Suivi budgétaire'!$A:$A,'Import balance'!A102,'Suivi budgétaire'!$A:$A)+SUMIF('Suivi budgétaire'!$B:$B,'Import balance'!A102,'Suivi budgétaire'!$B:$B)+SUMIF('Suivi budgétaire'!$C:$C,'Import balance'!A102,'Suivi budgétaire'!$C:$C)+SUMIF('Suivi budgétaire'!$D:$D,'Import balance'!A102,'Suivi budgétaire'!$D:$D)+SUMIF('Suivi budgétaire'!$E:$E,'Import balance'!A102,'Suivi budgétaire'!$E:$E)))</f>
        <v/>
      </c>
    </row>
    <row r="103">
      <c r="A103" s="86"/>
      <c r="B103" s="86"/>
      <c r="C103" s="86"/>
      <c r="D103" s="86"/>
      <c r="E103" s="552">
        <f t="shared" si="370"/>
        <v>0</v>
      </c>
      <c r="F103" s="557" t="str">
        <f t="shared" si="371"/>
        <v/>
      </c>
      <c r="G103" s="553" t="str">
        <f t="shared" si="372"/>
        <v/>
      </c>
      <c r="I103" s="36" t="str">
        <f>IF(A103="","",IF(OR(F103=1,F103=2,F103=3,F103=4,F103=5),1,SUMIF('Suivi budgétaire'!$A:$A,'Import balance'!A103,'Suivi budgétaire'!$A:$A)+SUMIF('Suivi budgétaire'!$B:$B,'Import balance'!A103,'Suivi budgétaire'!$B:$B)+SUMIF('Suivi budgétaire'!$C:$C,'Import balance'!A103,'Suivi budgétaire'!$C:$C)+SUMIF('Suivi budgétaire'!$D:$D,'Import balance'!A103,'Suivi budgétaire'!$D:$D)+SUMIF('Suivi budgétaire'!$E:$E,'Import balance'!A103,'Suivi budgétaire'!$E:$E)))</f>
        <v/>
      </c>
    </row>
    <row r="104">
      <c r="A104" s="86"/>
      <c r="B104" s="86"/>
      <c r="C104" s="86"/>
      <c r="D104" s="86"/>
      <c r="E104" s="552">
        <f t="shared" si="370"/>
        <v>0</v>
      </c>
      <c r="F104" s="557" t="str">
        <f t="shared" si="371"/>
        <v/>
      </c>
      <c r="G104" s="553" t="str">
        <f t="shared" si="372"/>
        <v/>
      </c>
      <c r="I104" s="36" t="str">
        <f>IF(A104="","",IF(OR(F104=1,F104=2,F104=3,F104=4,F104=5),1,SUMIF('Suivi budgétaire'!$A:$A,'Import balance'!A104,'Suivi budgétaire'!$A:$A)+SUMIF('Suivi budgétaire'!$B:$B,'Import balance'!A104,'Suivi budgétaire'!$B:$B)+SUMIF('Suivi budgétaire'!$C:$C,'Import balance'!A104,'Suivi budgétaire'!$C:$C)+SUMIF('Suivi budgétaire'!$D:$D,'Import balance'!A104,'Suivi budgétaire'!$D:$D)+SUMIF('Suivi budgétaire'!$E:$E,'Import balance'!A104,'Suivi budgétaire'!$E:$E)))</f>
        <v/>
      </c>
    </row>
    <row r="105">
      <c r="A105" s="86"/>
      <c r="B105" s="86"/>
      <c r="C105" s="86"/>
      <c r="D105" s="86"/>
      <c r="E105" s="552">
        <f t="shared" si="370"/>
        <v>0</v>
      </c>
      <c r="F105" s="557" t="str">
        <f t="shared" si="371"/>
        <v/>
      </c>
      <c r="G105" s="553" t="str">
        <f t="shared" si="372"/>
        <v/>
      </c>
      <c r="I105" s="36" t="str">
        <f>IF(A105="","",IF(OR(F105=1,F105=2,F105=3,F105=4,F105=5),1,SUMIF('Suivi budgétaire'!$A:$A,'Import balance'!A105,'Suivi budgétaire'!$A:$A)+SUMIF('Suivi budgétaire'!$B:$B,'Import balance'!A105,'Suivi budgétaire'!$B:$B)+SUMIF('Suivi budgétaire'!$C:$C,'Import balance'!A105,'Suivi budgétaire'!$C:$C)+SUMIF('Suivi budgétaire'!$D:$D,'Import balance'!A105,'Suivi budgétaire'!$D:$D)+SUMIF('Suivi budgétaire'!$E:$E,'Import balance'!A105,'Suivi budgétaire'!$E:$E)))</f>
        <v/>
      </c>
    </row>
    <row r="106">
      <c r="A106" s="86"/>
      <c r="B106" s="86"/>
      <c r="C106" s="86"/>
      <c r="D106" s="86"/>
      <c r="E106" s="552">
        <f t="shared" si="370"/>
        <v>0</v>
      </c>
      <c r="F106" s="557" t="str">
        <f t="shared" si="371"/>
        <v/>
      </c>
      <c r="G106" s="553" t="str">
        <f t="shared" si="372"/>
        <v/>
      </c>
      <c r="I106" s="36" t="str">
        <f>IF(A106="","",IF(OR(F106=1,F106=2,F106=3,F106=4,F106=5),1,SUMIF('Suivi budgétaire'!$A:$A,'Import balance'!A106,'Suivi budgétaire'!$A:$A)+SUMIF('Suivi budgétaire'!$B:$B,'Import balance'!A106,'Suivi budgétaire'!$B:$B)+SUMIF('Suivi budgétaire'!$C:$C,'Import balance'!A106,'Suivi budgétaire'!$C:$C)+SUMIF('Suivi budgétaire'!$D:$D,'Import balance'!A106,'Suivi budgétaire'!$D:$D)+SUMIF('Suivi budgétaire'!$E:$E,'Import balance'!A106,'Suivi budgétaire'!$E:$E)))</f>
        <v/>
      </c>
    </row>
    <row r="107">
      <c r="A107" s="86"/>
      <c r="B107" s="86"/>
      <c r="C107" s="86"/>
      <c r="D107" s="86"/>
      <c r="E107" s="552">
        <f t="shared" si="370"/>
        <v>0</v>
      </c>
      <c r="F107" s="557" t="str">
        <f t="shared" si="371"/>
        <v/>
      </c>
      <c r="G107" s="553" t="str">
        <f t="shared" si="372"/>
        <v/>
      </c>
      <c r="I107" s="36" t="str">
        <f>IF(A107="","",IF(OR(F107=1,F107=2,F107=3,F107=4,F107=5),1,SUMIF('Suivi budgétaire'!$A:$A,'Import balance'!A107,'Suivi budgétaire'!$A:$A)+SUMIF('Suivi budgétaire'!$B:$B,'Import balance'!A107,'Suivi budgétaire'!$B:$B)+SUMIF('Suivi budgétaire'!$C:$C,'Import balance'!A107,'Suivi budgétaire'!$C:$C)+SUMIF('Suivi budgétaire'!$D:$D,'Import balance'!A107,'Suivi budgétaire'!$D:$D)+SUMIF('Suivi budgétaire'!$E:$E,'Import balance'!A107,'Suivi budgétaire'!$E:$E)))</f>
        <v/>
      </c>
    </row>
    <row r="108">
      <c r="A108" s="86"/>
      <c r="B108" s="86"/>
      <c r="C108" s="86"/>
      <c r="D108" s="86"/>
      <c r="E108" s="552">
        <f t="shared" si="370"/>
        <v>0</v>
      </c>
      <c r="F108" s="557" t="str">
        <f t="shared" si="371"/>
        <v/>
      </c>
      <c r="G108" s="553" t="str">
        <f t="shared" si="372"/>
        <v/>
      </c>
      <c r="I108" s="36" t="str">
        <f>IF(A108="","",IF(OR(F108=1,F108=2,F108=3,F108=4,F108=5),1,SUMIF('Suivi budgétaire'!$A:$A,'Import balance'!A108,'Suivi budgétaire'!$A:$A)+SUMIF('Suivi budgétaire'!$B:$B,'Import balance'!A108,'Suivi budgétaire'!$B:$B)+SUMIF('Suivi budgétaire'!$C:$C,'Import balance'!A108,'Suivi budgétaire'!$C:$C)+SUMIF('Suivi budgétaire'!$D:$D,'Import balance'!A108,'Suivi budgétaire'!$D:$D)+SUMIF('Suivi budgétaire'!$E:$E,'Import balance'!A108,'Suivi budgétaire'!$E:$E)))</f>
        <v/>
      </c>
    </row>
    <row r="109">
      <c r="A109" s="86"/>
      <c r="B109" s="86"/>
      <c r="C109" s="86"/>
      <c r="D109" s="86"/>
      <c r="E109" s="552">
        <f t="shared" si="370"/>
        <v>0</v>
      </c>
      <c r="F109" s="557" t="str">
        <f t="shared" si="371"/>
        <v/>
      </c>
      <c r="G109" s="553" t="str">
        <f t="shared" si="372"/>
        <v/>
      </c>
      <c r="I109" s="36" t="str">
        <f>IF(A109="","",IF(OR(F109=1,F109=2,F109=3,F109=4,F109=5),1,SUMIF('Suivi budgétaire'!$A:$A,'Import balance'!A109,'Suivi budgétaire'!$A:$A)+SUMIF('Suivi budgétaire'!$B:$B,'Import balance'!A109,'Suivi budgétaire'!$B:$B)+SUMIF('Suivi budgétaire'!$C:$C,'Import balance'!A109,'Suivi budgétaire'!$C:$C)+SUMIF('Suivi budgétaire'!$D:$D,'Import balance'!A109,'Suivi budgétaire'!$D:$D)+SUMIF('Suivi budgétaire'!$E:$E,'Import balance'!A109,'Suivi budgétaire'!$E:$E)))</f>
        <v/>
      </c>
    </row>
    <row r="110">
      <c r="A110" s="86"/>
      <c r="B110" s="86"/>
      <c r="C110" s="86"/>
      <c r="D110" s="86"/>
      <c r="E110" s="552">
        <f t="shared" si="370"/>
        <v>0</v>
      </c>
      <c r="F110" s="557" t="str">
        <f t="shared" si="371"/>
        <v/>
      </c>
      <c r="G110" s="553" t="str">
        <f t="shared" si="372"/>
        <v/>
      </c>
      <c r="I110" s="36" t="str">
        <f>IF(A110="","",IF(OR(F110=1,F110=2,F110=3,F110=4,F110=5),1,SUMIF('Suivi budgétaire'!$A:$A,'Import balance'!A110,'Suivi budgétaire'!$A:$A)+SUMIF('Suivi budgétaire'!$B:$B,'Import balance'!A110,'Suivi budgétaire'!$B:$B)+SUMIF('Suivi budgétaire'!$C:$C,'Import balance'!A110,'Suivi budgétaire'!$C:$C)+SUMIF('Suivi budgétaire'!$D:$D,'Import balance'!A110,'Suivi budgétaire'!$D:$D)+SUMIF('Suivi budgétaire'!$E:$E,'Import balance'!A110,'Suivi budgétaire'!$E:$E)))</f>
        <v/>
      </c>
    </row>
    <row r="111">
      <c r="A111" s="86"/>
      <c r="B111" s="86"/>
      <c r="C111" s="86"/>
      <c r="D111" s="86"/>
      <c r="E111" s="552">
        <f t="shared" si="370"/>
        <v>0</v>
      </c>
      <c r="F111" s="557" t="str">
        <f t="shared" si="371"/>
        <v/>
      </c>
      <c r="G111" s="553" t="str">
        <f t="shared" si="372"/>
        <v/>
      </c>
      <c r="I111" s="36" t="str">
        <f>IF(A111="","",IF(OR(F111=1,F111=2,F111=3,F111=4,F111=5),1,SUMIF('Suivi budgétaire'!$A:$A,'Import balance'!A111,'Suivi budgétaire'!$A:$A)+SUMIF('Suivi budgétaire'!$B:$B,'Import balance'!A111,'Suivi budgétaire'!$B:$B)+SUMIF('Suivi budgétaire'!$C:$C,'Import balance'!A111,'Suivi budgétaire'!$C:$C)+SUMIF('Suivi budgétaire'!$D:$D,'Import balance'!A111,'Suivi budgétaire'!$D:$D)+SUMIF('Suivi budgétaire'!$E:$E,'Import balance'!A111,'Suivi budgétaire'!$E:$E)))</f>
        <v/>
      </c>
    </row>
    <row r="112">
      <c r="A112" s="86"/>
      <c r="B112" s="86"/>
      <c r="C112" s="86"/>
      <c r="D112" s="86"/>
      <c r="E112" s="552">
        <f t="shared" si="370"/>
        <v>0</v>
      </c>
      <c r="F112" s="557" t="str">
        <f t="shared" si="371"/>
        <v/>
      </c>
      <c r="G112" s="553" t="str">
        <f t="shared" si="372"/>
        <v/>
      </c>
      <c r="I112" s="36" t="str">
        <f>IF(A112="","",IF(OR(F112=1,F112=2,F112=3,F112=4,F112=5),1,SUMIF('Suivi budgétaire'!$A:$A,'Import balance'!A112,'Suivi budgétaire'!$A:$A)+SUMIF('Suivi budgétaire'!$B:$B,'Import balance'!A112,'Suivi budgétaire'!$B:$B)+SUMIF('Suivi budgétaire'!$C:$C,'Import balance'!A112,'Suivi budgétaire'!$C:$C)+SUMIF('Suivi budgétaire'!$D:$D,'Import balance'!A112,'Suivi budgétaire'!$D:$D)+SUMIF('Suivi budgétaire'!$E:$E,'Import balance'!A112,'Suivi budgétaire'!$E:$E)))</f>
        <v/>
      </c>
    </row>
    <row r="113">
      <c r="A113" s="86"/>
      <c r="B113" s="86"/>
      <c r="C113" s="86"/>
      <c r="D113" s="86"/>
      <c r="E113" s="552">
        <f t="shared" si="370"/>
        <v>0</v>
      </c>
      <c r="F113" s="557" t="str">
        <f t="shared" si="371"/>
        <v/>
      </c>
      <c r="G113" s="553" t="str">
        <f t="shared" si="372"/>
        <v/>
      </c>
      <c r="I113" s="36" t="str">
        <f>IF(A113="","",IF(OR(F113=1,F113=2,F113=3,F113=4,F113=5),1,SUMIF('Suivi budgétaire'!$A:$A,'Import balance'!A113,'Suivi budgétaire'!$A:$A)+SUMIF('Suivi budgétaire'!$B:$B,'Import balance'!A113,'Suivi budgétaire'!$B:$B)+SUMIF('Suivi budgétaire'!$C:$C,'Import balance'!A113,'Suivi budgétaire'!$C:$C)+SUMIF('Suivi budgétaire'!$D:$D,'Import balance'!A113,'Suivi budgétaire'!$D:$D)+SUMIF('Suivi budgétaire'!$E:$E,'Import balance'!A113,'Suivi budgétaire'!$E:$E)))</f>
        <v/>
      </c>
    </row>
    <row r="114">
      <c r="A114" s="86"/>
      <c r="B114" s="86"/>
      <c r="C114" s="86"/>
      <c r="D114" s="86"/>
      <c r="E114" s="552">
        <f t="shared" si="370"/>
        <v>0</v>
      </c>
      <c r="F114" s="557" t="str">
        <f t="shared" si="371"/>
        <v/>
      </c>
      <c r="G114" s="553" t="str">
        <f t="shared" si="372"/>
        <v/>
      </c>
      <c r="I114" s="36" t="str">
        <f>IF(A114="","",IF(OR(F114=1,F114=2,F114=3,F114=4,F114=5),1,SUMIF('Suivi budgétaire'!$A:$A,'Import balance'!A114,'Suivi budgétaire'!$A:$A)+SUMIF('Suivi budgétaire'!$B:$B,'Import balance'!A114,'Suivi budgétaire'!$B:$B)+SUMIF('Suivi budgétaire'!$C:$C,'Import balance'!A114,'Suivi budgétaire'!$C:$C)+SUMIF('Suivi budgétaire'!$D:$D,'Import balance'!A114,'Suivi budgétaire'!$D:$D)+SUMIF('Suivi budgétaire'!$E:$E,'Import balance'!A114,'Suivi budgétaire'!$E:$E)))</f>
        <v/>
      </c>
    </row>
    <row r="115">
      <c r="A115" s="86"/>
      <c r="B115" s="86"/>
      <c r="C115" s="86"/>
      <c r="D115" s="86"/>
      <c r="E115" s="552">
        <f t="shared" si="370"/>
        <v>0</v>
      </c>
      <c r="F115" s="557" t="str">
        <f t="shared" si="371"/>
        <v/>
      </c>
      <c r="G115" s="553" t="str">
        <f t="shared" si="372"/>
        <v/>
      </c>
      <c r="I115" s="36" t="str">
        <f>IF(A115="","",IF(OR(F115=1,F115=2,F115=3,F115=4,F115=5),1,SUMIF('Suivi budgétaire'!$A:$A,'Import balance'!A115,'Suivi budgétaire'!$A:$A)+SUMIF('Suivi budgétaire'!$B:$B,'Import balance'!A115,'Suivi budgétaire'!$B:$B)+SUMIF('Suivi budgétaire'!$C:$C,'Import balance'!A115,'Suivi budgétaire'!$C:$C)+SUMIF('Suivi budgétaire'!$D:$D,'Import balance'!A115,'Suivi budgétaire'!$D:$D)+SUMIF('Suivi budgétaire'!$E:$E,'Import balance'!A115,'Suivi budgétaire'!$E:$E)))</f>
        <v/>
      </c>
    </row>
    <row r="116">
      <c r="A116" s="86"/>
      <c r="B116" s="86"/>
      <c r="C116" s="86"/>
      <c r="D116" s="86"/>
      <c r="E116" s="552">
        <f t="shared" si="370"/>
        <v>0</v>
      </c>
      <c r="F116" s="557" t="str">
        <f t="shared" si="371"/>
        <v/>
      </c>
      <c r="G116" s="553" t="str">
        <f t="shared" si="372"/>
        <v/>
      </c>
      <c r="I116" s="36" t="str">
        <f>IF(A116="","",IF(OR(F116=1,F116=2,F116=3,F116=4,F116=5),1,SUMIF('Suivi budgétaire'!$A:$A,'Import balance'!A116,'Suivi budgétaire'!$A:$A)+SUMIF('Suivi budgétaire'!$B:$B,'Import balance'!A116,'Suivi budgétaire'!$B:$B)+SUMIF('Suivi budgétaire'!$C:$C,'Import balance'!A116,'Suivi budgétaire'!$C:$C)+SUMIF('Suivi budgétaire'!$D:$D,'Import balance'!A116,'Suivi budgétaire'!$D:$D)+SUMIF('Suivi budgétaire'!$E:$E,'Import balance'!A116,'Suivi budgétaire'!$E:$E)))</f>
        <v/>
      </c>
    </row>
    <row r="117">
      <c r="A117" s="86"/>
      <c r="B117" s="86"/>
      <c r="C117" s="86"/>
      <c r="D117" s="86"/>
      <c r="E117" s="552">
        <f t="shared" si="370"/>
        <v>0</v>
      </c>
      <c r="F117" s="557" t="str">
        <f t="shared" si="371"/>
        <v/>
      </c>
      <c r="G117" s="553" t="str">
        <f t="shared" si="372"/>
        <v/>
      </c>
      <c r="I117" s="36" t="str">
        <f>IF(A117="","",IF(OR(F117=1,F117=2,F117=3,F117=4,F117=5),1,SUMIF('Suivi budgétaire'!$A:$A,'Import balance'!A117,'Suivi budgétaire'!$A:$A)+SUMIF('Suivi budgétaire'!$B:$B,'Import balance'!A117,'Suivi budgétaire'!$B:$B)+SUMIF('Suivi budgétaire'!$C:$C,'Import balance'!A117,'Suivi budgétaire'!$C:$C)+SUMIF('Suivi budgétaire'!$D:$D,'Import balance'!A117,'Suivi budgétaire'!$D:$D)+SUMIF('Suivi budgétaire'!$E:$E,'Import balance'!A117,'Suivi budgétaire'!$E:$E)))</f>
        <v/>
      </c>
    </row>
    <row r="118">
      <c r="A118" s="86"/>
      <c r="B118" s="86"/>
      <c r="C118" s="86"/>
      <c r="D118" s="86"/>
      <c r="E118" s="552">
        <f t="shared" si="370"/>
        <v>0</v>
      </c>
      <c r="F118" s="557" t="str">
        <f t="shared" si="371"/>
        <v/>
      </c>
      <c r="G118" s="553" t="str">
        <f t="shared" si="372"/>
        <v/>
      </c>
      <c r="I118" s="36" t="str">
        <f>IF(A118="","",IF(OR(F118=1,F118=2,F118=3,F118=4,F118=5),1,SUMIF('Suivi budgétaire'!$A:$A,'Import balance'!A118,'Suivi budgétaire'!$A:$A)+SUMIF('Suivi budgétaire'!$B:$B,'Import balance'!A118,'Suivi budgétaire'!$B:$B)+SUMIF('Suivi budgétaire'!$C:$C,'Import balance'!A118,'Suivi budgétaire'!$C:$C)+SUMIF('Suivi budgétaire'!$D:$D,'Import balance'!A118,'Suivi budgétaire'!$D:$D)+SUMIF('Suivi budgétaire'!$E:$E,'Import balance'!A118,'Suivi budgétaire'!$E:$E)))</f>
        <v/>
      </c>
    </row>
    <row r="119">
      <c r="A119" s="86"/>
      <c r="B119" s="86"/>
      <c r="C119" s="86"/>
      <c r="D119" s="86"/>
      <c r="E119" s="552">
        <f t="shared" si="370"/>
        <v>0</v>
      </c>
      <c r="F119" s="557" t="str">
        <f t="shared" si="371"/>
        <v/>
      </c>
      <c r="G119" s="553" t="str">
        <f t="shared" si="372"/>
        <v/>
      </c>
      <c r="I119" s="36" t="str">
        <f>IF(A119="","",IF(OR(F119=1,F119=2,F119=3,F119=4,F119=5),1,SUMIF('Suivi budgétaire'!$A:$A,'Import balance'!A119,'Suivi budgétaire'!$A:$A)+SUMIF('Suivi budgétaire'!$B:$B,'Import balance'!A119,'Suivi budgétaire'!$B:$B)+SUMIF('Suivi budgétaire'!$C:$C,'Import balance'!A119,'Suivi budgétaire'!$C:$C)+SUMIF('Suivi budgétaire'!$D:$D,'Import balance'!A119,'Suivi budgétaire'!$D:$D)+SUMIF('Suivi budgétaire'!$E:$E,'Import balance'!A119,'Suivi budgétaire'!$E:$E)))</f>
        <v/>
      </c>
    </row>
    <row r="120">
      <c r="A120" s="86"/>
      <c r="B120" s="86"/>
      <c r="C120" s="86"/>
      <c r="D120" s="86"/>
      <c r="E120" s="552">
        <f t="shared" si="370"/>
        <v>0</v>
      </c>
      <c r="F120" s="557" t="str">
        <f t="shared" si="371"/>
        <v/>
      </c>
      <c r="G120" s="553" t="str">
        <f t="shared" si="372"/>
        <v/>
      </c>
      <c r="I120" s="36" t="str">
        <f>IF(A120="","",IF(OR(F120=1,F120=2,F120=3,F120=4,F120=5),1,SUMIF('Suivi budgétaire'!$A:$A,'Import balance'!A120,'Suivi budgétaire'!$A:$A)+SUMIF('Suivi budgétaire'!$B:$B,'Import balance'!A120,'Suivi budgétaire'!$B:$B)+SUMIF('Suivi budgétaire'!$C:$C,'Import balance'!A120,'Suivi budgétaire'!$C:$C)+SUMIF('Suivi budgétaire'!$D:$D,'Import balance'!A120,'Suivi budgétaire'!$D:$D)+SUMIF('Suivi budgétaire'!$E:$E,'Import balance'!A120,'Suivi budgétaire'!$E:$E)))</f>
        <v/>
      </c>
    </row>
    <row r="121">
      <c r="A121" s="86"/>
      <c r="B121" s="86"/>
      <c r="C121" s="86"/>
      <c r="D121" s="86"/>
      <c r="E121" s="552">
        <f t="shared" si="370"/>
        <v>0</v>
      </c>
      <c r="F121" s="557" t="str">
        <f t="shared" si="371"/>
        <v/>
      </c>
      <c r="G121" s="553" t="str">
        <f t="shared" si="372"/>
        <v/>
      </c>
      <c r="I121" s="36" t="str">
        <f>IF(A121="","",IF(OR(F121=1,F121=2,F121=3,F121=4,F121=5),1,SUMIF('Suivi budgétaire'!$A:$A,'Import balance'!A121,'Suivi budgétaire'!$A:$A)+SUMIF('Suivi budgétaire'!$B:$B,'Import balance'!A121,'Suivi budgétaire'!$B:$B)+SUMIF('Suivi budgétaire'!$C:$C,'Import balance'!A121,'Suivi budgétaire'!$C:$C)+SUMIF('Suivi budgétaire'!$D:$D,'Import balance'!A121,'Suivi budgétaire'!$D:$D)+SUMIF('Suivi budgétaire'!$E:$E,'Import balance'!A121,'Suivi budgétaire'!$E:$E)))</f>
        <v/>
      </c>
    </row>
    <row r="122">
      <c r="A122" s="86"/>
      <c r="B122" s="86"/>
      <c r="C122" s="86"/>
      <c r="D122" s="86"/>
      <c r="E122" s="552">
        <f t="shared" si="370"/>
        <v>0</v>
      </c>
      <c r="F122" s="557" t="str">
        <f t="shared" si="371"/>
        <v/>
      </c>
      <c r="G122" s="553" t="str">
        <f t="shared" si="372"/>
        <v/>
      </c>
      <c r="I122" s="36" t="str">
        <f>IF(A122="","",IF(OR(F122=1,F122=2,F122=3,F122=4,F122=5),1,SUMIF('Suivi budgétaire'!$A:$A,'Import balance'!A122,'Suivi budgétaire'!$A:$A)+SUMIF('Suivi budgétaire'!$B:$B,'Import balance'!A122,'Suivi budgétaire'!$B:$B)+SUMIF('Suivi budgétaire'!$C:$C,'Import balance'!A122,'Suivi budgétaire'!$C:$C)+SUMIF('Suivi budgétaire'!$D:$D,'Import balance'!A122,'Suivi budgétaire'!$D:$D)+SUMIF('Suivi budgétaire'!$E:$E,'Import balance'!A122,'Suivi budgétaire'!$E:$E)))</f>
        <v/>
      </c>
    </row>
    <row r="123">
      <c r="A123" s="86"/>
      <c r="B123" s="86"/>
      <c r="C123" s="86"/>
      <c r="D123" s="86"/>
      <c r="E123" s="552">
        <f t="shared" si="370"/>
        <v>0</v>
      </c>
      <c r="F123" s="557" t="str">
        <f t="shared" si="371"/>
        <v/>
      </c>
      <c r="G123" s="553" t="str">
        <f t="shared" si="372"/>
        <v/>
      </c>
      <c r="I123" s="36" t="str">
        <f>IF(A123="","",IF(OR(F123=1,F123=2,F123=3,F123=4,F123=5),1,SUMIF('Suivi budgétaire'!$A:$A,'Import balance'!A123,'Suivi budgétaire'!$A:$A)+SUMIF('Suivi budgétaire'!$B:$B,'Import balance'!A123,'Suivi budgétaire'!$B:$B)+SUMIF('Suivi budgétaire'!$C:$C,'Import balance'!A123,'Suivi budgétaire'!$C:$C)+SUMIF('Suivi budgétaire'!$D:$D,'Import balance'!A123,'Suivi budgétaire'!$D:$D)+SUMIF('Suivi budgétaire'!$E:$E,'Import balance'!A123,'Suivi budgétaire'!$E:$E)))</f>
        <v/>
      </c>
    </row>
    <row r="124">
      <c r="A124" s="86"/>
      <c r="B124" s="86"/>
      <c r="C124" s="86"/>
      <c r="D124" s="86"/>
      <c r="E124" s="552">
        <f t="shared" si="370"/>
        <v>0</v>
      </c>
      <c r="F124" s="557" t="str">
        <f t="shared" si="371"/>
        <v/>
      </c>
      <c r="G124" s="553" t="str">
        <f t="shared" si="372"/>
        <v/>
      </c>
      <c r="I124" s="36" t="str">
        <f>IF(A124="","",IF(OR(F124=1,F124=2,F124=3,F124=4,F124=5),1,SUMIF('Suivi budgétaire'!$A:$A,'Import balance'!A124,'Suivi budgétaire'!$A:$A)+SUMIF('Suivi budgétaire'!$B:$B,'Import balance'!A124,'Suivi budgétaire'!$B:$B)+SUMIF('Suivi budgétaire'!$C:$C,'Import balance'!A124,'Suivi budgétaire'!$C:$C)+SUMIF('Suivi budgétaire'!$D:$D,'Import balance'!A124,'Suivi budgétaire'!$D:$D)+SUMIF('Suivi budgétaire'!$E:$E,'Import balance'!A124,'Suivi budgétaire'!$E:$E)))</f>
        <v/>
      </c>
    </row>
    <row r="125">
      <c r="A125" s="86"/>
      <c r="B125" s="86"/>
      <c r="C125" s="86"/>
      <c r="D125" s="86"/>
      <c r="E125" s="552">
        <f t="shared" si="370"/>
        <v>0</v>
      </c>
      <c r="F125" s="557" t="str">
        <f t="shared" si="371"/>
        <v/>
      </c>
      <c r="G125" s="553" t="str">
        <f t="shared" si="372"/>
        <v/>
      </c>
      <c r="I125" s="36" t="str">
        <f>IF(A125="","",IF(OR(F125=1,F125=2,F125=3,F125=4,F125=5),1,SUMIF('Suivi budgétaire'!$A:$A,'Import balance'!A125,'Suivi budgétaire'!$A:$A)+SUMIF('Suivi budgétaire'!$B:$B,'Import balance'!A125,'Suivi budgétaire'!$B:$B)+SUMIF('Suivi budgétaire'!$C:$C,'Import balance'!A125,'Suivi budgétaire'!$C:$C)+SUMIF('Suivi budgétaire'!$D:$D,'Import balance'!A125,'Suivi budgétaire'!$D:$D)+SUMIF('Suivi budgétaire'!$E:$E,'Import balance'!A125,'Suivi budgétaire'!$E:$E)))</f>
        <v/>
      </c>
    </row>
    <row r="126">
      <c r="A126" s="86"/>
      <c r="B126" s="86"/>
      <c r="C126" s="86"/>
      <c r="D126" s="86"/>
      <c r="E126" s="552">
        <f t="shared" si="370"/>
        <v>0</v>
      </c>
      <c r="F126" s="557" t="str">
        <f t="shared" si="371"/>
        <v/>
      </c>
      <c r="G126" s="553" t="str">
        <f t="shared" si="372"/>
        <v/>
      </c>
      <c r="I126" s="36" t="str">
        <f>IF(A126="","",IF(OR(F126=1,F126=2,F126=3,F126=4,F126=5),1,SUMIF('Suivi budgétaire'!$A:$A,'Import balance'!A126,'Suivi budgétaire'!$A:$A)+SUMIF('Suivi budgétaire'!$B:$B,'Import balance'!A126,'Suivi budgétaire'!$B:$B)+SUMIF('Suivi budgétaire'!$C:$C,'Import balance'!A126,'Suivi budgétaire'!$C:$C)+SUMIF('Suivi budgétaire'!$D:$D,'Import balance'!A126,'Suivi budgétaire'!$D:$D)+SUMIF('Suivi budgétaire'!$E:$E,'Import balance'!A126,'Suivi budgétaire'!$E:$E)))</f>
        <v/>
      </c>
    </row>
    <row r="127">
      <c r="A127" s="86"/>
      <c r="B127" s="86"/>
      <c r="C127" s="86"/>
      <c r="D127" s="86"/>
      <c r="E127" s="552">
        <f t="shared" si="370"/>
        <v>0</v>
      </c>
      <c r="F127" s="557" t="str">
        <f t="shared" si="371"/>
        <v/>
      </c>
      <c r="G127" s="553" t="str">
        <f t="shared" si="372"/>
        <v/>
      </c>
      <c r="I127" s="36" t="str">
        <f>IF(A127="","",IF(OR(F127=1,F127=2,F127=3,F127=4,F127=5),1,SUMIF('Suivi budgétaire'!$A:$A,'Import balance'!A127,'Suivi budgétaire'!$A:$A)+SUMIF('Suivi budgétaire'!$B:$B,'Import balance'!A127,'Suivi budgétaire'!$B:$B)+SUMIF('Suivi budgétaire'!$C:$C,'Import balance'!A127,'Suivi budgétaire'!$C:$C)+SUMIF('Suivi budgétaire'!$D:$D,'Import balance'!A127,'Suivi budgétaire'!$D:$D)+SUMIF('Suivi budgétaire'!$E:$E,'Import balance'!A127,'Suivi budgétaire'!$E:$E)))</f>
        <v/>
      </c>
    </row>
    <row r="128">
      <c r="A128" s="86"/>
      <c r="B128" s="86"/>
      <c r="C128" s="86"/>
      <c r="D128" s="86"/>
      <c r="E128" s="552">
        <f t="shared" si="370"/>
        <v>0</v>
      </c>
      <c r="F128" s="557" t="str">
        <f t="shared" si="371"/>
        <v/>
      </c>
      <c r="G128" s="553" t="str">
        <f t="shared" si="372"/>
        <v/>
      </c>
      <c r="I128" s="36" t="str">
        <f>IF(A128="","",IF(OR(F128=1,F128=2,F128=3,F128=4,F128=5),1,SUMIF('Suivi budgétaire'!$A:$A,'Import balance'!A128,'Suivi budgétaire'!$A:$A)+SUMIF('Suivi budgétaire'!$B:$B,'Import balance'!A128,'Suivi budgétaire'!$B:$B)+SUMIF('Suivi budgétaire'!$C:$C,'Import balance'!A128,'Suivi budgétaire'!$C:$C)+SUMIF('Suivi budgétaire'!$D:$D,'Import balance'!A128,'Suivi budgétaire'!$D:$D)+SUMIF('Suivi budgétaire'!$E:$E,'Import balance'!A128,'Suivi budgétaire'!$E:$E)))</f>
        <v/>
      </c>
    </row>
    <row r="129">
      <c r="A129" s="86"/>
      <c r="B129" s="86"/>
      <c r="C129" s="86"/>
      <c r="D129" s="86"/>
      <c r="E129" s="552">
        <f t="shared" si="370"/>
        <v>0</v>
      </c>
      <c r="F129" s="557" t="str">
        <f t="shared" si="371"/>
        <v/>
      </c>
      <c r="G129" s="553" t="str">
        <f t="shared" si="372"/>
        <v/>
      </c>
      <c r="I129" s="36" t="str">
        <f>IF(A129="","",IF(OR(F129=1,F129=2,F129=3,F129=4,F129=5),1,SUMIF('Suivi budgétaire'!$A:$A,'Import balance'!A129,'Suivi budgétaire'!$A:$A)+SUMIF('Suivi budgétaire'!$B:$B,'Import balance'!A129,'Suivi budgétaire'!$B:$B)+SUMIF('Suivi budgétaire'!$C:$C,'Import balance'!A129,'Suivi budgétaire'!$C:$C)+SUMIF('Suivi budgétaire'!$D:$D,'Import balance'!A129,'Suivi budgétaire'!$D:$D)+SUMIF('Suivi budgétaire'!$E:$E,'Import balance'!A129,'Suivi budgétaire'!$E:$E)))</f>
        <v/>
      </c>
    </row>
    <row r="130">
      <c r="A130" s="86"/>
      <c r="B130" s="86"/>
      <c r="C130" s="86"/>
      <c r="D130" s="86"/>
      <c r="E130" s="552">
        <f t="shared" si="370"/>
        <v>0</v>
      </c>
      <c r="F130" s="557" t="str">
        <f t="shared" si="371"/>
        <v/>
      </c>
      <c r="G130" s="553" t="str">
        <f t="shared" si="372"/>
        <v/>
      </c>
      <c r="I130" s="36" t="str">
        <f>IF(A130="","",IF(OR(F130=1,F130=2,F130=3,F130=4,F130=5),1,SUMIF('Suivi budgétaire'!$A:$A,'Import balance'!A130,'Suivi budgétaire'!$A:$A)+SUMIF('Suivi budgétaire'!$B:$B,'Import balance'!A130,'Suivi budgétaire'!$B:$B)+SUMIF('Suivi budgétaire'!$C:$C,'Import balance'!A130,'Suivi budgétaire'!$C:$C)+SUMIF('Suivi budgétaire'!$D:$D,'Import balance'!A130,'Suivi budgétaire'!$D:$D)+SUMIF('Suivi budgétaire'!$E:$E,'Import balance'!A130,'Suivi budgétaire'!$E:$E)))</f>
        <v/>
      </c>
    </row>
    <row r="131">
      <c r="A131" s="86"/>
      <c r="B131" s="86"/>
      <c r="C131" s="86"/>
      <c r="D131" s="86"/>
      <c r="E131" s="552">
        <f t="shared" si="370"/>
        <v>0</v>
      </c>
      <c r="F131" s="557" t="str">
        <f t="shared" si="371"/>
        <v/>
      </c>
      <c r="G131" s="553" t="str">
        <f t="shared" si="372"/>
        <v/>
      </c>
      <c r="I131" s="36" t="str">
        <f>IF(A131="","",IF(OR(F131=1,F131=2,F131=3,F131=4,F131=5),1,SUMIF('Suivi budgétaire'!$A:$A,'Import balance'!A131,'Suivi budgétaire'!$A:$A)+SUMIF('Suivi budgétaire'!$B:$B,'Import balance'!A131,'Suivi budgétaire'!$B:$B)+SUMIF('Suivi budgétaire'!$C:$C,'Import balance'!A131,'Suivi budgétaire'!$C:$C)+SUMIF('Suivi budgétaire'!$D:$D,'Import balance'!A131,'Suivi budgétaire'!$D:$D)+SUMIF('Suivi budgétaire'!$E:$E,'Import balance'!A131,'Suivi budgétaire'!$E:$E)))</f>
        <v/>
      </c>
    </row>
    <row r="132">
      <c r="A132" s="86"/>
      <c r="B132" s="86"/>
      <c r="C132" s="86"/>
      <c r="D132" s="86"/>
      <c r="E132" s="552">
        <f t="shared" si="370"/>
        <v>0</v>
      </c>
      <c r="F132" s="557" t="str">
        <f t="shared" si="371"/>
        <v/>
      </c>
      <c r="G132" s="553" t="str">
        <f t="shared" si="372"/>
        <v/>
      </c>
      <c r="I132" s="36" t="str">
        <f>IF(A132="","",IF(OR(F132=1,F132=2,F132=3,F132=4,F132=5),1,SUMIF('Suivi budgétaire'!$A:$A,'Import balance'!A132,'Suivi budgétaire'!$A:$A)+SUMIF('Suivi budgétaire'!$B:$B,'Import balance'!A132,'Suivi budgétaire'!$B:$B)+SUMIF('Suivi budgétaire'!$C:$C,'Import balance'!A132,'Suivi budgétaire'!$C:$C)+SUMIF('Suivi budgétaire'!$D:$D,'Import balance'!A132,'Suivi budgétaire'!$D:$D)+SUMIF('Suivi budgétaire'!$E:$E,'Import balance'!A132,'Suivi budgétaire'!$E:$E)))</f>
        <v/>
      </c>
    </row>
    <row r="133">
      <c r="A133" s="86"/>
      <c r="B133" s="86"/>
      <c r="C133" s="86"/>
      <c r="D133" s="86"/>
      <c r="E133" s="552">
        <f t="shared" ref="E133:E196" si="373">C133-D133</f>
        <v>0</v>
      </c>
      <c r="F133" s="557" t="str">
        <f t="shared" si="371"/>
        <v/>
      </c>
      <c r="G133" s="553" t="str">
        <f t="shared" si="372"/>
        <v/>
      </c>
      <c r="I133" s="36" t="str">
        <f>IF(A133="","",IF(OR(F133=1,F133=2,F133=3,F133=4,F133=5),1,SUMIF('Suivi budgétaire'!$A:$A,'Import balance'!A133,'Suivi budgétaire'!$A:$A)+SUMIF('Suivi budgétaire'!$B:$B,'Import balance'!A133,'Suivi budgétaire'!$B:$B)+SUMIF('Suivi budgétaire'!$C:$C,'Import balance'!A133,'Suivi budgétaire'!$C:$C)+SUMIF('Suivi budgétaire'!$D:$D,'Import balance'!A133,'Suivi budgétaire'!$D:$D)+SUMIF('Suivi budgétaire'!$E:$E,'Import balance'!A133,'Suivi budgétaire'!$E:$E)))</f>
        <v/>
      </c>
    </row>
    <row r="134">
      <c r="A134" s="86"/>
      <c r="B134" s="86"/>
      <c r="C134" s="86"/>
      <c r="D134" s="86"/>
      <c r="E134" s="552">
        <f t="shared" si="373"/>
        <v>0</v>
      </c>
      <c r="F134" s="557" t="str">
        <f t="shared" si="371"/>
        <v/>
      </c>
      <c r="G134" s="553" t="str">
        <f t="shared" si="372"/>
        <v/>
      </c>
      <c r="I134" s="36" t="str">
        <f>IF(A134="","",IF(OR(F134=1,F134=2,F134=3,F134=4,F134=5),1,SUMIF('Suivi budgétaire'!$A:$A,'Import balance'!A134,'Suivi budgétaire'!$A:$A)+SUMIF('Suivi budgétaire'!$B:$B,'Import balance'!A134,'Suivi budgétaire'!$B:$B)+SUMIF('Suivi budgétaire'!$C:$C,'Import balance'!A134,'Suivi budgétaire'!$C:$C)+SUMIF('Suivi budgétaire'!$D:$D,'Import balance'!A134,'Suivi budgétaire'!$D:$D)+SUMIF('Suivi budgétaire'!$E:$E,'Import balance'!A134,'Suivi budgétaire'!$E:$E)))</f>
        <v/>
      </c>
    </row>
    <row r="135">
      <c r="A135" s="86"/>
      <c r="B135" s="86"/>
      <c r="C135" s="86"/>
      <c r="D135" s="86"/>
      <c r="E135" s="552">
        <f t="shared" si="373"/>
        <v>0</v>
      </c>
      <c r="F135" s="557" t="str">
        <f t="shared" si="371"/>
        <v/>
      </c>
      <c r="G135" s="553" t="str">
        <f t="shared" si="372"/>
        <v/>
      </c>
      <c r="I135" s="36" t="str">
        <f>IF(A135="","",IF(OR(F135=1,F135=2,F135=3,F135=4,F135=5),1,SUMIF('Suivi budgétaire'!$A:$A,'Import balance'!A135,'Suivi budgétaire'!$A:$A)+SUMIF('Suivi budgétaire'!$B:$B,'Import balance'!A135,'Suivi budgétaire'!$B:$B)+SUMIF('Suivi budgétaire'!$C:$C,'Import balance'!A135,'Suivi budgétaire'!$C:$C)+SUMIF('Suivi budgétaire'!$D:$D,'Import balance'!A135,'Suivi budgétaire'!$D:$D)+SUMIF('Suivi budgétaire'!$E:$E,'Import balance'!A135,'Suivi budgétaire'!$E:$E)))</f>
        <v/>
      </c>
    </row>
    <row r="136">
      <c r="A136" s="86"/>
      <c r="B136" s="86"/>
      <c r="C136" s="86"/>
      <c r="D136" s="86"/>
      <c r="E136" s="552">
        <f t="shared" si="373"/>
        <v>0</v>
      </c>
      <c r="F136" s="557" t="str">
        <f t="shared" si="371"/>
        <v/>
      </c>
      <c r="G136" s="553" t="str">
        <f t="shared" si="372"/>
        <v/>
      </c>
      <c r="I136" s="36" t="str">
        <f>IF(A136="","",IF(OR(F136=1,F136=2,F136=3,F136=4,F136=5),1,SUMIF('Suivi budgétaire'!$A:$A,'Import balance'!A136,'Suivi budgétaire'!$A:$A)+SUMIF('Suivi budgétaire'!$B:$B,'Import balance'!A136,'Suivi budgétaire'!$B:$B)+SUMIF('Suivi budgétaire'!$C:$C,'Import balance'!A136,'Suivi budgétaire'!$C:$C)+SUMIF('Suivi budgétaire'!$D:$D,'Import balance'!A136,'Suivi budgétaire'!$D:$D)+SUMIF('Suivi budgétaire'!$E:$E,'Import balance'!A136,'Suivi budgétaire'!$E:$E)))</f>
        <v/>
      </c>
    </row>
    <row r="137">
      <c r="A137" s="86"/>
      <c r="B137" s="86"/>
      <c r="C137" s="86"/>
      <c r="D137" s="86"/>
      <c r="E137" s="552">
        <f t="shared" si="373"/>
        <v>0</v>
      </c>
      <c r="F137" s="557" t="str">
        <f t="shared" si="371"/>
        <v/>
      </c>
      <c r="G137" s="553" t="str">
        <f t="shared" si="372"/>
        <v/>
      </c>
      <c r="I137" s="36" t="str">
        <f>IF(A137="","",IF(OR(F137=1,F137=2,F137=3,F137=4,F137=5),1,SUMIF('Suivi budgétaire'!$A:$A,'Import balance'!A137,'Suivi budgétaire'!$A:$A)+SUMIF('Suivi budgétaire'!$B:$B,'Import balance'!A137,'Suivi budgétaire'!$B:$B)+SUMIF('Suivi budgétaire'!$C:$C,'Import balance'!A137,'Suivi budgétaire'!$C:$C)+SUMIF('Suivi budgétaire'!$D:$D,'Import balance'!A137,'Suivi budgétaire'!$D:$D)+SUMIF('Suivi budgétaire'!$E:$E,'Import balance'!A137,'Suivi budgétaire'!$E:$E)))</f>
        <v/>
      </c>
    </row>
    <row r="138">
      <c r="A138" s="86"/>
      <c r="B138" s="86"/>
      <c r="C138" s="86"/>
      <c r="D138" s="86"/>
      <c r="E138" s="552">
        <f t="shared" si="373"/>
        <v>0</v>
      </c>
      <c r="F138" s="557" t="str">
        <f t="shared" si="371"/>
        <v/>
      </c>
      <c r="G138" s="553" t="str">
        <f t="shared" si="372"/>
        <v/>
      </c>
      <c r="I138" s="36" t="str">
        <f>IF(A138="","",IF(OR(F138=1,F138=2,F138=3,F138=4,F138=5),1,SUMIF('Suivi budgétaire'!$A:$A,'Import balance'!A138,'Suivi budgétaire'!$A:$A)+SUMIF('Suivi budgétaire'!$B:$B,'Import balance'!A138,'Suivi budgétaire'!$B:$B)+SUMIF('Suivi budgétaire'!$C:$C,'Import balance'!A138,'Suivi budgétaire'!$C:$C)+SUMIF('Suivi budgétaire'!$D:$D,'Import balance'!A138,'Suivi budgétaire'!$D:$D)+SUMIF('Suivi budgétaire'!$E:$E,'Import balance'!A138,'Suivi budgétaire'!$E:$E)))</f>
        <v/>
      </c>
    </row>
    <row r="139">
      <c r="A139" s="86"/>
      <c r="B139" s="86"/>
      <c r="C139" s="86"/>
      <c r="D139" s="86"/>
      <c r="E139" s="552">
        <f t="shared" si="373"/>
        <v>0</v>
      </c>
      <c r="F139" s="557" t="str">
        <f t="shared" si="371"/>
        <v/>
      </c>
      <c r="G139" s="553" t="str">
        <f t="shared" si="372"/>
        <v/>
      </c>
      <c r="I139" s="36" t="str">
        <f>IF(A139="","",IF(OR(F139=1,F139=2,F139=3,F139=4,F139=5),1,SUMIF('Suivi budgétaire'!$A:$A,'Import balance'!A139,'Suivi budgétaire'!$A:$A)+SUMIF('Suivi budgétaire'!$B:$B,'Import balance'!A139,'Suivi budgétaire'!$B:$B)+SUMIF('Suivi budgétaire'!$C:$C,'Import balance'!A139,'Suivi budgétaire'!$C:$C)+SUMIF('Suivi budgétaire'!$D:$D,'Import balance'!A139,'Suivi budgétaire'!$D:$D)+SUMIF('Suivi budgétaire'!$E:$E,'Import balance'!A139,'Suivi budgétaire'!$E:$E)))</f>
        <v/>
      </c>
    </row>
    <row r="140">
      <c r="A140" s="86"/>
      <c r="B140" s="86"/>
      <c r="C140" s="86"/>
      <c r="D140" s="86"/>
      <c r="E140" s="552">
        <f t="shared" si="373"/>
        <v>0</v>
      </c>
      <c r="F140" s="557" t="str">
        <f t="shared" si="371"/>
        <v/>
      </c>
      <c r="G140" s="553" t="str">
        <f t="shared" si="372"/>
        <v/>
      </c>
      <c r="I140" s="36" t="str">
        <f>IF(A140="","",IF(OR(F140=1,F140=2,F140=3,F140=4,F140=5),1,SUMIF('Suivi budgétaire'!$A:$A,'Import balance'!A140,'Suivi budgétaire'!$A:$A)+SUMIF('Suivi budgétaire'!$B:$B,'Import balance'!A140,'Suivi budgétaire'!$B:$B)+SUMIF('Suivi budgétaire'!$C:$C,'Import balance'!A140,'Suivi budgétaire'!$C:$C)+SUMIF('Suivi budgétaire'!$D:$D,'Import balance'!A140,'Suivi budgétaire'!$D:$D)+SUMIF('Suivi budgétaire'!$E:$E,'Import balance'!A140,'Suivi budgétaire'!$E:$E)))</f>
        <v/>
      </c>
    </row>
    <row r="141">
      <c r="A141" s="86"/>
      <c r="B141" s="86"/>
      <c r="C141" s="86"/>
      <c r="D141" s="86"/>
      <c r="E141" s="552">
        <f t="shared" si="373"/>
        <v>0</v>
      </c>
      <c r="F141" s="557" t="str">
        <f t="shared" si="371"/>
        <v/>
      </c>
      <c r="G141" s="553" t="str">
        <f t="shared" si="372"/>
        <v/>
      </c>
      <c r="I141" s="36" t="str">
        <f>IF(A141="","",IF(OR(F141=1,F141=2,F141=3,F141=4,F141=5),1,SUMIF('Suivi budgétaire'!$A:$A,'Import balance'!A141,'Suivi budgétaire'!$A:$A)+SUMIF('Suivi budgétaire'!$B:$B,'Import balance'!A141,'Suivi budgétaire'!$B:$B)+SUMIF('Suivi budgétaire'!$C:$C,'Import balance'!A141,'Suivi budgétaire'!$C:$C)+SUMIF('Suivi budgétaire'!$D:$D,'Import balance'!A141,'Suivi budgétaire'!$D:$D)+SUMIF('Suivi budgétaire'!$E:$E,'Import balance'!A141,'Suivi budgétaire'!$E:$E)))</f>
        <v/>
      </c>
    </row>
    <row r="142">
      <c r="A142" s="86"/>
      <c r="B142" s="86"/>
      <c r="C142" s="86"/>
      <c r="D142" s="86"/>
      <c r="E142" s="552">
        <f t="shared" si="373"/>
        <v>0</v>
      </c>
      <c r="F142" s="557" t="str">
        <f t="shared" si="371"/>
        <v/>
      </c>
      <c r="G142" s="553" t="str">
        <f t="shared" si="372"/>
        <v/>
      </c>
      <c r="I142" s="36" t="str">
        <f>IF(A142="","",IF(OR(F142=1,F142=2,F142=3,F142=4,F142=5),1,SUMIF('Suivi budgétaire'!$A:$A,'Import balance'!A142,'Suivi budgétaire'!$A:$A)+SUMIF('Suivi budgétaire'!$B:$B,'Import balance'!A142,'Suivi budgétaire'!$B:$B)+SUMIF('Suivi budgétaire'!$C:$C,'Import balance'!A142,'Suivi budgétaire'!$C:$C)+SUMIF('Suivi budgétaire'!$D:$D,'Import balance'!A142,'Suivi budgétaire'!$D:$D)+SUMIF('Suivi budgétaire'!$E:$E,'Import balance'!A142,'Suivi budgétaire'!$E:$E)))</f>
        <v/>
      </c>
    </row>
    <row r="143">
      <c r="A143" s="86"/>
      <c r="B143" s="86"/>
      <c r="C143" s="86"/>
      <c r="D143" s="86"/>
      <c r="E143" s="552">
        <f t="shared" si="373"/>
        <v>0</v>
      </c>
      <c r="F143" s="557" t="str">
        <f t="shared" si="371"/>
        <v/>
      </c>
      <c r="G143" s="553" t="str">
        <f t="shared" si="372"/>
        <v/>
      </c>
      <c r="I143" s="36" t="str">
        <f>IF(A143="","",IF(OR(F143=1,F143=2,F143=3,F143=4,F143=5),1,SUMIF('Suivi budgétaire'!$A:$A,'Import balance'!A143,'Suivi budgétaire'!$A:$A)+SUMIF('Suivi budgétaire'!$B:$B,'Import balance'!A143,'Suivi budgétaire'!$B:$B)+SUMIF('Suivi budgétaire'!$C:$C,'Import balance'!A143,'Suivi budgétaire'!$C:$C)+SUMIF('Suivi budgétaire'!$D:$D,'Import balance'!A143,'Suivi budgétaire'!$D:$D)+SUMIF('Suivi budgétaire'!$E:$E,'Import balance'!A143,'Suivi budgétaire'!$E:$E)))</f>
        <v/>
      </c>
    </row>
    <row r="144">
      <c r="A144" s="86"/>
      <c r="B144" s="86"/>
      <c r="C144" s="86"/>
      <c r="D144" s="86"/>
      <c r="E144" s="552">
        <f t="shared" si="373"/>
        <v>0</v>
      </c>
      <c r="F144" s="557" t="str">
        <f t="shared" si="371"/>
        <v/>
      </c>
      <c r="G144" s="553" t="str">
        <f t="shared" si="372"/>
        <v/>
      </c>
      <c r="I144" s="36" t="str">
        <f>IF(A144="","",IF(OR(F144=1,F144=2,F144=3,F144=4,F144=5),1,SUMIF('Suivi budgétaire'!$A:$A,'Import balance'!A144,'Suivi budgétaire'!$A:$A)+SUMIF('Suivi budgétaire'!$B:$B,'Import balance'!A144,'Suivi budgétaire'!$B:$B)+SUMIF('Suivi budgétaire'!$C:$C,'Import balance'!A144,'Suivi budgétaire'!$C:$C)+SUMIF('Suivi budgétaire'!$D:$D,'Import balance'!A144,'Suivi budgétaire'!$D:$D)+SUMIF('Suivi budgétaire'!$E:$E,'Import balance'!A144,'Suivi budgétaire'!$E:$E)))</f>
        <v/>
      </c>
    </row>
    <row r="145">
      <c r="A145" s="86"/>
      <c r="B145" s="86"/>
      <c r="C145" s="86"/>
      <c r="D145" s="86"/>
      <c r="E145" s="552">
        <f t="shared" si="373"/>
        <v>0</v>
      </c>
      <c r="F145" s="557" t="str">
        <f t="shared" si="371"/>
        <v/>
      </c>
      <c r="G145" s="553" t="str">
        <f t="shared" si="372"/>
        <v/>
      </c>
      <c r="I145" s="36" t="str">
        <f>IF(A145="","",IF(OR(F145=1,F145=2,F145=3,F145=4,F145=5),1,SUMIF('Suivi budgétaire'!$A:$A,'Import balance'!A145,'Suivi budgétaire'!$A:$A)+SUMIF('Suivi budgétaire'!$B:$B,'Import balance'!A145,'Suivi budgétaire'!$B:$B)+SUMIF('Suivi budgétaire'!$C:$C,'Import balance'!A145,'Suivi budgétaire'!$C:$C)+SUMIF('Suivi budgétaire'!$D:$D,'Import balance'!A145,'Suivi budgétaire'!$D:$D)+SUMIF('Suivi budgétaire'!$E:$E,'Import balance'!A145,'Suivi budgétaire'!$E:$E)))</f>
        <v/>
      </c>
    </row>
    <row r="146">
      <c r="A146" s="86"/>
      <c r="B146" s="86"/>
      <c r="C146" s="86"/>
      <c r="D146" s="86"/>
      <c r="E146" s="552">
        <f t="shared" si="373"/>
        <v>0</v>
      </c>
      <c r="F146" s="557" t="str">
        <f t="shared" si="371"/>
        <v/>
      </c>
      <c r="G146" s="553" t="str">
        <f t="shared" si="372"/>
        <v/>
      </c>
      <c r="I146" s="36" t="str">
        <f>IF(A146="","",IF(OR(F146=1,F146=2,F146=3,F146=4,F146=5),1,SUMIF('Suivi budgétaire'!$A:$A,'Import balance'!A146,'Suivi budgétaire'!$A:$A)+SUMIF('Suivi budgétaire'!$B:$B,'Import balance'!A146,'Suivi budgétaire'!$B:$B)+SUMIF('Suivi budgétaire'!$C:$C,'Import balance'!A146,'Suivi budgétaire'!$C:$C)+SUMIF('Suivi budgétaire'!$D:$D,'Import balance'!A146,'Suivi budgétaire'!$D:$D)+SUMIF('Suivi budgétaire'!$E:$E,'Import balance'!A146,'Suivi budgétaire'!$E:$E)))</f>
        <v/>
      </c>
    </row>
    <row r="147">
      <c r="A147" s="86"/>
      <c r="B147" s="86"/>
      <c r="C147" s="86"/>
      <c r="D147" s="86"/>
      <c r="E147" s="552">
        <f t="shared" si="373"/>
        <v>0</v>
      </c>
      <c r="F147" s="557" t="str">
        <f t="shared" si="371"/>
        <v/>
      </c>
      <c r="G147" s="553" t="str">
        <f t="shared" si="372"/>
        <v/>
      </c>
      <c r="I147" s="36" t="str">
        <f>IF(A147="","",IF(OR(F147=1,F147=2,F147=3,F147=4,F147=5),1,SUMIF('Suivi budgétaire'!$A:$A,'Import balance'!A147,'Suivi budgétaire'!$A:$A)+SUMIF('Suivi budgétaire'!$B:$B,'Import balance'!A147,'Suivi budgétaire'!$B:$B)+SUMIF('Suivi budgétaire'!$C:$C,'Import balance'!A147,'Suivi budgétaire'!$C:$C)+SUMIF('Suivi budgétaire'!$D:$D,'Import balance'!A147,'Suivi budgétaire'!$D:$D)+SUMIF('Suivi budgétaire'!$E:$E,'Import balance'!A147,'Suivi budgétaire'!$E:$E)))</f>
        <v/>
      </c>
    </row>
    <row r="148">
      <c r="A148" s="86"/>
      <c r="B148" s="86"/>
      <c r="C148" s="86"/>
      <c r="D148" s="86"/>
      <c r="E148" s="552">
        <f t="shared" si="373"/>
        <v>0</v>
      </c>
      <c r="F148" s="557" t="str">
        <f t="shared" si="371"/>
        <v/>
      </c>
      <c r="G148" s="553" t="str">
        <f t="shared" si="372"/>
        <v/>
      </c>
      <c r="I148" s="36" t="str">
        <f>IF(A148="","",IF(OR(F148=1,F148=2,F148=3,F148=4,F148=5),1,SUMIF('Suivi budgétaire'!$A:$A,'Import balance'!A148,'Suivi budgétaire'!$A:$A)+SUMIF('Suivi budgétaire'!$B:$B,'Import balance'!A148,'Suivi budgétaire'!$B:$B)+SUMIF('Suivi budgétaire'!$C:$C,'Import balance'!A148,'Suivi budgétaire'!$C:$C)+SUMIF('Suivi budgétaire'!$D:$D,'Import balance'!A148,'Suivi budgétaire'!$D:$D)+SUMIF('Suivi budgétaire'!$E:$E,'Import balance'!A148,'Suivi budgétaire'!$E:$E)))</f>
        <v/>
      </c>
    </row>
    <row r="149">
      <c r="A149" s="86"/>
      <c r="B149" s="86"/>
      <c r="C149" s="86"/>
      <c r="D149" s="86"/>
      <c r="E149" s="552">
        <f t="shared" si="373"/>
        <v>0</v>
      </c>
      <c r="F149" s="557" t="str">
        <f t="shared" si="371"/>
        <v/>
      </c>
      <c r="G149" s="553" t="str">
        <f t="shared" si="372"/>
        <v/>
      </c>
      <c r="I149" s="36" t="str">
        <f>IF(A149="","",IF(OR(F149=1,F149=2,F149=3,F149=4,F149=5),1,SUMIF('Suivi budgétaire'!$A:$A,'Import balance'!A149,'Suivi budgétaire'!$A:$A)+SUMIF('Suivi budgétaire'!$B:$B,'Import balance'!A149,'Suivi budgétaire'!$B:$B)+SUMIF('Suivi budgétaire'!$C:$C,'Import balance'!A149,'Suivi budgétaire'!$C:$C)+SUMIF('Suivi budgétaire'!$D:$D,'Import balance'!A149,'Suivi budgétaire'!$D:$D)+SUMIF('Suivi budgétaire'!$E:$E,'Import balance'!A149,'Suivi budgétaire'!$E:$E)))</f>
        <v/>
      </c>
    </row>
    <row r="150">
      <c r="A150" s="86"/>
      <c r="B150" s="86"/>
      <c r="C150" s="86"/>
      <c r="D150" s="86"/>
      <c r="E150" s="552">
        <f t="shared" si="373"/>
        <v>0</v>
      </c>
      <c r="F150" s="557" t="str">
        <f t="shared" si="371"/>
        <v/>
      </c>
      <c r="G150" s="553" t="str">
        <f t="shared" si="372"/>
        <v/>
      </c>
      <c r="I150" s="36" t="str">
        <f>IF(A150="","",IF(OR(F150=1,F150=2,F150=3,F150=4,F150=5),1,SUMIF('Suivi budgétaire'!$A:$A,'Import balance'!A150,'Suivi budgétaire'!$A:$A)+SUMIF('Suivi budgétaire'!$B:$B,'Import balance'!A150,'Suivi budgétaire'!$B:$B)+SUMIF('Suivi budgétaire'!$C:$C,'Import balance'!A150,'Suivi budgétaire'!$C:$C)+SUMIF('Suivi budgétaire'!$D:$D,'Import balance'!A150,'Suivi budgétaire'!$D:$D)+SUMIF('Suivi budgétaire'!$E:$E,'Import balance'!A150,'Suivi budgétaire'!$E:$E)))</f>
        <v/>
      </c>
    </row>
    <row r="151">
      <c r="A151" s="86"/>
      <c r="B151" s="86"/>
      <c r="C151" s="86"/>
      <c r="D151" s="86"/>
      <c r="E151" s="552">
        <f t="shared" si="373"/>
        <v>0</v>
      </c>
      <c r="F151" s="557" t="str">
        <f t="shared" si="371"/>
        <v/>
      </c>
      <c r="G151" s="553" t="str">
        <f t="shared" si="372"/>
        <v/>
      </c>
      <c r="I151" s="36" t="str">
        <f>IF(A151="","",IF(OR(F151=1,F151=2,F151=3,F151=4,F151=5),1,SUMIF('Suivi budgétaire'!$A:$A,'Import balance'!A151,'Suivi budgétaire'!$A:$A)+SUMIF('Suivi budgétaire'!$B:$B,'Import balance'!A151,'Suivi budgétaire'!$B:$B)+SUMIF('Suivi budgétaire'!$C:$C,'Import balance'!A151,'Suivi budgétaire'!$C:$C)+SUMIF('Suivi budgétaire'!$D:$D,'Import balance'!A151,'Suivi budgétaire'!$D:$D)+SUMIF('Suivi budgétaire'!$E:$E,'Import balance'!A151,'Suivi budgétaire'!$E:$E)))</f>
        <v/>
      </c>
    </row>
    <row r="152">
      <c r="A152" s="86"/>
      <c r="B152" s="86"/>
      <c r="C152" s="86"/>
      <c r="D152" s="86"/>
      <c r="E152" s="552">
        <f t="shared" si="373"/>
        <v>0</v>
      </c>
      <c r="F152" s="557" t="str">
        <f t="shared" si="371"/>
        <v/>
      </c>
      <c r="G152" s="553" t="str">
        <f t="shared" si="372"/>
        <v/>
      </c>
      <c r="I152" s="36" t="str">
        <f>IF(A152="","",IF(OR(F152=1,F152=2,F152=3,F152=4,F152=5),1,SUMIF('Suivi budgétaire'!$A:$A,'Import balance'!A152,'Suivi budgétaire'!$A:$A)+SUMIF('Suivi budgétaire'!$B:$B,'Import balance'!A152,'Suivi budgétaire'!$B:$B)+SUMIF('Suivi budgétaire'!$C:$C,'Import balance'!A152,'Suivi budgétaire'!$C:$C)+SUMIF('Suivi budgétaire'!$D:$D,'Import balance'!A152,'Suivi budgétaire'!$D:$D)+SUMIF('Suivi budgétaire'!$E:$E,'Import balance'!A152,'Suivi budgétaire'!$E:$E)))</f>
        <v/>
      </c>
    </row>
    <row r="153">
      <c r="A153" s="86"/>
      <c r="B153" s="86"/>
      <c r="C153" s="86"/>
      <c r="D153" s="86"/>
      <c r="E153" s="552">
        <f t="shared" si="373"/>
        <v>0</v>
      </c>
      <c r="F153" s="557" t="str">
        <f t="shared" si="371"/>
        <v/>
      </c>
      <c r="G153" s="553" t="str">
        <f t="shared" si="372"/>
        <v/>
      </c>
      <c r="I153" s="36" t="str">
        <f>IF(A153="","",IF(OR(F153=1,F153=2,F153=3,F153=4,F153=5),1,SUMIF('Suivi budgétaire'!$A:$A,'Import balance'!A153,'Suivi budgétaire'!$A:$A)+SUMIF('Suivi budgétaire'!$B:$B,'Import balance'!A153,'Suivi budgétaire'!$B:$B)+SUMIF('Suivi budgétaire'!$C:$C,'Import balance'!A153,'Suivi budgétaire'!$C:$C)+SUMIF('Suivi budgétaire'!$D:$D,'Import balance'!A153,'Suivi budgétaire'!$D:$D)+SUMIF('Suivi budgétaire'!$E:$E,'Import balance'!A153,'Suivi budgétaire'!$E:$E)))</f>
        <v/>
      </c>
    </row>
    <row r="154">
      <c r="A154" s="86"/>
      <c r="B154" s="86"/>
      <c r="C154" s="86"/>
      <c r="D154" s="86"/>
      <c r="E154" s="552">
        <f t="shared" si="373"/>
        <v>0</v>
      </c>
      <c r="F154" s="557" t="str">
        <f t="shared" si="371"/>
        <v/>
      </c>
      <c r="G154" s="553" t="str">
        <f t="shared" si="372"/>
        <v/>
      </c>
      <c r="I154" s="36" t="str">
        <f>IF(A154="","",IF(OR(F154=1,F154=2,F154=3,F154=4,F154=5),1,SUMIF('Suivi budgétaire'!$A:$A,'Import balance'!A154,'Suivi budgétaire'!$A:$A)+SUMIF('Suivi budgétaire'!$B:$B,'Import balance'!A154,'Suivi budgétaire'!$B:$B)+SUMIF('Suivi budgétaire'!$C:$C,'Import balance'!A154,'Suivi budgétaire'!$C:$C)+SUMIF('Suivi budgétaire'!$D:$D,'Import balance'!A154,'Suivi budgétaire'!$D:$D)+SUMIF('Suivi budgétaire'!$E:$E,'Import balance'!A154,'Suivi budgétaire'!$E:$E)))</f>
        <v/>
      </c>
    </row>
    <row r="155">
      <c r="A155" s="86"/>
      <c r="B155" s="86"/>
      <c r="C155" s="86"/>
      <c r="D155" s="86"/>
      <c r="E155" s="552">
        <f t="shared" si="373"/>
        <v>0</v>
      </c>
      <c r="F155" s="557" t="str">
        <f t="shared" si="371"/>
        <v/>
      </c>
      <c r="G155" s="553" t="str">
        <f t="shared" si="372"/>
        <v/>
      </c>
      <c r="I155" s="36" t="str">
        <f>IF(A155="","",IF(OR(F155=1,F155=2,F155=3,F155=4,F155=5),1,SUMIF('Suivi budgétaire'!$A:$A,'Import balance'!A155,'Suivi budgétaire'!$A:$A)+SUMIF('Suivi budgétaire'!$B:$B,'Import balance'!A155,'Suivi budgétaire'!$B:$B)+SUMIF('Suivi budgétaire'!$C:$C,'Import balance'!A155,'Suivi budgétaire'!$C:$C)+SUMIF('Suivi budgétaire'!$D:$D,'Import balance'!A155,'Suivi budgétaire'!$D:$D)+SUMIF('Suivi budgétaire'!$E:$E,'Import balance'!A155,'Suivi budgétaire'!$E:$E)))</f>
        <v/>
      </c>
    </row>
    <row r="156">
      <c r="A156" s="86"/>
      <c r="B156" s="86"/>
      <c r="C156" s="86"/>
      <c r="D156" s="86"/>
      <c r="E156" s="552">
        <f t="shared" si="373"/>
        <v>0</v>
      </c>
      <c r="F156" s="557" t="str">
        <f t="shared" si="371"/>
        <v/>
      </c>
      <c r="G156" s="553" t="str">
        <f t="shared" si="372"/>
        <v/>
      </c>
      <c r="I156" s="36" t="str">
        <f>IF(A156="","",IF(OR(F156=1,F156=2,F156=3,F156=4,F156=5),1,SUMIF('Suivi budgétaire'!$A:$A,'Import balance'!A156,'Suivi budgétaire'!$A:$A)+SUMIF('Suivi budgétaire'!$B:$B,'Import balance'!A156,'Suivi budgétaire'!$B:$B)+SUMIF('Suivi budgétaire'!$C:$C,'Import balance'!A156,'Suivi budgétaire'!$C:$C)+SUMIF('Suivi budgétaire'!$D:$D,'Import balance'!A156,'Suivi budgétaire'!$D:$D)+SUMIF('Suivi budgétaire'!$E:$E,'Import balance'!A156,'Suivi budgétaire'!$E:$E)))</f>
        <v/>
      </c>
    </row>
    <row r="157">
      <c r="A157" s="86"/>
      <c r="B157" s="86"/>
      <c r="C157" s="86"/>
      <c r="D157" s="86"/>
      <c r="E157" s="552">
        <f t="shared" si="373"/>
        <v>0</v>
      </c>
      <c r="F157" s="557" t="str">
        <f t="shared" si="371"/>
        <v/>
      </c>
      <c r="G157" s="553" t="str">
        <f t="shared" si="372"/>
        <v/>
      </c>
      <c r="I157" s="36" t="str">
        <f>IF(A157="","",IF(OR(F157=1,F157=2,F157=3,F157=4,F157=5),1,SUMIF('Suivi budgétaire'!$A:$A,'Import balance'!A157,'Suivi budgétaire'!$A:$A)+SUMIF('Suivi budgétaire'!$B:$B,'Import balance'!A157,'Suivi budgétaire'!$B:$B)+SUMIF('Suivi budgétaire'!$C:$C,'Import balance'!A157,'Suivi budgétaire'!$C:$C)+SUMIF('Suivi budgétaire'!$D:$D,'Import balance'!A157,'Suivi budgétaire'!$D:$D)+SUMIF('Suivi budgétaire'!$E:$E,'Import balance'!A157,'Suivi budgétaire'!$E:$E)))</f>
        <v/>
      </c>
    </row>
    <row r="158">
      <c r="A158" s="86"/>
      <c r="B158" s="86"/>
      <c r="C158" s="86"/>
      <c r="D158" s="86"/>
      <c r="E158" s="552">
        <f t="shared" si="373"/>
        <v>0</v>
      </c>
      <c r="F158" s="557" t="str">
        <f t="shared" si="371"/>
        <v/>
      </c>
      <c r="G158" s="553" t="str">
        <f t="shared" si="372"/>
        <v/>
      </c>
      <c r="I158" s="36" t="str">
        <f>IF(A158="","",IF(OR(F158=1,F158=2,F158=3,F158=4,F158=5),1,SUMIF('Suivi budgétaire'!$A:$A,'Import balance'!A158,'Suivi budgétaire'!$A:$A)+SUMIF('Suivi budgétaire'!$B:$B,'Import balance'!A158,'Suivi budgétaire'!$B:$B)+SUMIF('Suivi budgétaire'!$C:$C,'Import balance'!A158,'Suivi budgétaire'!$C:$C)+SUMIF('Suivi budgétaire'!$D:$D,'Import balance'!A158,'Suivi budgétaire'!$D:$D)+SUMIF('Suivi budgétaire'!$E:$E,'Import balance'!A158,'Suivi budgétaire'!$E:$E)))</f>
        <v/>
      </c>
    </row>
    <row r="159">
      <c r="A159" s="86"/>
      <c r="B159" s="86"/>
      <c r="C159" s="86"/>
      <c r="D159" s="86"/>
      <c r="E159" s="552">
        <f t="shared" si="373"/>
        <v>0</v>
      </c>
      <c r="F159" s="557" t="str">
        <f t="shared" si="371"/>
        <v/>
      </c>
      <c r="G159" s="553" t="str">
        <f t="shared" si="372"/>
        <v/>
      </c>
      <c r="I159" s="36" t="str">
        <f>IF(A159="","",IF(OR(F159=1,F159=2,F159=3,F159=4,F159=5),1,SUMIF('Suivi budgétaire'!$A:$A,'Import balance'!A159,'Suivi budgétaire'!$A:$A)+SUMIF('Suivi budgétaire'!$B:$B,'Import balance'!A159,'Suivi budgétaire'!$B:$B)+SUMIF('Suivi budgétaire'!$C:$C,'Import balance'!A159,'Suivi budgétaire'!$C:$C)+SUMIF('Suivi budgétaire'!$D:$D,'Import balance'!A159,'Suivi budgétaire'!$D:$D)+SUMIF('Suivi budgétaire'!$E:$E,'Import balance'!A159,'Suivi budgétaire'!$E:$E)))</f>
        <v/>
      </c>
    </row>
    <row r="160">
      <c r="A160" s="86"/>
      <c r="B160" s="86"/>
      <c r="C160" s="86"/>
      <c r="D160" s="86"/>
      <c r="E160" s="552">
        <f t="shared" si="373"/>
        <v>0</v>
      </c>
      <c r="F160" s="557" t="str">
        <f t="shared" si="371"/>
        <v/>
      </c>
      <c r="G160" s="553" t="str">
        <f t="shared" si="372"/>
        <v/>
      </c>
      <c r="I160" s="36" t="str">
        <f>IF(A160="","",IF(OR(F160=1,F160=2,F160=3,F160=4,F160=5),1,SUMIF('Suivi budgétaire'!$A:$A,'Import balance'!A160,'Suivi budgétaire'!$A:$A)+SUMIF('Suivi budgétaire'!$B:$B,'Import balance'!A160,'Suivi budgétaire'!$B:$B)+SUMIF('Suivi budgétaire'!$C:$C,'Import balance'!A160,'Suivi budgétaire'!$C:$C)+SUMIF('Suivi budgétaire'!$D:$D,'Import balance'!A160,'Suivi budgétaire'!$D:$D)+SUMIF('Suivi budgétaire'!$E:$E,'Import balance'!A160,'Suivi budgétaire'!$E:$E)))</f>
        <v/>
      </c>
    </row>
    <row r="161">
      <c r="A161" s="86"/>
      <c r="B161" s="86"/>
      <c r="C161" s="86"/>
      <c r="D161" s="86"/>
      <c r="E161" s="552">
        <f t="shared" si="373"/>
        <v>0</v>
      </c>
      <c r="F161" s="557" t="str">
        <f t="shared" si="371"/>
        <v/>
      </c>
      <c r="G161" s="553" t="str">
        <f t="shared" si="372"/>
        <v/>
      </c>
      <c r="I161" s="36" t="str">
        <f>IF(A161="","",IF(OR(F161=1,F161=2,F161=3,F161=4,F161=5),1,SUMIF('Suivi budgétaire'!$A:$A,'Import balance'!A161,'Suivi budgétaire'!$A:$A)+SUMIF('Suivi budgétaire'!$B:$B,'Import balance'!A161,'Suivi budgétaire'!$B:$B)+SUMIF('Suivi budgétaire'!$C:$C,'Import balance'!A161,'Suivi budgétaire'!$C:$C)+SUMIF('Suivi budgétaire'!$D:$D,'Import balance'!A161,'Suivi budgétaire'!$D:$D)+SUMIF('Suivi budgétaire'!$E:$E,'Import balance'!A161,'Suivi budgétaire'!$E:$E)))</f>
        <v/>
      </c>
    </row>
    <row r="162">
      <c r="A162" s="86"/>
      <c r="B162" s="86"/>
      <c r="C162" s="86"/>
      <c r="D162" s="86"/>
      <c r="E162" s="552">
        <f t="shared" si="373"/>
        <v>0</v>
      </c>
      <c r="F162" s="557" t="str">
        <f t="shared" si="371"/>
        <v/>
      </c>
      <c r="G162" s="553" t="str">
        <f t="shared" si="372"/>
        <v/>
      </c>
      <c r="I162" s="36" t="str">
        <f>IF(A162="","",IF(OR(F162=1,F162=2,F162=3,F162=4,F162=5),1,SUMIF('Suivi budgétaire'!$A:$A,'Import balance'!A162,'Suivi budgétaire'!$A:$A)+SUMIF('Suivi budgétaire'!$B:$B,'Import balance'!A162,'Suivi budgétaire'!$B:$B)+SUMIF('Suivi budgétaire'!$C:$C,'Import balance'!A162,'Suivi budgétaire'!$C:$C)+SUMIF('Suivi budgétaire'!$D:$D,'Import balance'!A162,'Suivi budgétaire'!$D:$D)+SUMIF('Suivi budgétaire'!$E:$E,'Import balance'!A162,'Suivi budgétaire'!$E:$E)))</f>
        <v/>
      </c>
    </row>
    <row r="163">
      <c r="A163" s="86"/>
      <c r="B163" s="86"/>
      <c r="C163" s="86"/>
      <c r="D163" s="86"/>
      <c r="E163" s="552">
        <f t="shared" si="373"/>
        <v>0</v>
      </c>
      <c r="F163" s="557" t="str">
        <f t="shared" si="371"/>
        <v/>
      </c>
      <c r="G163" s="553" t="str">
        <f t="shared" si="372"/>
        <v/>
      </c>
      <c r="I163" s="36" t="str">
        <f>IF(A163="","",IF(OR(F163=1,F163=2,F163=3,F163=4,F163=5),1,SUMIF('Suivi budgétaire'!$A:$A,'Import balance'!A163,'Suivi budgétaire'!$A:$A)+SUMIF('Suivi budgétaire'!$B:$B,'Import balance'!A163,'Suivi budgétaire'!$B:$B)+SUMIF('Suivi budgétaire'!$C:$C,'Import balance'!A163,'Suivi budgétaire'!$C:$C)+SUMIF('Suivi budgétaire'!$D:$D,'Import balance'!A163,'Suivi budgétaire'!$D:$D)+SUMIF('Suivi budgétaire'!$E:$E,'Import balance'!A163,'Suivi budgétaire'!$E:$E)))</f>
        <v/>
      </c>
    </row>
    <row r="164">
      <c r="A164" s="86"/>
      <c r="B164" s="86"/>
      <c r="C164" s="86"/>
      <c r="D164" s="86"/>
      <c r="E164" s="552">
        <f t="shared" si="373"/>
        <v>0</v>
      </c>
      <c r="F164" s="557" t="str">
        <f t="shared" ref="F164:F227" si="374">LEFT(A164,1)</f>
        <v/>
      </c>
      <c r="G164" s="553" t="str">
        <f t="shared" ref="G164:G227" si="375">LEFT(A164,3)</f>
        <v/>
      </c>
      <c r="I164" s="36" t="str">
        <f>IF(A164="","",IF(OR(F164=1,F164=2,F164=3,F164=4,F164=5),1,SUMIF('Suivi budgétaire'!$A:$A,'Import balance'!A164,'Suivi budgétaire'!$A:$A)+SUMIF('Suivi budgétaire'!$B:$B,'Import balance'!A164,'Suivi budgétaire'!$B:$B)+SUMIF('Suivi budgétaire'!$C:$C,'Import balance'!A164,'Suivi budgétaire'!$C:$C)+SUMIF('Suivi budgétaire'!$D:$D,'Import balance'!A164,'Suivi budgétaire'!$D:$D)+SUMIF('Suivi budgétaire'!$E:$E,'Import balance'!A164,'Suivi budgétaire'!$E:$E)))</f>
        <v/>
      </c>
    </row>
    <row r="165">
      <c r="A165" s="86"/>
      <c r="B165" s="86"/>
      <c r="C165" s="86"/>
      <c r="D165" s="86"/>
      <c r="E165" s="552">
        <f t="shared" si="373"/>
        <v>0</v>
      </c>
      <c r="F165" s="557" t="str">
        <f t="shared" si="374"/>
        <v/>
      </c>
      <c r="G165" s="553" t="str">
        <f t="shared" si="375"/>
        <v/>
      </c>
      <c r="I165" s="36" t="str">
        <f>IF(A165="","",IF(OR(F165=1,F165=2,F165=3,F165=4,F165=5),1,SUMIF('Suivi budgétaire'!$A:$A,'Import balance'!A165,'Suivi budgétaire'!$A:$A)+SUMIF('Suivi budgétaire'!$B:$B,'Import balance'!A165,'Suivi budgétaire'!$B:$B)+SUMIF('Suivi budgétaire'!$C:$C,'Import balance'!A165,'Suivi budgétaire'!$C:$C)+SUMIF('Suivi budgétaire'!$D:$D,'Import balance'!A165,'Suivi budgétaire'!$D:$D)+SUMIF('Suivi budgétaire'!$E:$E,'Import balance'!A165,'Suivi budgétaire'!$E:$E)))</f>
        <v/>
      </c>
    </row>
    <row r="166">
      <c r="A166" s="86"/>
      <c r="B166" s="86"/>
      <c r="C166" s="86"/>
      <c r="D166" s="86"/>
      <c r="E166" s="552">
        <f t="shared" si="373"/>
        <v>0</v>
      </c>
      <c r="F166" s="557" t="str">
        <f t="shared" si="374"/>
        <v/>
      </c>
      <c r="G166" s="553" t="str">
        <f t="shared" si="375"/>
        <v/>
      </c>
      <c r="I166" s="36" t="str">
        <f>IF(A166="","",IF(OR(F166=1,F166=2,F166=3,F166=4,F166=5),1,SUMIF('Suivi budgétaire'!$A:$A,'Import balance'!A166,'Suivi budgétaire'!$A:$A)+SUMIF('Suivi budgétaire'!$B:$B,'Import balance'!A166,'Suivi budgétaire'!$B:$B)+SUMIF('Suivi budgétaire'!$C:$C,'Import balance'!A166,'Suivi budgétaire'!$C:$C)+SUMIF('Suivi budgétaire'!$D:$D,'Import balance'!A166,'Suivi budgétaire'!$D:$D)+SUMIF('Suivi budgétaire'!$E:$E,'Import balance'!A166,'Suivi budgétaire'!$E:$E)))</f>
        <v/>
      </c>
    </row>
    <row r="167">
      <c r="A167" s="86"/>
      <c r="B167" s="86"/>
      <c r="C167" s="86"/>
      <c r="D167" s="86"/>
      <c r="E167" s="552">
        <f t="shared" si="373"/>
        <v>0</v>
      </c>
      <c r="F167" s="557" t="str">
        <f t="shared" si="374"/>
        <v/>
      </c>
      <c r="G167" s="553" t="str">
        <f t="shared" si="375"/>
        <v/>
      </c>
      <c r="I167" s="36" t="str">
        <f>IF(A167="","",IF(OR(F167=1,F167=2,F167=3,F167=4,F167=5),1,SUMIF('Suivi budgétaire'!$A:$A,'Import balance'!A167,'Suivi budgétaire'!$A:$A)+SUMIF('Suivi budgétaire'!$B:$B,'Import balance'!A167,'Suivi budgétaire'!$B:$B)+SUMIF('Suivi budgétaire'!$C:$C,'Import balance'!A167,'Suivi budgétaire'!$C:$C)+SUMIF('Suivi budgétaire'!$D:$D,'Import balance'!A167,'Suivi budgétaire'!$D:$D)+SUMIF('Suivi budgétaire'!$E:$E,'Import balance'!A167,'Suivi budgétaire'!$E:$E)))</f>
        <v/>
      </c>
    </row>
    <row r="168">
      <c r="A168" s="86"/>
      <c r="B168" s="86"/>
      <c r="C168" s="86"/>
      <c r="D168" s="86"/>
      <c r="E168" s="552">
        <f t="shared" si="373"/>
        <v>0</v>
      </c>
      <c r="F168" s="557" t="str">
        <f t="shared" si="374"/>
        <v/>
      </c>
      <c r="G168" s="553" t="str">
        <f t="shared" si="375"/>
        <v/>
      </c>
      <c r="I168" s="36" t="str">
        <f>IF(A168="","",IF(OR(F168=1,F168=2,F168=3,F168=4,F168=5),1,SUMIF('Suivi budgétaire'!$A:$A,'Import balance'!A168,'Suivi budgétaire'!$A:$A)+SUMIF('Suivi budgétaire'!$B:$B,'Import balance'!A168,'Suivi budgétaire'!$B:$B)+SUMIF('Suivi budgétaire'!$C:$C,'Import balance'!A168,'Suivi budgétaire'!$C:$C)+SUMIF('Suivi budgétaire'!$D:$D,'Import balance'!A168,'Suivi budgétaire'!$D:$D)+SUMIF('Suivi budgétaire'!$E:$E,'Import balance'!A168,'Suivi budgétaire'!$E:$E)))</f>
        <v/>
      </c>
    </row>
    <row r="169">
      <c r="A169" s="86"/>
      <c r="B169" s="86"/>
      <c r="C169" s="86"/>
      <c r="D169" s="86"/>
      <c r="E169" s="552">
        <f t="shared" si="373"/>
        <v>0</v>
      </c>
      <c r="F169" s="557" t="str">
        <f t="shared" si="374"/>
        <v/>
      </c>
      <c r="G169" s="553" t="str">
        <f t="shared" si="375"/>
        <v/>
      </c>
      <c r="I169" s="36" t="str">
        <f>IF(A169="","",IF(OR(F169=1,F169=2,F169=3,F169=4,F169=5),1,SUMIF('Suivi budgétaire'!$A:$A,'Import balance'!A169,'Suivi budgétaire'!$A:$A)+SUMIF('Suivi budgétaire'!$B:$B,'Import balance'!A169,'Suivi budgétaire'!$B:$B)+SUMIF('Suivi budgétaire'!$C:$C,'Import balance'!A169,'Suivi budgétaire'!$C:$C)+SUMIF('Suivi budgétaire'!$D:$D,'Import balance'!A169,'Suivi budgétaire'!$D:$D)+SUMIF('Suivi budgétaire'!$E:$E,'Import balance'!A169,'Suivi budgétaire'!$E:$E)))</f>
        <v/>
      </c>
    </row>
    <row r="170">
      <c r="A170" s="86"/>
      <c r="B170" s="86"/>
      <c r="C170" s="86"/>
      <c r="D170" s="86"/>
      <c r="E170" s="552">
        <f t="shared" si="373"/>
        <v>0</v>
      </c>
      <c r="F170" s="557" t="str">
        <f t="shared" si="374"/>
        <v/>
      </c>
      <c r="G170" s="553" t="str">
        <f t="shared" si="375"/>
        <v/>
      </c>
      <c r="I170" s="36" t="str">
        <f>IF(A170="","",IF(OR(F170=1,F170=2,F170=3,F170=4,F170=5),1,SUMIF('Suivi budgétaire'!$A:$A,'Import balance'!A170,'Suivi budgétaire'!$A:$A)+SUMIF('Suivi budgétaire'!$B:$B,'Import balance'!A170,'Suivi budgétaire'!$B:$B)+SUMIF('Suivi budgétaire'!$C:$C,'Import balance'!A170,'Suivi budgétaire'!$C:$C)+SUMIF('Suivi budgétaire'!$D:$D,'Import balance'!A170,'Suivi budgétaire'!$D:$D)+SUMIF('Suivi budgétaire'!$E:$E,'Import balance'!A170,'Suivi budgétaire'!$E:$E)))</f>
        <v/>
      </c>
    </row>
    <row r="171">
      <c r="A171" s="86"/>
      <c r="B171" s="86"/>
      <c r="C171" s="86"/>
      <c r="D171" s="86"/>
      <c r="E171" s="552">
        <f t="shared" si="373"/>
        <v>0</v>
      </c>
      <c r="F171" s="557" t="str">
        <f t="shared" si="374"/>
        <v/>
      </c>
      <c r="G171" s="553" t="str">
        <f t="shared" si="375"/>
        <v/>
      </c>
      <c r="I171" s="36" t="str">
        <f>IF(A171="","",IF(OR(F171=1,F171=2,F171=3,F171=4,F171=5),1,SUMIF('Suivi budgétaire'!$A:$A,'Import balance'!A171,'Suivi budgétaire'!$A:$A)+SUMIF('Suivi budgétaire'!$B:$B,'Import balance'!A171,'Suivi budgétaire'!$B:$B)+SUMIF('Suivi budgétaire'!$C:$C,'Import balance'!A171,'Suivi budgétaire'!$C:$C)+SUMIF('Suivi budgétaire'!$D:$D,'Import balance'!A171,'Suivi budgétaire'!$D:$D)+SUMIF('Suivi budgétaire'!$E:$E,'Import balance'!A171,'Suivi budgétaire'!$E:$E)))</f>
        <v/>
      </c>
    </row>
    <row r="172">
      <c r="A172" s="86"/>
      <c r="B172" s="86"/>
      <c r="C172" s="86"/>
      <c r="D172" s="86"/>
      <c r="E172" s="552">
        <f t="shared" si="373"/>
        <v>0</v>
      </c>
      <c r="F172" s="557" t="str">
        <f t="shared" si="374"/>
        <v/>
      </c>
      <c r="G172" s="553" t="str">
        <f t="shared" si="375"/>
        <v/>
      </c>
      <c r="I172" s="36" t="str">
        <f>IF(A172="","",IF(OR(F172=1,F172=2,F172=3,F172=4,F172=5),1,SUMIF('Suivi budgétaire'!$A:$A,'Import balance'!A172,'Suivi budgétaire'!$A:$A)+SUMIF('Suivi budgétaire'!$B:$B,'Import balance'!A172,'Suivi budgétaire'!$B:$B)+SUMIF('Suivi budgétaire'!$C:$C,'Import balance'!A172,'Suivi budgétaire'!$C:$C)+SUMIF('Suivi budgétaire'!$D:$D,'Import balance'!A172,'Suivi budgétaire'!$D:$D)+SUMIF('Suivi budgétaire'!$E:$E,'Import balance'!A172,'Suivi budgétaire'!$E:$E)))</f>
        <v/>
      </c>
    </row>
    <row r="173">
      <c r="A173" s="86"/>
      <c r="B173" s="86"/>
      <c r="C173" s="86"/>
      <c r="D173" s="86"/>
      <c r="E173" s="552">
        <f t="shared" si="373"/>
        <v>0</v>
      </c>
      <c r="F173" s="557" t="str">
        <f t="shared" si="374"/>
        <v/>
      </c>
      <c r="G173" s="553" t="str">
        <f t="shared" si="375"/>
        <v/>
      </c>
      <c r="I173" s="36" t="str">
        <f>IF(A173="","",IF(OR(F173=1,F173=2,F173=3,F173=4,F173=5),1,SUMIF('Suivi budgétaire'!$A:$A,'Import balance'!A173,'Suivi budgétaire'!$A:$A)+SUMIF('Suivi budgétaire'!$B:$B,'Import balance'!A173,'Suivi budgétaire'!$B:$B)+SUMIF('Suivi budgétaire'!$C:$C,'Import balance'!A173,'Suivi budgétaire'!$C:$C)+SUMIF('Suivi budgétaire'!$D:$D,'Import balance'!A173,'Suivi budgétaire'!$D:$D)+SUMIF('Suivi budgétaire'!$E:$E,'Import balance'!A173,'Suivi budgétaire'!$E:$E)))</f>
        <v/>
      </c>
    </row>
    <row r="174">
      <c r="A174" s="86"/>
      <c r="B174" s="86"/>
      <c r="C174" s="86"/>
      <c r="D174" s="86"/>
      <c r="E174" s="552">
        <f t="shared" si="373"/>
        <v>0</v>
      </c>
      <c r="F174" s="557" t="str">
        <f t="shared" si="374"/>
        <v/>
      </c>
      <c r="G174" s="553" t="str">
        <f t="shared" si="375"/>
        <v/>
      </c>
      <c r="I174" s="36" t="str">
        <f>IF(A174="","",IF(OR(F174=1,F174=2,F174=3,F174=4,F174=5),1,SUMIF('Suivi budgétaire'!$A:$A,'Import balance'!A174,'Suivi budgétaire'!$A:$A)+SUMIF('Suivi budgétaire'!$B:$B,'Import balance'!A174,'Suivi budgétaire'!$B:$B)+SUMIF('Suivi budgétaire'!$C:$C,'Import balance'!A174,'Suivi budgétaire'!$C:$C)+SUMIF('Suivi budgétaire'!$D:$D,'Import balance'!A174,'Suivi budgétaire'!$D:$D)+SUMIF('Suivi budgétaire'!$E:$E,'Import balance'!A174,'Suivi budgétaire'!$E:$E)))</f>
        <v/>
      </c>
    </row>
    <row r="175">
      <c r="A175" s="86"/>
      <c r="B175" s="86"/>
      <c r="C175" s="86"/>
      <c r="D175" s="86"/>
      <c r="E175" s="552">
        <f t="shared" si="373"/>
        <v>0</v>
      </c>
      <c r="F175" s="557" t="str">
        <f t="shared" si="374"/>
        <v/>
      </c>
      <c r="G175" s="553" t="str">
        <f t="shared" si="375"/>
        <v/>
      </c>
      <c r="I175" s="36" t="str">
        <f>IF(A175="","",IF(OR(F175=1,F175=2,F175=3,F175=4,F175=5),1,SUMIF('Suivi budgétaire'!$A:$A,'Import balance'!A175,'Suivi budgétaire'!$A:$A)+SUMIF('Suivi budgétaire'!$B:$B,'Import balance'!A175,'Suivi budgétaire'!$B:$B)+SUMIF('Suivi budgétaire'!$C:$C,'Import balance'!A175,'Suivi budgétaire'!$C:$C)+SUMIF('Suivi budgétaire'!$D:$D,'Import balance'!A175,'Suivi budgétaire'!$D:$D)+SUMIF('Suivi budgétaire'!$E:$E,'Import balance'!A175,'Suivi budgétaire'!$E:$E)))</f>
        <v/>
      </c>
    </row>
    <row r="176">
      <c r="A176" s="86"/>
      <c r="B176" s="86"/>
      <c r="C176" s="86"/>
      <c r="D176" s="86"/>
      <c r="E176" s="552">
        <f t="shared" si="373"/>
        <v>0</v>
      </c>
      <c r="F176" s="557" t="str">
        <f t="shared" si="374"/>
        <v/>
      </c>
      <c r="G176" s="553" t="str">
        <f t="shared" si="375"/>
        <v/>
      </c>
      <c r="I176" s="36" t="str">
        <f>IF(A176="","",IF(OR(F176=1,F176=2,F176=3,F176=4,F176=5),1,SUMIF('Suivi budgétaire'!$A:$A,'Import balance'!A176,'Suivi budgétaire'!$A:$A)+SUMIF('Suivi budgétaire'!$B:$B,'Import balance'!A176,'Suivi budgétaire'!$B:$B)+SUMIF('Suivi budgétaire'!$C:$C,'Import balance'!A176,'Suivi budgétaire'!$C:$C)+SUMIF('Suivi budgétaire'!$D:$D,'Import balance'!A176,'Suivi budgétaire'!$D:$D)+SUMIF('Suivi budgétaire'!$E:$E,'Import balance'!A176,'Suivi budgétaire'!$E:$E)))</f>
        <v/>
      </c>
    </row>
    <row r="177">
      <c r="A177" s="86"/>
      <c r="B177" s="86"/>
      <c r="C177" s="86"/>
      <c r="D177" s="86"/>
      <c r="E177" s="552">
        <f t="shared" si="373"/>
        <v>0</v>
      </c>
      <c r="F177" s="557" t="str">
        <f t="shared" si="374"/>
        <v/>
      </c>
      <c r="G177" s="553" t="str">
        <f t="shared" si="375"/>
        <v/>
      </c>
      <c r="I177" s="36" t="str">
        <f>IF(A177="","",IF(OR(F177=1,F177=2,F177=3,F177=4,F177=5),1,SUMIF('Suivi budgétaire'!$A:$A,'Import balance'!A177,'Suivi budgétaire'!$A:$A)+SUMIF('Suivi budgétaire'!$B:$B,'Import balance'!A177,'Suivi budgétaire'!$B:$B)+SUMIF('Suivi budgétaire'!$C:$C,'Import balance'!A177,'Suivi budgétaire'!$C:$C)+SUMIF('Suivi budgétaire'!$D:$D,'Import balance'!A177,'Suivi budgétaire'!$D:$D)+SUMIF('Suivi budgétaire'!$E:$E,'Import balance'!A177,'Suivi budgétaire'!$E:$E)))</f>
        <v/>
      </c>
    </row>
    <row r="178">
      <c r="A178" s="86"/>
      <c r="B178" s="86"/>
      <c r="C178" s="86"/>
      <c r="D178" s="86"/>
      <c r="E178" s="552">
        <f t="shared" si="373"/>
        <v>0</v>
      </c>
      <c r="F178" s="557" t="str">
        <f t="shared" si="374"/>
        <v/>
      </c>
      <c r="G178" s="553" t="str">
        <f t="shared" si="375"/>
        <v/>
      </c>
      <c r="I178" s="36" t="str">
        <f>IF(A178="","",IF(OR(F178=1,F178=2,F178=3,F178=4,F178=5),1,SUMIF('Suivi budgétaire'!$A:$A,'Import balance'!A178,'Suivi budgétaire'!$A:$A)+SUMIF('Suivi budgétaire'!$B:$B,'Import balance'!A178,'Suivi budgétaire'!$B:$B)+SUMIF('Suivi budgétaire'!$C:$C,'Import balance'!A178,'Suivi budgétaire'!$C:$C)+SUMIF('Suivi budgétaire'!$D:$D,'Import balance'!A178,'Suivi budgétaire'!$D:$D)+SUMIF('Suivi budgétaire'!$E:$E,'Import balance'!A178,'Suivi budgétaire'!$E:$E)))</f>
        <v/>
      </c>
    </row>
    <row r="179">
      <c r="A179" s="86"/>
      <c r="B179" s="86"/>
      <c r="C179" s="86"/>
      <c r="D179" s="86"/>
      <c r="E179" s="552">
        <f t="shared" si="373"/>
        <v>0</v>
      </c>
      <c r="F179" s="557" t="str">
        <f t="shared" si="374"/>
        <v/>
      </c>
      <c r="G179" s="553" t="str">
        <f t="shared" si="375"/>
        <v/>
      </c>
      <c r="I179" s="36" t="str">
        <f>IF(A179="","",IF(OR(F179=1,F179=2,F179=3,F179=4,F179=5),1,SUMIF('Suivi budgétaire'!$A:$A,'Import balance'!A179,'Suivi budgétaire'!$A:$A)+SUMIF('Suivi budgétaire'!$B:$B,'Import balance'!A179,'Suivi budgétaire'!$B:$B)+SUMIF('Suivi budgétaire'!$C:$C,'Import balance'!A179,'Suivi budgétaire'!$C:$C)+SUMIF('Suivi budgétaire'!$D:$D,'Import balance'!A179,'Suivi budgétaire'!$D:$D)+SUMIF('Suivi budgétaire'!$E:$E,'Import balance'!A179,'Suivi budgétaire'!$E:$E)))</f>
        <v/>
      </c>
    </row>
    <row r="180">
      <c r="A180" s="86"/>
      <c r="B180" s="86"/>
      <c r="C180" s="86"/>
      <c r="D180" s="86"/>
      <c r="E180" s="552">
        <f t="shared" si="373"/>
        <v>0</v>
      </c>
      <c r="F180" s="557" t="str">
        <f t="shared" si="374"/>
        <v/>
      </c>
      <c r="G180" s="553" t="str">
        <f t="shared" si="375"/>
        <v/>
      </c>
      <c r="I180" s="36" t="str">
        <f>IF(A180="","",IF(OR(F180=1,F180=2,F180=3,F180=4,F180=5),1,SUMIF('Suivi budgétaire'!$A:$A,'Import balance'!A180,'Suivi budgétaire'!$A:$A)+SUMIF('Suivi budgétaire'!$B:$B,'Import balance'!A180,'Suivi budgétaire'!$B:$B)+SUMIF('Suivi budgétaire'!$C:$C,'Import balance'!A180,'Suivi budgétaire'!$C:$C)+SUMIF('Suivi budgétaire'!$D:$D,'Import balance'!A180,'Suivi budgétaire'!$D:$D)+SUMIF('Suivi budgétaire'!$E:$E,'Import balance'!A180,'Suivi budgétaire'!$E:$E)))</f>
        <v/>
      </c>
    </row>
    <row r="181">
      <c r="A181" s="86"/>
      <c r="B181" s="86"/>
      <c r="C181" s="86"/>
      <c r="D181" s="86"/>
      <c r="E181" s="552">
        <f t="shared" si="373"/>
        <v>0</v>
      </c>
      <c r="F181" s="557" t="str">
        <f t="shared" si="374"/>
        <v/>
      </c>
      <c r="G181" s="553" t="str">
        <f t="shared" si="375"/>
        <v/>
      </c>
      <c r="I181" s="36" t="str">
        <f>IF(A181="","",IF(OR(F181=1,F181=2,F181=3,F181=4,F181=5),1,SUMIF('Suivi budgétaire'!$A:$A,'Import balance'!A181,'Suivi budgétaire'!$A:$A)+SUMIF('Suivi budgétaire'!$B:$B,'Import balance'!A181,'Suivi budgétaire'!$B:$B)+SUMIF('Suivi budgétaire'!$C:$C,'Import balance'!A181,'Suivi budgétaire'!$C:$C)+SUMIF('Suivi budgétaire'!$D:$D,'Import balance'!A181,'Suivi budgétaire'!$D:$D)+SUMIF('Suivi budgétaire'!$E:$E,'Import balance'!A181,'Suivi budgétaire'!$E:$E)))</f>
        <v/>
      </c>
    </row>
    <row r="182">
      <c r="A182" s="86"/>
      <c r="B182" s="86"/>
      <c r="C182" s="86"/>
      <c r="D182" s="86"/>
      <c r="E182" s="552">
        <f t="shared" si="373"/>
        <v>0</v>
      </c>
      <c r="F182" s="557" t="str">
        <f t="shared" si="374"/>
        <v/>
      </c>
      <c r="G182" s="553" t="str">
        <f t="shared" si="375"/>
        <v/>
      </c>
      <c r="I182" s="36" t="str">
        <f>IF(A182="","",IF(OR(F182=1,F182=2,F182=3,F182=4,F182=5),1,SUMIF('Suivi budgétaire'!$A:$A,'Import balance'!A182,'Suivi budgétaire'!$A:$A)+SUMIF('Suivi budgétaire'!$B:$B,'Import balance'!A182,'Suivi budgétaire'!$B:$B)+SUMIF('Suivi budgétaire'!$C:$C,'Import balance'!A182,'Suivi budgétaire'!$C:$C)+SUMIF('Suivi budgétaire'!$D:$D,'Import balance'!A182,'Suivi budgétaire'!$D:$D)+SUMIF('Suivi budgétaire'!$E:$E,'Import balance'!A182,'Suivi budgétaire'!$E:$E)))</f>
        <v/>
      </c>
    </row>
    <row r="183">
      <c r="A183" s="86"/>
      <c r="B183" s="86"/>
      <c r="C183" s="86"/>
      <c r="D183" s="86"/>
      <c r="E183" s="552">
        <f t="shared" si="373"/>
        <v>0</v>
      </c>
      <c r="F183" s="557" t="str">
        <f t="shared" si="374"/>
        <v/>
      </c>
      <c r="G183" s="553" t="str">
        <f t="shared" si="375"/>
        <v/>
      </c>
      <c r="I183" s="36" t="str">
        <f>IF(A183="","",IF(OR(F183=1,F183=2,F183=3,F183=4,F183=5),1,SUMIF('Suivi budgétaire'!$A:$A,'Import balance'!A183,'Suivi budgétaire'!$A:$A)+SUMIF('Suivi budgétaire'!$B:$B,'Import balance'!A183,'Suivi budgétaire'!$B:$B)+SUMIF('Suivi budgétaire'!$C:$C,'Import balance'!A183,'Suivi budgétaire'!$C:$C)+SUMIF('Suivi budgétaire'!$D:$D,'Import balance'!A183,'Suivi budgétaire'!$D:$D)+SUMIF('Suivi budgétaire'!$E:$E,'Import balance'!A183,'Suivi budgétaire'!$E:$E)))</f>
        <v/>
      </c>
    </row>
    <row r="184">
      <c r="A184" s="86"/>
      <c r="B184" s="86"/>
      <c r="C184" s="86"/>
      <c r="D184" s="86"/>
      <c r="E184" s="552">
        <f t="shared" si="373"/>
        <v>0</v>
      </c>
      <c r="F184" s="557" t="str">
        <f t="shared" si="374"/>
        <v/>
      </c>
      <c r="G184" s="553" t="str">
        <f t="shared" si="375"/>
        <v/>
      </c>
      <c r="I184" s="36" t="str">
        <f>IF(A184="","",IF(OR(F184=1,F184=2,F184=3,F184=4,F184=5),1,SUMIF('Suivi budgétaire'!$A:$A,'Import balance'!A184,'Suivi budgétaire'!$A:$A)+SUMIF('Suivi budgétaire'!$B:$B,'Import balance'!A184,'Suivi budgétaire'!$B:$B)+SUMIF('Suivi budgétaire'!$C:$C,'Import balance'!A184,'Suivi budgétaire'!$C:$C)+SUMIF('Suivi budgétaire'!$D:$D,'Import balance'!A184,'Suivi budgétaire'!$D:$D)+SUMIF('Suivi budgétaire'!$E:$E,'Import balance'!A184,'Suivi budgétaire'!$E:$E)))</f>
        <v/>
      </c>
    </row>
    <row r="185">
      <c r="A185" s="86"/>
      <c r="B185" s="86"/>
      <c r="C185" s="86"/>
      <c r="D185" s="86"/>
      <c r="E185" s="552">
        <f t="shared" si="373"/>
        <v>0</v>
      </c>
      <c r="F185" s="557" t="str">
        <f t="shared" si="374"/>
        <v/>
      </c>
      <c r="G185" s="553" t="str">
        <f t="shared" si="375"/>
        <v/>
      </c>
      <c r="I185" s="36" t="str">
        <f>IF(A185="","",IF(OR(F185=1,F185=2,F185=3,F185=4,F185=5),1,SUMIF('Suivi budgétaire'!$A:$A,'Import balance'!A185,'Suivi budgétaire'!$A:$A)+SUMIF('Suivi budgétaire'!$B:$B,'Import balance'!A185,'Suivi budgétaire'!$B:$B)+SUMIF('Suivi budgétaire'!$C:$C,'Import balance'!A185,'Suivi budgétaire'!$C:$C)+SUMIF('Suivi budgétaire'!$D:$D,'Import balance'!A185,'Suivi budgétaire'!$D:$D)+SUMIF('Suivi budgétaire'!$E:$E,'Import balance'!A185,'Suivi budgétaire'!$E:$E)))</f>
        <v/>
      </c>
    </row>
    <row r="186">
      <c r="A186" s="86"/>
      <c r="B186" s="86"/>
      <c r="C186" s="86"/>
      <c r="D186" s="86"/>
      <c r="E186" s="552">
        <f t="shared" si="373"/>
        <v>0</v>
      </c>
      <c r="F186" s="557" t="str">
        <f t="shared" si="374"/>
        <v/>
      </c>
      <c r="G186" s="553" t="str">
        <f t="shared" si="375"/>
        <v/>
      </c>
      <c r="I186" s="36" t="str">
        <f>IF(A186="","",IF(OR(F186=1,F186=2,F186=3,F186=4,F186=5),1,SUMIF('Suivi budgétaire'!$A:$A,'Import balance'!A186,'Suivi budgétaire'!$A:$A)+SUMIF('Suivi budgétaire'!$B:$B,'Import balance'!A186,'Suivi budgétaire'!$B:$B)+SUMIF('Suivi budgétaire'!$C:$C,'Import balance'!A186,'Suivi budgétaire'!$C:$C)+SUMIF('Suivi budgétaire'!$D:$D,'Import balance'!A186,'Suivi budgétaire'!$D:$D)+SUMIF('Suivi budgétaire'!$E:$E,'Import balance'!A186,'Suivi budgétaire'!$E:$E)))</f>
        <v/>
      </c>
    </row>
    <row r="187">
      <c r="A187" s="86"/>
      <c r="B187" s="86"/>
      <c r="C187" s="86"/>
      <c r="D187" s="86"/>
      <c r="E187" s="552">
        <f t="shared" si="373"/>
        <v>0</v>
      </c>
      <c r="F187" s="557" t="str">
        <f t="shared" si="374"/>
        <v/>
      </c>
      <c r="G187" s="553" t="str">
        <f t="shared" si="375"/>
        <v/>
      </c>
      <c r="I187" s="36" t="str">
        <f>IF(A187="","",IF(OR(F187=1,F187=2,F187=3,F187=4,F187=5),1,SUMIF('Suivi budgétaire'!$A:$A,'Import balance'!A187,'Suivi budgétaire'!$A:$A)+SUMIF('Suivi budgétaire'!$B:$B,'Import balance'!A187,'Suivi budgétaire'!$B:$B)+SUMIF('Suivi budgétaire'!$C:$C,'Import balance'!A187,'Suivi budgétaire'!$C:$C)+SUMIF('Suivi budgétaire'!$D:$D,'Import balance'!A187,'Suivi budgétaire'!$D:$D)+SUMIF('Suivi budgétaire'!$E:$E,'Import balance'!A187,'Suivi budgétaire'!$E:$E)))</f>
        <v/>
      </c>
    </row>
    <row r="188">
      <c r="A188" s="86"/>
      <c r="B188" s="86"/>
      <c r="C188" s="86"/>
      <c r="D188" s="86"/>
      <c r="E188" s="552">
        <f t="shared" si="373"/>
        <v>0</v>
      </c>
      <c r="F188" s="557" t="str">
        <f t="shared" si="374"/>
        <v/>
      </c>
      <c r="G188" s="553" t="str">
        <f t="shared" si="375"/>
        <v/>
      </c>
      <c r="I188" s="36" t="str">
        <f>IF(A188="","",IF(OR(F188=1,F188=2,F188=3,F188=4,F188=5),1,SUMIF('Suivi budgétaire'!$A:$A,'Import balance'!A188,'Suivi budgétaire'!$A:$A)+SUMIF('Suivi budgétaire'!$B:$B,'Import balance'!A188,'Suivi budgétaire'!$B:$B)+SUMIF('Suivi budgétaire'!$C:$C,'Import balance'!A188,'Suivi budgétaire'!$C:$C)+SUMIF('Suivi budgétaire'!$D:$D,'Import balance'!A188,'Suivi budgétaire'!$D:$D)+SUMIF('Suivi budgétaire'!$E:$E,'Import balance'!A188,'Suivi budgétaire'!$E:$E)))</f>
        <v/>
      </c>
    </row>
    <row r="189">
      <c r="A189" s="86"/>
      <c r="B189" s="86"/>
      <c r="C189" s="86"/>
      <c r="D189" s="86"/>
      <c r="E189" s="552">
        <f t="shared" si="373"/>
        <v>0</v>
      </c>
      <c r="F189" s="557" t="str">
        <f t="shared" si="374"/>
        <v/>
      </c>
      <c r="G189" s="553" t="str">
        <f t="shared" si="375"/>
        <v/>
      </c>
      <c r="I189" s="36" t="str">
        <f>IF(A189="","",IF(OR(F189=1,F189=2,F189=3,F189=4,F189=5),1,SUMIF('Suivi budgétaire'!$A:$A,'Import balance'!A189,'Suivi budgétaire'!$A:$A)+SUMIF('Suivi budgétaire'!$B:$B,'Import balance'!A189,'Suivi budgétaire'!$B:$B)+SUMIF('Suivi budgétaire'!$C:$C,'Import balance'!A189,'Suivi budgétaire'!$C:$C)+SUMIF('Suivi budgétaire'!$D:$D,'Import balance'!A189,'Suivi budgétaire'!$D:$D)+SUMIF('Suivi budgétaire'!$E:$E,'Import balance'!A189,'Suivi budgétaire'!$E:$E)))</f>
        <v/>
      </c>
    </row>
    <row r="190">
      <c r="A190" s="86"/>
      <c r="B190" s="86"/>
      <c r="C190" s="86"/>
      <c r="D190" s="86"/>
      <c r="E190" s="552">
        <f t="shared" si="373"/>
        <v>0</v>
      </c>
      <c r="F190" s="557" t="str">
        <f t="shared" si="374"/>
        <v/>
      </c>
      <c r="G190" s="553" t="str">
        <f t="shared" si="375"/>
        <v/>
      </c>
      <c r="I190" s="36" t="str">
        <f>IF(A190="","",IF(OR(F190=1,F190=2,F190=3,F190=4,F190=5),1,SUMIF('Suivi budgétaire'!$A:$A,'Import balance'!A190,'Suivi budgétaire'!$A:$A)+SUMIF('Suivi budgétaire'!$B:$B,'Import balance'!A190,'Suivi budgétaire'!$B:$B)+SUMIF('Suivi budgétaire'!$C:$C,'Import balance'!A190,'Suivi budgétaire'!$C:$C)+SUMIF('Suivi budgétaire'!$D:$D,'Import balance'!A190,'Suivi budgétaire'!$D:$D)+SUMIF('Suivi budgétaire'!$E:$E,'Import balance'!A190,'Suivi budgétaire'!$E:$E)))</f>
        <v/>
      </c>
    </row>
    <row r="191">
      <c r="A191" s="86"/>
      <c r="B191" s="86"/>
      <c r="C191" s="86"/>
      <c r="D191" s="86"/>
      <c r="E191" s="552">
        <f t="shared" si="373"/>
        <v>0</v>
      </c>
      <c r="F191" s="557" t="str">
        <f t="shared" si="374"/>
        <v/>
      </c>
      <c r="G191" s="553" t="str">
        <f t="shared" si="375"/>
        <v/>
      </c>
      <c r="I191" s="36" t="str">
        <f>IF(A191="","",IF(OR(F191=1,F191=2,F191=3,F191=4,F191=5),1,SUMIF('Suivi budgétaire'!$A:$A,'Import balance'!A191,'Suivi budgétaire'!$A:$A)+SUMIF('Suivi budgétaire'!$B:$B,'Import balance'!A191,'Suivi budgétaire'!$B:$B)+SUMIF('Suivi budgétaire'!$C:$C,'Import balance'!A191,'Suivi budgétaire'!$C:$C)+SUMIF('Suivi budgétaire'!$D:$D,'Import balance'!A191,'Suivi budgétaire'!$D:$D)+SUMIF('Suivi budgétaire'!$E:$E,'Import balance'!A191,'Suivi budgétaire'!$E:$E)))</f>
        <v/>
      </c>
    </row>
    <row r="192">
      <c r="A192" s="86"/>
      <c r="B192" s="86"/>
      <c r="C192" s="86"/>
      <c r="D192" s="86"/>
      <c r="E192" s="552">
        <f t="shared" si="373"/>
        <v>0</v>
      </c>
      <c r="F192" s="557" t="str">
        <f t="shared" si="374"/>
        <v/>
      </c>
      <c r="G192" s="553" t="str">
        <f t="shared" si="375"/>
        <v/>
      </c>
      <c r="I192" s="36" t="str">
        <f>IF(A192="","",IF(OR(F192=1,F192=2,F192=3,F192=4,F192=5),1,SUMIF('Suivi budgétaire'!$A:$A,'Import balance'!A192,'Suivi budgétaire'!$A:$A)+SUMIF('Suivi budgétaire'!$B:$B,'Import balance'!A192,'Suivi budgétaire'!$B:$B)+SUMIF('Suivi budgétaire'!$C:$C,'Import balance'!A192,'Suivi budgétaire'!$C:$C)+SUMIF('Suivi budgétaire'!$D:$D,'Import balance'!A192,'Suivi budgétaire'!$D:$D)+SUMIF('Suivi budgétaire'!$E:$E,'Import balance'!A192,'Suivi budgétaire'!$E:$E)))</f>
        <v/>
      </c>
    </row>
    <row r="193">
      <c r="A193" s="86"/>
      <c r="B193" s="86"/>
      <c r="C193" s="86"/>
      <c r="D193" s="86"/>
      <c r="E193" s="552">
        <f t="shared" si="373"/>
        <v>0</v>
      </c>
      <c r="F193" s="557" t="str">
        <f t="shared" si="374"/>
        <v/>
      </c>
      <c r="G193" s="553" t="str">
        <f t="shared" si="375"/>
        <v/>
      </c>
      <c r="I193" s="36" t="str">
        <f>IF(A193="","",IF(OR(F193=1,F193=2,F193=3,F193=4,F193=5),1,SUMIF('Suivi budgétaire'!$A:$A,'Import balance'!A193,'Suivi budgétaire'!$A:$A)+SUMIF('Suivi budgétaire'!$B:$B,'Import balance'!A193,'Suivi budgétaire'!$B:$B)+SUMIF('Suivi budgétaire'!$C:$C,'Import balance'!A193,'Suivi budgétaire'!$C:$C)+SUMIF('Suivi budgétaire'!$D:$D,'Import balance'!A193,'Suivi budgétaire'!$D:$D)+SUMIF('Suivi budgétaire'!$E:$E,'Import balance'!A193,'Suivi budgétaire'!$E:$E)))</f>
        <v/>
      </c>
    </row>
    <row r="194">
      <c r="A194" s="86"/>
      <c r="B194" s="86"/>
      <c r="C194" s="86"/>
      <c r="D194" s="86"/>
      <c r="E194" s="552">
        <f t="shared" si="373"/>
        <v>0</v>
      </c>
      <c r="F194" s="557" t="str">
        <f t="shared" si="374"/>
        <v/>
      </c>
      <c r="G194" s="553" t="str">
        <f t="shared" si="375"/>
        <v/>
      </c>
      <c r="I194" s="36" t="str">
        <f>IF(A194="","",IF(OR(F194=1,F194=2,F194=3,F194=4,F194=5),1,SUMIF('Suivi budgétaire'!$A:$A,'Import balance'!A194,'Suivi budgétaire'!$A:$A)+SUMIF('Suivi budgétaire'!$B:$B,'Import balance'!A194,'Suivi budgétaire'!$B:$B)+SUMIF('Suivi budgétaire'!$C:$C,'Import balance'!A194,'Suivi budgétaire'!$C:$C)+SUMIF('Suivi budgétaire'!$D:$D,'Import balance'!A194,'Suivi budgétaire'!$D:$D)+SUMIF('Suivi budgétaire'!$E:$E,'Import balance'!A194,'Suivi budgétaire'!$E:$E)))</f>
        <v/>
      </c>
    </row>
    <row r="195">
      <c r="A195" s="86"/>
      <c r="B195" s="86"/>
      <c r="C195" s="86"/>
      <c r="D195" s="86"/>
      <c r="E195" s="552">
        <f t="shared" si="373"/>
        <v>0</v>
      </c>
      <c r="F195" s="557" t="str">
        <f t="shared" si="374"/>
        <v/>
      </c>
      <c r="G195" s="553" t="str">
        <f t="shared" si="375"/>
        <v/>
      </c>
      <c r="I195" s="36" t="str">
        <f>IF(A195="","",IF(OR(F195=1,F195=2,F195=3,F195=4,F195=5),1,SUMIF('Suivi budgétaire'!$A:$A,'Import balance'!A195,'Suivi budgétaire'!$A:$A)+SUMIF('Suivi budgétaire'!$B:$B,'Import balance'!A195,'Suivi budgétaire'!$B:$B)+SUMIF('Suivi budgétaire'!$C:$C,'Import balance'!A195,'Suivi budgétaire'!$C:$C)+SUMIF('Suivi budgétaire'!$D:$D,'Import balance'!A195,'Suivi budgétaire'!$D:$D)+SUMIF('Suivi budgétaire'!$E:$E,'Import balance'!A195,'Suivi budgétaire'!$E:$E)))</f>
        <v/>
      </c>
    </row>
    <row r="196">
      <c r="A196" s="86"/>
      <c r="B196" s="86"/>
      <c r="C196" s="86"/>
      <c r="D196" s="86"/>
      <c r="E196" s="552">
        <f t="shared" si="373"/>
        <v>0</v>
      </c>
      <c r="F196" s="557" t="str">
        <f t="shared" si="374"/>
        <v/>
      </c>
      <c r="G196" s="553" t="str">
        <f t="shared" si="375"/>
        <v/>
      </c>
      <c r="I196" s="36" t="str">
        <f>IF(A196="","",IF(OR(F196=1,F196=2,F196=3,F196=4,F196=5),1,SUMIF('Suivi budgétaire'!$A:$A,'Import balance'!A196,'Suivi budgétaire'!$A:$A)+SUMIF('Suivi budgétaire'!$B:$B,'Import balance'!A196,'Suivi budgétaire'!$B:$B)+SUMIF('Suivi budgétaire'!$C:$C,'Import balance'!A196,'Suivi budgétaire'!$C:$C)+SUMIF('Suivi budgétaire'!$D:$D,'Import balance'!A196,'Suivi budgétaire'!$D:$D)+SUMIF('Suivi budgétaire'!$E:$E,'Import balance'!A196,'Suivi budgétaire'!$E:$E)))</f>
        <v/>
      </c>
    </row>
    <row r="197">
      <c r="A197" s="86"/>
      <c r="B197" s="86"/>
      <c r="C197" s="86"/>
      <c r="D197" s="86"/>
      <c r="E197" s="552">
        <f t="shared" ref="E197:E260" si="376">C197-D197</f>
        <v>0</v>
      </c>
      <c r="F197" s="557" t="str">
        <f t="shared" si="374"/>
        <v/>
      </c>
      <c r="G197" s="553" t="str">
        <f t="shared" si="375"/>
        <v/>
      </c>
      <c r="I197" s="36" t="str">
        <f>IF(A197="","",IF(OR(F197=1,F197=2,F197=3,F197=4,F197=5),1,SUMIF('Suivi budgétaire'!$A:$A,'Import balance'!A197,'Suivi budgétaire'!$A:$A)+SUMIF('Suivi budgétaire'!$B:$B,'Import balance'!A197,'Suivi budgétaire'!$B:$B)+SUMIF('Suivi budgétaire'!$C:$C,'Import balance'!A197,'Suivi budgétaire'!$C:$C)+SUMIF('Suivi budgétaire'!$D:$D,'Import balance'!A197,'Suivi budgétaire'!$D:$D)+SUMIF('Suivi budgétaire'!$E:$E,'Import balance'!A197,'Suivi budgétaire'!$E:$E)))</f>
        <v/>
      </c>
    </row>
    <row r="198">
      <c r="A198" s="86"/>
      <c r="B198" s="86"/>
      <c r="C198" s="86"/>
      <c r="D198" s="86"/>
      <c r="E198" s="552">
        <f t="shared" si="376"/>
        <v>0</v>
      </c>
      <c r="F198" s="557" t="str">
        <f t="shared" si="374"/>
        <v/>
      </c>
      <c r="G198" s="553" t="str">
        <f t="shared" si="375"/>
        <v/>
      </c>
      <c r="I198" s="36" t="str">
        <f>IF(A198="","",IF(OR(F198=1,F198=2,F198=3,F198=4,F198=5),1,SUMIF('Suivi budgétaire'!$A:$A,'Import balance'!A198,'Suivi budgétaire'!$A:$A)+SUMIF('Suivi budgétaire'!$B:$B,'Import balance'!A198,'Suivi budgétaire'!$B:$B)+SUMIF('Suivi budgétaire'!$C:$C,'Import balance'!A198,'Suivi budgétaire'!$C:$C)+SUMIF('Suivi budgétaire'!$D:$D,'Import balance'!A198,'Suivi budgétaire'!$D:$D)+SUMIF('Suivi budgétaire'!$E:$E,'Import balance'!A198,'Suivi budgétaire'!$E:$E)))</f>
        <v/>
      </c>
    </row>
    <row r="199">
      <c r="A199" s="86"/>
      <c r="B199" s="86"/>
      <c r="C199" s="86"/>
      <c r="D199" s="86"/>
      <c r="E199" s="552">
        <f t="shared" si="376"/>
        <v>0</v>
      </c>
      <c r="F199" s="557" t="str">
        <f t="shared" si="374"/>
        <v/>
      </c>
      <c r="G199" s="553" t="str">
        <f t="shared" si="375"/>
        <v/>
      </c>
      <c r="I199" s="36" t="str">
        <f>IF(A199="","",IF(OR(F199=1,F199=2,F199=3,F199=4,F199=5),1,SUMIF('Suivi budgétaire'!$A:$A,'Import balance'!A199,'Suivi budgétaire'!$A:$A)+SUMIF('Suivi budgétaire'!$B:$B,'Import balance'!A199,'Suivi budgétaire'!$B:$B)+SUMIF('Suivi budgétaire'!$C:$C,'Import balance'!A199,'Suivi budgétaire'!$C:$C)+SUMIF('Suivi budgétaire'!$D:$D,'Import balance'!A199,'Suivi budgétaire'!$D:$D)+SUMIF('Suivi budgétaire'!$E:$E,'Import balance'!A199,'Suivi budgétaire'!$E:$E)))</f>
        <v/>
      </c>
    </row>
    <row r="200">
      <c r="A200" s="86"/>
      <c r="B200" s="86"/>
      <c r="C200" s="86"/>
      <c r="D200" s="86"/>
      <c r="E200" s="552">
        <f t="shared" si="376"/>
        <v>0</v>
      </c>
      <c r="F200" s="557" t="str">
        <f t="shared" si="374"/>
        <v/>
      </c>
      <c r="G200" s="553" t="str">
        <f t="shared" si="375"/>
        <v/>
      </c>
      <c r="I200" s="36" t="str">
        <f>IF(A200="","",IF(OR(F200=1,F200=2,F200=3,F200=4,F200=5),1,SUMIF('Suivi budgétaire'!$A:$A,'Import balance'!A200,'Suivi budgétaire'!$A:$A)+SUMIF('Suivi budgétaire'!$B:$B,'Import balance'!A200,'Suivi budgétaire'!$B:$B)+SUMIF('Suivi budgétaire'!$C:$C,'Import balance'!A200,'Suivi budgétaire'!$C:$C)+SUMIF('Suivi budgétaire'!$D:$D,'Import balance'!A200,'Suivi budgétaire'!$D:$D)+SUMIF('Suivi budgétaire'!$E:$E,'Import balance'!A200,'Suivi budgétaire'!$E:$E)))</f>
        <v/>
      </c>
    </row>
    <row r="201">
      <c r="A201" s="86"/>
      <c r="B201" s="86"/>
      <c r="C201" s="86"/>
      <c r="D201" s="86"/>
      <c r="E201" s="552">
        <f t="shared" si="376"/>
        <v>0</v>
      </c>
      <c r="F201" s="557" t="str">
        <f t="shared" si="374"/>
        <v/>
      </c>
      <c r="G201" s="553" t="str">
        <f t="shared" si="375"/>
        <v/>
      </c>
      <c r="I201" s="36" t="str">
        <f>IF(A201="","",IF(OR(F201=1,F201=2,F201=3,F201=4,F201=5),1,SUMIF('Suivi budgétaire'!$A:$A,'Import balance'!A201,'Suivi budgétaire'!$A:$A)+SUMIF('Suivi budgétaire'!$B:$B,'Import balance'!A201,'Suivi budgétaire'!$B:$B)+SUMIF('Suivi budgétaire'!$C:$C,'Import balance'!A201,'Suivi budgétaire'!$C:$C)+SUMIF('Suivi budgétaire'!$D:$D,'Import balance'!A201,'Suivi budgétaire'!$D:$D)+SUMIF('Suivi budgétaire'!$E:$E,'Import balance'!A201,'Suivi budgétaire'!$E:$E)))</f>
        <v/>
      </c>
    </row>
    <row r="202">
      <c r="A202" s="86"/>
      <c r="B202" s="86"/>
      <c r="C202" s="86"/>
      <c r="D202" s="86"/>
      <c r="E202" s="552">
        <f t="shared" si="376"/>
        <v>0</v>
      </c>
      <c r="F202" s="557" t="str">
        <f t="shared" si="374"/>
        <v/>
      </c>
      <c r="G202" s="553" t="str">
        <f t="shared" si="375"/>
        <v/>
      </c>
      <c r="I202" s="36" t="str">
        <f>IF(A202="","",IF(OR(F202=1,F202=2,F202=3,F202=4,F202=5),1,SUMIF('Suivi budgétaire'!$A:$A,'Import balance'!A202,'Suivi budgétaire'!$A:$A)+SUMIF('Suivi budgétaire'!$B:$B,'Import balance'!A202,'Suivi budgétaire'!$B:$B)+SUMIF('Suivi budgétaire'!$C:$C,'Import balance'!A202,'Suivi budgétaire'!$C:$C)+SUMIF('Suivi budgétaire'!$D:$D,'Import balance'!A202,'Suivi budgétaire'!$D:$D)+SUMIF('Suivi budgétaire'!$E:$E,'Import balance'!A202,'Suivi budgétaire'!$E:$E)))</f>
        <v/>
      </c>
    </row>
    <row r="203">
      <c r="A203" s="86"/>
      <c r="B203" s="86"/>
      <c r="C203" s="86"/>
      <c r="D203" s="86"/>
      <c r="E203" s="552">
        <f t="shared" si="376"/>
        <v>0</v>
      </c>
      <c r="F203" s="557" t="str">
        <f t="shared" si="374"/>
        <v/>
      </c>
      <c r="G203" s="553" t="str">
        <f t="shared" si="375"/>
        <v/>
      </c>
      <c r="I203" s="36" t="str">
        <f>IF(A203="","",IF(OR(F203=1,F203=2,F203=3,F203=4,F203=5),1,SUMIF('Suivi budgétaire'!$A:$A,'Import balance'!A203,'Suivi budgétaire'!$A:$A)+SUMIF('Suivi budgétaire'!$B:$B,'Import balance'!A203,'Suivi budgétaire'!$B:$B)+SUMIF('Suivi budgétaire'!$C:$C,'Import balance'!A203,'Suivi budgétaire'!$C:$C)+SUMIF('Suivi budgétaire'!$D:$D,'Import balance'!A203,'Suivi budgétaire'!$D:$D)+SUMIF('Suivi budgétaire'!$E:$E,'Import balance'!A203,'Suivi budgétaire'!$E:$E)))</f>
        <v/>
      </c>
    </row>
    <row r="204">
      <c r="A204" s="86"/>
      <c r="B204" s="86"/>
      <c r="C204" s="86"/>
      <c r="D204" s="86"/>
      <c r="E204" s="552">
        <f t="shared" si="376"/>
        <v>0</v>
      </c>
      <c r="F204" s="557" t="str">
        <f t="shared" si="374"/>
        <v/>
      </c>
      <c r="G204" s="553" t="str">
        <f t="shared" si="375"/>
        <v/>
      </c>
      <c r="I204" s="36" t="str">
        <f>IF(A204="","",IF(OR(F204=1,F204=2,F204=3,F204=4,F204=5),1,SUMIF('Suivi budgétaire'!$A:$A,'Import balance'!A204,'Suivi budgétaire'!$A:$A)+SUMIF('Suivi budgétaire'!$B:$B,'Import balance'!A204,'Suivi budgétaire'!$B:$B)+SUMIF('Suivi budgétaire'!$C:$C,'Import balance'!A204,'Suivi budgétaire'!$C:$C)+SUMIF('Suivi budgétaire'!$D:$D,'Import balance'!A204,'Suivi budgétaire'!$D:$D)+SUMIF('Suivi budgétaire'!$E:$E,'Import balance'!A204,'Suivi budgétaire'!$E:$E)))</f>
        <v/>
      </c>
    </row>
    <row r="205">
      <c r="A205" s="86"/>
      <c r="B205" s="86"/>
      <c r="C205" s="86"/>
      <c r="D205" s="86"/>
      <c r="E205" s="552">
        <f t="shared" si="376"/>
        <v>0</v>
      </c>
      <c r="F205" s="557" t="str">
        <f t="shared" si="374"/>
        <v/>
      </c>
      <c r="G205" s="553" t="str">
        <f t="shared" si="375"/>
        <v/>
      </c>
      <c r="I205" s="36" t="str">
        <f>IF(A205="","",IF(OR(F205=1,F205=2,F205=3,F205=4,F205=5),1,SUMIF('Suivi budgétaire'!$A:$A,'Import balance'!A205,'Suivi budgétaire'!$A:$A)+SUMIF('Suivi budgétaire'!$B:$B,'Import balance'!A205,'Suivi budgétaire'!$B:$B)+SUMIF('Suivi budgétaire'!$C:$C,'Import balance'!A205,'Suivi budgétaire'!$C:$C)+SUMIF('Suivi budgétaire'!$D:$D,'Import balance'!A205,'Suivi budgétaire'!$D:$D)+SUMIF('Suivi budgétaire'!$E:$E,'Import balance'!A205,'Suivi budgétaire'!$E:$E)))</f>
        <v/>
      </c>
    </row>
    <row r="206">
      <c r="A206" s="86"/>
      <c r="B206" s="86"/>
      <c r="C206" s="86"/>
      <c r="D206" s="86"/>
      <c r="E206" s="552">
        <f t="shared" si="376"/>
        <v>0</v>
      </c>
      <c r="F206" s="557" t="str">
        <f t="shared" si="374"/>
        <v/>
      </c>
      <c r="G206" s="553" t="str">
        <f t="shared" si="375"/>
        <v/>
      </c>
      <c r="I206" s="36" t="str">
        <f>IF(A206="","",IF(OR(F206=1,F206=2,F206=3,F206=4,F206=5),1,SUMIF('Suivi budgétaire'!$A:$A,'Import balance'!A206,'Suivi budgétaire'!$A:$A)+SUMIF('Suivi budgétaire'!$B:$B,'Import balance'!A206,'Suivi budgétaire'!$B:$B)+SUMIF('Suivi budgétaire'!$C:$C,'Import balance'!A206,'Suivi budgétaire'!$C:$C)+SUMIF('Suivi budgétaire'!$D:$D,'Import balance'!A206,'Suivi budgétaire'!$D:$D)+SUMIF('Suivi budgétaire'!$E:$E,'Import balance'!A206,'Suivi budgétaire'!$E:$E)))</f>
        <v/>
      </c>
    </row>
    <row r="207">
      <c r="A207" s="86"/>
      <c r="B207" s="86"/>
      <c r="C207" s="86"/>
      <c r="D207" s="86"/>
      <c r="E207" s="552">
        <f t="shared" si="376"/>
        <v>0</v>
      </c>
      <c r="F207" s="557" t="str">
        <f t="shared" si="374"/>
        <v/>
      </c>
      <c r="G207" s="553" t="str">
        <f t="shared" si="375"/>
        <v/>
      </c>
      <c r="I207" s="36" t="str">
        <f>IF(A207="","",IF(OR(F207=1,F207=2,F207=3,F207=4,F207=5),1,SUMIF('Suivi budgétaire'!$A:$A,'Import balance'!A207,'Suivi budgétaire'!$A:$A)+SUMIF('Suivi budgétaire'!$B:$B,'Import balance'!A207,'Suivi budgétaire'!$B:$B)+SUMIF('Suivi budgétaire'!$C:$C,'Import balance'!A207,'Suivi budgétaire'!$C:$C)+SUMIF('Suivi budgétaire'!$D:$D,'Import balance'!A207,'Suivi budgétaire'!$D:$D)+SUMIF('Suivi budgétaire'!$E:$E,'Import balance'!A207,'Suivi budgétaire'!$E:$E)))</f>
        <v/>
      </c>
    </row>
    <row r="208">
      <c r="A208" s="86"/>
      <c r="B208" s="86"/>
      <c r="C208" s="86"/>
      <c r="D208" s="86"/>
      <c r="E208" s="552">
        <f t="shared" si="376"/>
        <v>0</v>
      </c>
      <c r="F208" s="557" t="str">
        <f t="shared" si="374"/>
        <v/>
      </c>
      <c r="G208" s="553" t="str">
        <f t="shared" si="375"/>
        <v/>
      </c>
      <c r="I208" s="36" t="str">
        <f>IF(A208="","",IF(OR(F208=1,F208=2,F208=3,F208=4,F208=5),1,SUMIF('Suivi budgétaire'!$A:$A,'Import balance'!A208,'Suivi budgétaire'!$A:$A)+SUMIF('Suivi budgétaire'!$B:$B,'Import balance'!A208,'Suivi budgétaire'!$B:$B)+SUMIF('Suivi budgétaire'!$C:$C,'Import balance'!A208,'Suivi budgétaire'!$C:$C)+SUMIF('Suivi budgétaire'!$D:$D,'Import balance'!A208,'Suivi budgétaire'!$D:$D)+SUMIF('Suivi budgétaire'!$E:$E,'Import balance'!A208,'Suivi budgétaire'!$E:$E)))</f>
        <v/>
      </c>
    </row>
    <row r="209">
      <c r="A209" s="86"/>
      <c r="B209" s="86"/>
      <c r="C209" s="86"/>
      <c r="D209" s="86"/>
      <c r="E209" s="552">
        <f t="shared" si="376"/>
        <v>0</v>
      </c>
      <c r="F209" s="557" t="str">
        <f t="shared" si="374"/>
        <v/>
      </c>
      <c r="G209" s="553" t="str">
        <f t="shared" si="375"/>
        <v/>
      </c>
      <c r="I209" s="36" t="str">
        <f>IF(A209="","",IF(OR(F209=1,F209=2,F209=3,F209=4,F209=5),1,SUMIF('Suivi budgétaire'!$A:$A,'Import balance'!A209,'Suivi budgétaire'!$A:$A)+SUMIF('Suivi budgétaire'!$B:$B,'Import balance'!A209,'Suivi budgétaire'!$B:$B)+SUMIF('Suivi budgétaire'!$C:$C,'Import balance'!A209,'Suivi budgétaire'!$C:$C)+SUMIF('Suivi budgétaire'!$D:$D,'Import balance'!A209,'Suivi budgétaire'!$D:$D)+SUMIF('Suivi budgétaire'!$E:$E,'Import balance'!A209,'Suivi budgétaire'!$E:$E)))</f>
        <v/>
      </c>
    </row>
    <row r="210">
      <c r="A210" s="86"/>
      <c r="B210" s="86"/>
      <c r="C210" s="86"/>
      <c r="D210" s="86"/>
      <c r="E210" s="552">
        <f t="shared" si="376"/>
        <v>0</v>
      </c>
      <c r="F210" s="557" t="str">
        <f t="shared" si="374"/>
        <v/>
      </c>
      <c r="G210" s="553" t="str">
        <f t="shared" si="375"/>
        <v/>
      </c>
      <c r="I210" s="36" t="str">
        <f>IF(A210="","",IF(OR(F210=1,F210=2,F210=3,F210=4,F210=5),1,SUMIF('Suivi budgétaire'!$A:$A,'Import balance'!A210,'Suivi budgétaire'!$A:$A)+SUMIF('Suivi budgétaire'!$B:$B,'Import balance'!A210,'Suivi budgétaire'!$B:$B)+SUMIF('Suivi budgétaire'!$C:$C,'Import balance'!A210,'Suivi budgétaire'!$C:$C)+SUMIF('Suivi budgétaire'!$D:$D,'Import balance'!A210,'Suivi budgétaire'!$D:$D)+SUMIF('Suivi budgétaire'!$E:$E,'Import balance'!A210,'Suivi budgétaire'!$E:$E)))</f>
        <v/>
      </c>
    </row>
    <row r="211">
      <c r="A211" s="86"/>
      <c r="B211" s="86"/>
      <c r="C211" s="86"/>
      <c r="D211" s="86"/>
      <c r="E211" s="552">
        <f t="shared" si="376"/>
        <v>0</v>
      </c>
      <c r="F211" s="557" t="str">
        <f t="shared" si="374"/>
        <v/>
      </c>
      <c r="G211" s="553" t="str">
        <f t="shared" si="375"/>
        <v/>
      </c>
      <c r="I211" s="36" t="str">
        <f>IF(A211="","",IF(OR(F211=1,F211=2,F211=3,F211=4,F211=5),1,SUMIF('Suivi budgétaire'!$A:$A,'Import balance'!A211,'Suivi budgétaire'!$A:$A)+SUMIF('Suivi budgétaire'!$B:$B,'Import balance'!A211,'Suivi budgétaire'!$B:$B)+SUMIF('Suivi budgétaire'!$C:$C,'Import balance'!A211,'Suivi budgétaire'!$C:$C)+SUMIF('Suivi budgétaire'!$D:$D,'Import balance'!A211,'Suivi budgétaire'!$D:$D)+SUMIF('Suivi budgétaire'!$E:$E,'Import balance'!A211,'Suivi budgétaire'!$E:$E)))</f>
        <v/>
      </c>
    </row>
    <row r="212">
      <c r="A212" s="86"/>
      <c r="B212" s="86"/>
      <c r="C212" s="86"/>
      <c r="D212" s="86"/>
      <c r="E212" s="552">
        <f t="shared" si="376"/>
        <v>0</v>
      </c>
      <c r="F212" s="557" t="str">
        <f t="shared" si="374"/>
        <v/>
      </c>
      <c r="G212" s="553" t="str">
        <f t="shared" si="375"/>
        <v/>
      </c>
      <c r="I212" s="36" t="str">
        <f>IF(A212="","",IF(OR(F212=1,F212=2,F212=3,F212=4,F212=5),1,SUMIF('Suivi budgétaire'!$A:$A,'Import balance'!A212,'Suivi budgétaire'!$A:$A)+SUMIF('Suivi budgétaire'!$B:$B,'Import balance'!A212,'Suivi budgétaire'!$B:$B)+SUMIF('Suivi budgétaire'!$C:$C,'Import balance'!A212,'Suivi budgétaire'!$C:$C)+SUMIF('Suivi budgétaire'!$D:$D,'Import balance'!A212,'Suivi budgétaire'!$D:$D)+SUMIF('Suivi budgétaire'!$E:$E,'Import balance'!A212,'Suivi budgétaire'!$E:$E)))</f>
        <v/>
      </c>
    </row>
    <row r="213">
      <c r="A213" s="86"/>
      <c r="B213" s="86"/>
      <c r="C213" s="86"/>
      <c r="D213" s="86"/>
      <c r="E213" s="552">
        <f t="shared" si="376"/>
        <v>0</v>
      </c>
      <c r="F213" s="557" t="str">
        <f t="shared" si="374"/>
        <v/>
      </c>
      <c r="G213" s="553" t="str">
        <f t="shared" si="375"/>
        <v/>
      </c>
      <c r="I213" s="36" t="str">
        <f>IF(A213="","",IF(OR(F213=1,F213=2,F213=3,F213=4,F213=5),1,SUMIF('Suivi budgétaire'!$A:$A,'Import balance'!A213,'Suivi budgétaire'!$A:$A)+SUMIF('Suivi budgétaire'!$B:$B,'Import balance'!A213,'Suivi budgétaire'!$B:$B)+SUMIF('Suivi budgétaire'!$C:$C,'Import balance'!A213,'Suivi budgétaire'!$C:$C)+SUMIF('Suivi budgétaire'!$D:$D,'Import balance'!A213,'Suivi budgétaire'!$D:$D)+SUMIF('Suivi budgétaire'!$E:$E,'Import balance'!A213,'Suivi budgétaire'!$E:$E)))</f>
        <v/>
      </c>
    </row>
    <row r="214">
      <c r="A214" s="86"/>
      <c r="B214" s="86"/>
      <c r="C214" s="86"/>
      <c r="D214" s="86"/>
      <c r="E214" s="552">
        <f t="shared" si="376"/>
        <v>0</v>
      </c>
      <c r="F214" s="557" t="str">
        <f t="shared" si="374"/>
        <v/>
      </c>
      <c r="G214" s="553" t="str">
        <f t="shared" si="375"/>
        <v/>
      </c>
      <c r="I214" s="36" t="str">
        <f>IF(A214="","",IF(OR(F214=1,F214=2,F214=3,F214=4,F214=5),1,SUMIF('Suivi budgétaire'!$A:$A,'Import balance'!A214,'Suivi budgétaire'!$A:$A)+SUMIF('Suivi budgétaire'!$B:$B,'Import balance'!A214,'Suivi budgétaire'!$B:$B)+SUMIF('Suivi budgétaire'!$C:$C,'Import balance'!A214,'Suivi budgétaire'!$C:$C)+SUMIF('Suivi budgétaire'!$D:$D,'Import balance'!A214,'Suivi budgétaire'!$D:$D)+SUMIF('Suivi budgétaire'!$E:$E,'Import balance'!A214,'Suivi budgétaire'!$E:$E)))</f>
        <v/>
      </c>
    </row>
    <row r="215">
      <c r="A215" s="86"/>
      <c r="B215" s="86"/>
      <c r="C215" s="86"/>
      <c r="D215" s="86"/>
      <c r="E215" s="552">
        <f t="shared" si="376"/>
        <v>0</v>
      </c>
      <c r="F215" s="557" t="str">
        <f t="shared" si="374"/>
        <v/>
      </c>
      <c r="G215" s="553" t="str">
        <f t="shared" si="375"/>
        <v/>
      </c>
      <c r="I215" s="36" t="str">
        <f>IF(A215="","",IF(OR(F215=1,F215=2,F215=3,F215=4,F215=5),1,SUMIF('Suivi budgétaire'!$A:$A,'Import balance'!A215,'Suivi budgétaire'!$A:$A)+SUMIF('Suivi budgétaire'!$B:$B,'Import balance'!A215,'Suivi budgétaire'!$B:$B)+SUMIF('Suivi budgétaire'!$C:$C,'Import balance'!A215,'Suivi budgétaire'!$C:$C)+SUMIF('Suivi budgétaire'!$D:$D,'Import balance'!A215,'Suivi budgétaire'!$D:$D)+SUMIF('Suivi budgétaire'!$E:$E,'Import balance'!A215,'Suivi budgétaire'!$E:$E)))</f>
        <v/>
      </c>
    </row>
    <row r="216">
      <c r="A216" s="86"/>
      <c r="B216" s="86"/>
      <c r="C216" s="86"/>
      <c r="D216" s="86"/>
      <c r="E216" s="552">
        <f t="shared" si="376"/>
        <v>0</v>
      </c>
      <c r="F216" s="557" t="str">
        <f t="shared" si="374"/>
        <v/>
      </c>
      <c r="G216" s="553" t="str">
        <f t="shared" si="375"/>
        <v/>
      </c>
      <c r="I216" s="36" t="str">
        <f>IF(A216="","",IF(OR(F216=1,F216=2,F216=3,F216=4,F216=5),1,SUMIF('Suivi budgétaire'!$A:$A,'Import balance'!A216,'Suivi budgétaire'!$A:$A)+SUMIF('Suivi budgétaire'!$B:$B,'Import balance'!A216,'Suivi budgétaire'!$B:$B)+SUMIF('Suivi budgétaire'!$C:$C,'Import balance'!A216,'Suivi budgétaire'!$C:$C)+SUMIF('Suivi budgétaire'!$D:$D,'Import balance'!A216,'Suivi budgétaire'!$D:$D)+SUMIF('Suivi budgétaire'!$E:$E,'Import balance'!A216,'Suivi budgétaire'!$E:$E)))</f>
        <v/>
      </c>
    </row>
    <row r="217">
      <c r="A217" s="86"/>
      <c r="B217" s="86"/>
      <c r="C217" s="86"/>
      <c r="D217" s="86"/>
      <c r="E217" s="552">
        <f t="shared" si="376"/>
        <v>0</v>
      </c>
      <c r="F217" s="557" t="str">
        <f t="shared" si="374"/>
        <v/>
      </c>
      <c r="G217" s="553" t="str">
        <f t="shared" si="375"/>
        <v/>
      </c>
      <c r="I217" s="36" t="str">
        <f>IF(A217="","",IF(OR(F217=1,F217=2,F217=3,F217=4,F217=5),1,SUMIF('Suivi budgétaire'!$A:$A,'Import balance'!A217,'Suivi budgétaire'!$A:$A)+SUMIF('Suivi budgétaire'!$B:$B,'Import balance'!A217,'Suivi budgétaire'!$B:$B)+SUMIF('Suivi budgétaire'!$C:$C,'Import balance'!A217,'Suivi budgétaire'!$C:$C)+SUMIF('Suivi budgétaire'!$D:$D,'Import balance'!A217,'Suivi budgétaire'!$D:$D)+SUMIF('Suivi budgétaire'!$E:$E,'Import balance'!A217,'Suivi budgétaire'!$E:$E)))</f>
        <v/>
      </c>
    </row>
    <row r="218">
      <c r="A218" s="86"/>
      <c r="B218" s="86"/>
      <c r="C218" s="86"/>
      <c r="D218" s="86"/>
      <c r="E218" s="552">
        <f t="shared" si="376"/>
        <v>0</v>
      </c>
      <c r="F218" s="557" t="str">
        <f t="shared" si="374"/>
        <v/>
      </c>
      <c r="G218" s="553" t="str">
        <f t="shared" si="375"/>
        <v/>
      </c>
      <c r="I218" s="36" t="str">
        <f>IF(A218="","",IF(OR(F218=1,F218=2,F218=3,F218=4,F218=5),1,SUMIF('Suivi budgétaire'!$A:$A,'Import balance'!A218,'Suivi budgétaire'!$A:$A)+SUMIF('Suivi budgétaire'!$B:$B,'Import balance'!A218,'Suivi budgétaire'!$B:$B)+SUMIF('Suivi budgétaire'!$C:$C,'Import balance'!A218,'Suivi budgétaire'!$C:$C)+SUMIF('Suivi budgétaire'!$D:$D,'Import balance'!A218,'Suivi budgétaire'!$D:$D)+SUMIF('Suivi budgétaire'!$E:$E,'Import balance'!A218,'Suivi budgétaire'!$E:$E)))</f>
        <v/>
      </c>
    </row>
    <row r="219">
      <c r="A219" s="86"/>
      <c r="B219" s="86"/>
      <c r="C219" s="86"/>
      <c r="D219" s="86"/>
      <c r="E219" s="552">
        <f t="shared" si="376"/>
        <v>0</v>
      </c>
      <c r="F219" s="557" t="str">
        <f t="shared" si="374"/>
        <v/>
      </c>
      <c r="G219" s="553" t="str">
        <f t="shared" si="375"/>
        <v/>
      </c>
      <c r="I219" s="36" t="str">
        <f>IF(A219="","",IF(OR(F219=1,F219=2,F219=3,F219=4,F219=5),1,SUMIF('Suivi budgétaire'!$A:$A,'Import balance'!A219,'Suivi budgétaire'!$A:$A)+SUMIF('Suivi budgétaire'!$B:$B,'Import balance'!A219,'Suivi budgétaire'!$B:$B)+SUMIF('Suivi budgétaire'!$C:$C,'Import balance'!A219,'Suivi budgétaire'!$C:$C)+SUMIF('Suivi budgétaire'!$D:$D,'Import balance'!A219,'Suivi budgétaire'!$D:$D)+SUMIF('Suivi budgétaire'!$E:$E,'Import balance'!A219,'Suivi budgétaire'!$E:$E)))</f>
        <v/>
      </c>
    </row>
    <row r="220">
      <c r="A220" s="86"/>
      <c r="B220" s="86"/>
      <c r="C220" s="86"/>
      <c r="D220" s="86"/>
      <c r="E220" s="552">
        <f t="shared" si="376"/>
        <v>0</v>
      </c>
      <c r="F220" s="557" t="str">
        <f t="shared" si="374"/>
        <v/>
      </c>
      <c r="G220" s="553" t="str">
        <f t="shared" si="375"/>
        <v/>
      </c>
      <c r="I220" s="36" t="str">
        <f>IF(A220="","",IF(OR(F220=1,F220=2,F220=3,F220=4,F220=5),1,SUMIF('Suivi budgétaire'!$A:$A,'Import balance'!A220,'Suivi budgétaire'!$A:$A)+SUMIF('Suivi budgétaire'!$B:$B,'Import balance'!A220,'Suivi budgétaire'!$B:$B)+SUMIF('Suivi budgétaire'!$C:$C,'Import balance'!A220,'Suivi budgétaire'!$C:$C)+SUMIF('Suivi budgétaire'!$D:$D,'Import balance'!A220,'Suivi budgétaire'!$D:$D)+SUMIF('Suivi budgétaire'!$E:$E,'Import balance'!A220,'Suivi budgétaire'!$E:$E)))</f>
        <v/>
      </c>
    </row>
    <row r="221">
      <c r="A221" s="86"/>
      <c r="B221" s="86"/>
      <c r="C221" s="86"/>
      <c r="D221" s="86"/>
      <c r="E221" s="552">
        <f t="shared" si="376"/>
        <v>0</v>
      </c>
      <c r="F221" s="557" t="str">
        <f t="shared" si="374"/>
        <v/>
      </c>
      <c r="G221" s="553" t="str">
        <f t="shared" si="375"/>
        <v/>
      </c>
      <c r="I221" s="36" t="str">
        <f>IF(A221="","",IF(OR(F221=1,F221=2,F221=3,F221=4,F221=5),1,SUMIF('Suivi budgétaire'!$A:$A,'Import balance'!A221,'Suivi budgétaire'!$A:$A)+SUMIF('Suivi budgétaire'!$B:$B,'Import balance'!A221,'Suivi budgétaire'!$B:$B)+SUMIF('Suivi budgétaire'!$C:$C,'Import balance'!A221,'Suivi budgétaire'!$C:$C)+SUMIF('Suivi budgétaire'!$D:$D,'Import balance'!A221,'Suivi budgétaire'!$D:$D)+SUMIF('Suivi budgétaire'!$E:$E,'Import balance'!A221,'Suivi budgétaire'!$E:$E)))</f>
        <v/>
      </c>
    </row>
    <row r="222">
      <c r="A222" s="86"/>
      <c r="B222" s="86"/>
      <c r="C222" s="86"/>
      <c r="D222" s="86"/>
      <c r="E222" s="552">
        <f t="shared" si="376"/>
        <v>0</v>
      </c>
      <c r="F222" s="557" t="str">
        <f t="shared" si="374"/>
        <v/>
      </c>
      <c r="G222" s="553" t="str">
        <f t="shared" si="375"/>
        <v/>
      </c>
      <c r="I222" s="36" t="str">
        <f>IF(A222="","",IF(OR(F222=1,F222=2,F222=3,F222=4,F222=5),1,SUMIF('Suivi budgétaire'!$A:$A,'Import balance'!A222,'Suivi budgétaire'!$A:$A)+SUMIF('Suivi budgétaire'!$B:$B,'Import balance'!A222,'Suivi budgétaire'!$B:$B)+SUMIF('Suivi budgétaire'!$C:$C,'Import balance'!A222,'Suivi budgétaire'!$C:$C)+SUMIF('Suivi budgétaire'!$D:$D,'Import balance'!A222,'Suivi budgétaire'!$D:$D)+SUMIF('Suivi budgétaire'!$E:$E,'Import balance'!A222,'Suivi budgétaire'!$E:$E)))</f>
        <v/>
      </c>
    </row>
    <row r="223">
      <c r="A223" s="86"/>
      <c r="B223" s="86"/>
      <c r="C223" s="86"/>
      <c r="D223" s="86"/>
      <c r="E223" s="552">
        <f t="shared" si="376"/>
        <v>0</v>
      </c>
      <c r="F223" s="557" t="str">
        <f t="shared" si="374"/>
        <v/>
      </c>
      <c r="G223" s="553" t="str">
        <f t="shared" si="375"/>
        <v/>
      </c>
      <c r="I223" s="36" t="str">
        <f>IF(A223="","",IF(OR(F223=1,F223=2,F223=3,F223=4,F223=5),1,SUMIF('Suivi budgétaire'!$A:$A,'Import balance'!A223,'Suivi budgétaire'!$A:$A)+SUMIF('Suivi budgétaire'!$B:$B,'Import balance'!A223,'Suivi budgétaire'!$B:$B)+SUMIF('Suivi budgétaire'!$C:$C,'Import balance'!A223,'Suivi budgétaire'!$C:$C)+SUMIF('Suivi budgétaire'!$D:$D,'Import balance'!A223,'Suivi budgétaire'!$D:$D)+SUMIF('Suivi budgétaire'!$E:$E,'Import balance'!A223,'Suivi budgétaire'!$E:$E)))</f>
        <v/>
      </c>
    </row>
    <row r="224">
      <c r="A224" s="86"/>
      <c r="B224" s="86"/>
      <c r="C224" s="86"/>
      <c r="D224" s="86"/>
      <c r="E224" s="552">
        <f t="shared" si="376"/>
        <v>0</v>
      </c>
      <c r="F224" s="557" t="str">
        <f t="shared" si="374"/>
        <v/>
      </c>
      <c r="G224" s="553" t="str">
        <f t="shared" si="375"/>
        <v/>
      </c>
      <c r="I224" s="36" t="str">
        <f>IF(A224="","",IF(OR(F224=1,F224=2,F224=3,F224=4,F224=5),1,SUMIF('Suivi budgétaire'!$A:$A,'Import balance'!A224,'Suivi budgétaire'!$A:$A)+SUMIF('Suivi budgétaire'!$B:$B,'Import balance'!A224,'Suivi budgétaire'!$B:$B)+SUMIF('Suivi budgétaire'!$C:$C,'Import balance'!A224,'Suivi budgétaire'!$C:$C)+SUMIF('Suivi budgétaire'!$D:$D,'Import balance'!A224,'Suivi budgétaire'!$D:$D)+SUMIF('Suivi budgétaire'!$E:$E,'Import balance'!A224,'Suivi budgétaire'!$E:$E)))</f>
        <v/>
      </c>
    </row>
    <row r="225">
      <c r="A225" s="86"/>
      <c r="B225" s="86"/>
      <c r="C225" s="86"/>
      <c r="D225" s="86"/>
      <c r="E225" s="552">
        <f t="shared" si="376"/>
        <v>0</v>
      </c>
      <c r="F225" s="557" t="str">
        <f t="shared" si="374"/>
        <v/>
      </c>
      <c r="G225" s="553" t="str">
        <f t="shared" si="375"/>
        <v/>
      </c>
      <c r="I225" s="36" t="str">
        <f>IF(A225="","",IF(OR(F225=1,F225=2,F225=3,F225=4,F225=5),1,SUMIF('Suivi budgétaire'!$A:$A,'Import balance'!A225,'Suivi budgétaire'!$A:$A)+SUMIF('Suivi budgétaire'!$B:$B,'Import balance'!A225,'Suivi budgétaire'!$B:$B)+SUMIF('Suivi budgétaire'!$C:$C,'Import balance'!A225,'Suivi budgétaire'!$C:$C)+SUMIF('Suivi budgétaire'!$D:$D,'Import balance'!A225,'Suivi budgétaire'!$D:$D)+SUMIF('Suivi budgétaire'!$E:$E,'Import balance'!A225,'Suivi budgétaire'!$E:$E)))</f>
        <v/>
      </c>
    </row>
    <row r="226">
      <c r="A226" s="86"/>
      <c r="B226" s="86"/>
      <c r="C226" s="86"/>
      <c r="D226" s="86"/>
      <c r="E226" s="552">
        <f t="shared" si="376"/>
        <v>0</v>
      </c>
      <c r="F226" s="557" t="str">
        <f t="shared" si="374"/>
        <v/>
      </c>
      <c r="G226" s="553" t="str">
        <f t="shared" si="375"/>
        <v/>
      </c>
      <c r="I226" s="36" t="str">
        <f>IF(A226="","",IF(OR(F226=1,F226=2,F226=3,F226=4,F226=5),1,SUMIF('Suivi budgétaire'!$A:$A,'Import balance'!A226,'Suivi budgétaire'!$A:$A)+SUMIF('Suivi budgétaire'!$B:$B,'Import balance'!A226,'Suivi budgétaire'!$B:$B)+SUMIF('Suivi budgétaire'!$C:$C,'Import balance'!A226,'Suivi budgétaire'!$C:$C)+SUMIF('Suivi budgétaire'!$D:$D,'Import balance'!A226,'Suivi budgétaire'!$D:$D)+SUMIF('Suivi budgétaire'!$E:$E,'Import balance'!A226,'Suivi budgétaire'!$E:$E)))</f>
        <v/>
      </c>
    </row>
    <row r="227">
      <c r="A227" s="86"/>
      <c r="B227" s="86"/>
      <c r="C227" s="86"/>
      <c r="D227" s="86"/>
      <c r="E227" s="552">
        <f t="shared" si="376"/>
        <v>0</v>
      </c>
      <c r="F227" s="557" t="str">
        <f t="shared" si="374"/>
        <v/>
      </c>
      <c r="G227" s="553" t="str">
        <f t="shared" si="375"/>
        <v/>
      </c>
      <c r="I227" s="36" t="str">
        <f>IF(A227="","",IF(OR(F227=1,F227=2,F227=3,F227=4,F227=5),1,SUMIF('Suivi budgétaire'!$A:$A,'Import balance'!A227,'Suivi budgétaire'!$A:$A)+SUMIF('Suivi budgétaire'!$B:$B,'Import balance'!A227,'Suivi budgétaire'!$B:$B)+SUMIF('Suivi budgétaire'!$C:$C,'Import balance'!A227,'Suivi budgétaire'!$C:$C)+SUMIF('Suivi budgétaire'!$D:$D,'Import balance'!A227,'Suivi budgétaire'!$D:$D)+SUMIF('Suivi budgétaire'!$E:$E,'Import balance'!A227,'Suivi budgétaire'!$E:$E)))</f>
        <v/>
      </c>
    </row>
    <row r="228">
      <c r="A228" s="86"/>
      <c r="B228" s="86"/>
      <c r="C228" s="86"/>
      <c r="D228" s="86"/>
      <c r="E228" s="552">
        <f t="shared" si="376"/>
        <v>0</v>
      </c>
      <c r="F228" s="557" t="str">
        <f t="shared" ref="F228:F291" si="377">LEFT(A228,1)</f>
        <v/>
      </c>
      <c r="G228" s="553" t="str">
        <f t="shared" ref="G228:G291" si="378">LEFT(A228,3)</f>
        <v/>
      </c>
      <c r="I228" s="36" t="str">
        <f>IF(A228="","",IF(OR(F228=1,F228=2,F228=3,F228=4,F228=5),1,SUMIF('Suivi budgétaire'!$A:$A,'Import balance'!A228,'Suivi budgétaire'!$A:$A)+SUMIF('Suivi budgétaire'!$B:$B,'Import balance'!A228,'Suivi budgétaire'!$B:$B)+SUMIF('Suivi budgétaire'!$C:$C,'Import balance'!A228,'Suivi budgétaire'!$C:$C)+SUMIF('Suivi budgétaire'!$D:$D,'Import balance'!A228,'Suivi budgétaire'!$D:$D)+SUMIF('Suivi budgétaire'!$E:$E,'Import balance'!A228,'Suivi budgétaire'!$E:$E)))</f>
        <v/>
      </c>
    </row>
    <row r="229">
      <c r="A229" s="86"/>
      <c r="B229" s="86"/>
      <c r="C229" s="86"/>
      <c r="D229" s="86"/>
      <c r="E229" s="552">
        <f t="shared" si="376"/>
        <v>0</v>
      </c>
      <c r="F229" s="557" t="str">
        <f t="shared" si="377"/>
        <v/>
      </c>
      <c r="G229" s="553" t="str">
        <f t="shared" si="378"/>
        <v/>
      </c>
      <c r="I229" s="36" t="str">
        <f>IF(A229="","",IF(OR(F229=1,F229=2,F229=3,F229=4,F229=5),1,SUMIF('Suivi budgétaire'!$A:$A,'Import balance'!A229,'Suivi budgétaire'!$A:$A)+SUMIF('Suivi budgétaire'!$B:$B,'Import balance'!A229,'Suivi budgétaire'!$B:$B)+SUMIF('Suivi budgétaire'!$C:$C,'Import balance'!A229,'Suivi budgétaire'!$C:$C)+SUMIF('Suivi budgétaire'!$D:$D,'Import balance'!A229,'Suivi budgétaire'!$D:$D)+SUMIF('Suivi budgétaire'!$E:$E,'Import balance'!A229,'Suivi budgétaire'!$E:$E)))</f>
        <v/>
      </c>
    </row>
    <row r="230">
      <c r="A230" s="86"/>
      <c r="B230" s="86"/>
      <c r="C230" s="86"/>
      <c r="D230" s="86"/>
      <c r="E230" s="552">
        <f t="shared" si="376"/>
        <v>0</v>
      </c>
      <c r="F230" s="557" t="str">
        <f t="shared" si="377"/>
        <v/>
      </c>
      <c r="G230" s="553" t="str">
        <f t="shared" si="378"/>
        <v/>
      </c>
      <c r="I230" s="36" t="str">
        <f>IF(A230="","",IF(OR(F230=1,F230=2,F230=3,F230=4,F230=5),1,SUMIF('Suivi budgétaire'!$A:$A,'Import balance'!A230,'Suivi budgétaire'!$A:$A)+SUMIF('Suivi budgétaire'!$B:$B,'Import balance'!A230,'Suivi budgétaire'!$B:$B)+SUMIF('Suivi budgétaire'!$C:$C,'Import balance'!A230,'Suivi budgétaire'!$C:$C)+SUMIF('Suivi budgétaire'!$D:$D,'Import balance'!A230,'Suivi budgétaire'!$D:$D)+SUMIF('Suivi budgétaire'!$E:$E,'Import balance'!A230,'Suivi budgétaire'!$E:$E)))</f>
        <v/>
      </c>
    </row>
    <row r="231">
      <c r="A231" s="86"/>
      <c r="B231" s="86"/>
      <c r="C231" s="86"/>
      <c r="D231" s="86"/>
      <c r="E231" s="552">
        <f t="shared" si="376"/>
        <v>0</v>
      </c>
      <c r="F231" s="557" t="str">
        <f t="shared" si="377"/>
        <v/>
      </c>
      <c r="G231" s="553" t="str">
        <f t="shared" si="378"/>
        <v/>
      </c>
      <c r="I231" s="36" t="str">
        <f>IF(A231="","",IF(OR(F231=1,F231=2,F231=3,F231=4,F231=5),1,SUMIF('Suivi budgétaire'!$A:$A,'Import balance'!A231,'Suivi budgétaire'!$A:$A)+SUMIF('Suivi budgétaire'!$B:$B,'Import balance'!A231,'Suivi budgétaire'!$B:$B)+SUMIF('Suivi budgétaire'!$C:$C,'Import balance'!A231,'Suivi budgétaire'!$C:$C)+SUMIF('Suivi budgétaire'!$D:$D,'Import balance'!A231,'Suivi budgétaire'!$D:$D)+SUMIF('Suivi budgétaire'!$E:$E,'Import balance'!A231,'Suivi budgétaire'!$E:$E)))</f>
        <v/>
      </c>
    </row>
    <row r="232">
      <c r="A232" s="86"/>
      <c r="B232" s="86"/>
      <c r="C232" s="86"/>
      <c r="D232" s="86"/>
      <c r="E232" s="552">
        <f t="shared" si="376"/>
        <v>0</v>
      </c>
      <c r="F232" s="557" t="str">
        <f t="shared" si="377"/>
        <v/>
      </c>
      <c r="G232" s="553" t="str">
        <f t="shared" si="378"/>
        <v/>
      </c>
      <c r="I232" s="36" t="str">
        <f>IF(A232="","",IF(OR(F232=1,F232=2,F232=3,F232=4,F232=5),1,SUMIF('Suivi budgétaire'!$A:$A,'Import balance'!A232,'Suivi budgétaire'!$A:$A)+SUMIF('Suivi budgétaire'!$B:$B,'Import balance'!A232,'Suivi budgétaire'!$B:$B)+SUMIF('Suivi budgétaire'!$C:$C,'Import balance'!A232,'Suivi budgétaire'!$C:$C)+SUMIF('Suivi budgétaire'!$D:$D,'Import balance'!A232,'Suivi budgétaire'!$D:$D)+SUMIF('Suivi budgétaire'!$E:$E,'Import balance'!A232,'Suivi budgétaire'!$E:$E)))</f>
        <v/>
      </c>
    </row>
    <row r="233">
      <c r="A233" s="86"/>
      <c r="B233" s="86"/>
      <c r="C233" s="86"/>
      <c r="D233" s="86"/>
      <c r="E233" s="552">
        <f t="shared" si="376"/>
        <v>0</v>
      </c>
      <c r="F233" s="557" t="str">
        <f t="shared" si="377"/>
        <v/>
      </c>
      <c r="G233" s="553" t="str">
        <f t="shared" si="378"/>
        <v/>
      </c>
      <c r="I233" s="36" t="str">
        <f>IF(A233="","",IF(OR(F233=1,F233=2,F233=3,F233=4,F233=5),1,SUMIF('Suivi budgétaire'!$A:$A,'Import balance'!A233,'Suivi budgétaire'!$A:$A)+SUMIF('Suivi budgétaire'!$B:$B,'Import balance'!A233,'Suivi budgétaire'!$B:$B)+SUMIF('Suivi budgétaire'!$C:$C,'Import balance'!A233,'Suivi budgétaire'!$C:$C)+SUMIF('Suivi budgétaire'!$D:$D,'Import balance'!A233,'Suivi budgétaire'!$D:$D)+SUMIF('Suivi budgétaire'!$E:$E,'Import balance'!A233,'Suivi budgétaire'!$E:$E)))</f>
        <v/>
      </c>
    </row>
    <row r="234">
      <c r="A234" s="86"/>
      <c r="B234" s="86"/>
      <c r="C234" s="86"/>
      <c r="D234" s="86"/>
      <c r="E234" s="552">
        <f t="shared" si="376"/>
        <v>0</v>
      </c>
      <c r="F234" s="557" t="str">
        <f t="shared" si="377"/>
        <v/>
      </c>
      <c r="G234" s="553" t="str">
        <f t="shared" si="378"/>
        <v/>
      </c>
      <c r="I234" s="36" t="str">
        <f>IF(A234="","",IF(OR(F234=1,F234=2,F234=3,F234=4,F234=5),1,SUMIF('Suivi budgétaire'!$A:$A,'Import balance'!A234,'Suivi budgétaire'!$A:$A)+SUMIF('Suivi budgétaire'!$B:$B,'Import balance'!A234,'Suivi budgétaire'!$B:$B)+SUMIF('Suivi budgétaire'!$C:$C,'Import balance'!A234,'Suivi budgétaire'!$C:$C)+SUMIF('Suivi budgétaire'!$D:$D,'Import balance'!A234,'Suivi budgétaire'!$D:$D)+SUMIF('Suivi budgétaire'!$E:$E,'Import balance'!A234,'Suivi budgétaire'!$E:$E)))</f>
        <v/>
      </c>
    </row>
    <row r="235">
      <c r="A235" s="86"/>
      <c r="B235" s="86"/>
      <c r="C235" s="86"/>
      <c r="D235" s="86"/>
      <c r="E235" s="552">
        <f t="shared" si="376"/>
        <v>0</v>
      </c>
      <c r="F235" s="557" t="str">
        <f t="shared" si="377"/>
        <v/>
      </c>
      <c r="G235" s="553" t="str">
        <f t="shared" si="378"/>
        <v/>
      </c>
      <c r="I235" s="36" t="str">
        <f>IF(A235="","",IF(OR(F235=1,F235=2,F235=3,F235=4,F235=5),1,SUMIF('Suivi budgétaire'!$A:$A,'Import balance'!A235,'Suivi budgétaire'!$A:$A)+SUMIF('Suivi budgétaire'!$B:$B,'Import balance'!A235,'Suivi budgétaire'!$B:$B)+SUMIF('Suivi budgétaire'!$C:$C,'Import balance'!A235,'Suivi budgétaire'!$C:$C)+SUMIF('Suivi budgétaire'!$D:$D,'Import balance'!A235,'Suivi budgétaire'!$D:$D)+SUMIF('Suivi budgétaire'!$E:$E,'Import balance'!A235,'Suivi budgétaire'!$E:$E)))</f>
        <v/>
      </c>
    </row>
    <row r="236">
      <c r="A236" s="86"/>
      <c r="B236" s="86"/>
      <c r="C236" s="86"/>
      <c r="D236" s="86"/>
      <c r="E236" s="552">
        <f t="shared" si="376"/>
        <v>0</v>
      </c>
      <c r="F236" s="557" t="str">
        <f t="shared" si="377"/>
        <v/>
      </c>
      <c r="G236" s="553" t="str">
        <f t="shared" si="378"/>
        <v/>
      </c>
      <c r="I236" s="36" t="str">
        <f>IF(A236="","",IF(OR(F236=1,F236=2,F236=3,F236=4,F236=5),1,SUMIF('Suivi budgétaire'!$A:$A,'Import balance'!A236,'Suivi budgétaire'!$A:$A)+SUMIF('Suivi budgétaire'!$B:$B,'Import balance'!A236,'Suivi budgétaire'!$B:$B)+SUMIF('Suivi budgétaire'!$C:$C,'Import balance'!A236,'Suivi budgétaire'!$C:$C)+SUMIF('Suivi budgétaire'!$D:$D,'Import balance'!A236,'Suivi budgétaire'!$D:$D)+SUMIF('Suivi budgétaire'!$E:$E,'Import balance'!A236,'Suivi budgétaire'!$E:$E)))</f>
        <v/>
      </c>
    </row>
    <row r="237">
      <c r="A237" s="86"/>
      <c r="B237" s="86"/>
      <c r="C237" s="86"/>
      <c r="D237" s="86"/>
      <c r="E237" s="552">
        <f t="shared" si="376"/>
        <v>0</v>
      </c>
      <c r="F237" s="557" t="str">
        <f t="shared" si="377"/>
        <v/>
      </c>
      <c r="G237" s="553" t="str">
        <f t="shared" si="378"/>
        <v/>
      </c>
      <c r="I237" s="36" t="str">
        <f>IF(A237="","",IF(OR(F237=1,F237=2,F237=3,F237=4,F237=5),1,SUMIF('Suivi budgétaire'!$A:$A,'Import balance'!A237,'Suivi budgétaire'!$A:$A)+SUMIF('Suivi budgétaire'!$B:$B,'Import balance'!A237,'Suivi budgétaire'!$B:$B)+SUMIF('Suivi budgétaire'!$C:$C,'Import balance'!A237,'Suivi budgétaire'!$C:$C)+SUMIF('Suivi budgétaire'!$D:$D,'Import balance'!A237,'Suivi budgétaire'!$D:$D)+SUMIF('Suivi budgétaire'!$E:$E,'Import balance'!A237,'Suivi budgétaire'!$E:$E)))</f>
        <v/>
      </c>
    </row>
    <row r="238">
      <c r="A238" s="86"/>
      <c r="B238" s="86"/>
      <c r="C238" s="86"/>
      <c r="D238" s="86"/>
      <c r="E238" s="552">
        <f t="shared" si="376"/>
        <v>0</v>
      </c>
      <c r="F238" s="557" t="str">
        <f t="shared" si="377"/>
        <v/>
      </c>
      <c r="G238" s="553" t="str">
        <f t="shared" si="378"/>
        <v/>
      </c>
      <c r="I238" s="36" t="str">
        <f>IF(A238="","",IF(OR(F238=1,F238=2,F238=3,F238=4,F238=5),1,SUMIF('Suivi budgétaire'!$A:$A,'Import balance'!A238,'Suivi budgétaire'!$A:$A)+SUMIF('Suivi budgétaire'!$B:$B,'Import balance'!A238,'Suivi budgétaire'!$B:$B)+SUMIF('Suivi budgétaire'!$C:$C,'Import balance'!A238,'Suivi budgétaire'!$C:$C)+SUMIF('Suivi budgétaire'!$D:$D,'Import balance'!A238,'Suivi budgétaire'!$D:$D)+SUMIF('Suivi budgétaire'!$E:$E,'Import balance'!A238,'Suivi budgétaire'!$E:$E)))</f>
        <v/>
      </c>
    </row>
    <row r="239">
      <c r="A239" s="86"/>
      <c r="B239" s="86"/>
      <c r="C239" s="86"/>
      <c r="D239" s="86"/>
      <c r="E239" s="552">
        <f t="shared" si="376"/>
        <v>0</v>
      </c>
      <c r="F239" s="557" t="str">
        <f t="shared" si="377"/>
        <v/>
      </c>
      <c r="G239" s="553" t="str">
        <f t="shared" si="378"/>
        <v/>
      </c>
      <c r="I239" s="36" t="str">
        <f>IF(A239="","",IF(OR(F239=1,F239=2,F239=3,F239=4,F239=5),1,SUMIF('Suivi budgétaire'!$A:$A,'Import balance'!A239,'Suivi budgétaire'!$A:$A)+SUMIF('Suivi budgétaire'!$B:$B,'Import balance'!A239,'Suivi budgétaire'!$B:$B)+SUMIF('Suivi budgétaire'!$C:$C,'Import balance'!A239,'Suivi budgétaire'!$C:$C)+SUMIF('Suivi budgétaire'!$D:$D,'Import balance'!A239,'Suivi budgétaire'!$D:$D)+SUMIF('Suivi budgétaire'!$E:$E,'Import balance'!A239,'Suivi budgétaire'!$E:$E)))</f>
        <v/>
      </c>
    </row>
    <row r="240">
      <c r="A240" s="86"/>
      <c r="B240" s="86"/>
      <c r="C240" s="86"/>
      <c r="D240" s="86"/>
      <c r="E240" s="552">
        <f t="shared" si="376"/>
        <v>0</v>
      </c>
      <c r="F240" s="557" t="str">
        <f t="shared" si="377"/>
        <v/>
      </c>
      <c r="G240" s="553" t="str">
        <f t="shared" si="378"/>
        <v/>
      </c>
      <c r="I240" s="36" t="str">
        <f>IF(A240="","",IF(OR(F240=1,F240=2,F240=3,F240=4,F240=5),1,SUMIF('Suivi budgétaire'!$A:$A,'Import balance'!A240,'Suivi budgétaire'!$A:$A)+SUMIF('Suivi budgétaire'!$B:$B,'Import balance'!A240,'Suivi budgétaire'!$B:$B)+SUMIF('Suivi budgétaire'!$C:$C,'Import balance'!A240,'Suivi budgétaire'!$C:$C)+SUMIF('Suivi budgétaire'!$D:$D,'Import balance'!A240,'Suivi budgétaire'!$D:$D)+SUMIF('Suivi budgétaire'!$E:$E,'Import balance'!A240,'Suivi budgétaire'!$E:$E)))</f>
        <v/>
      </c>
    </row>
    <row r="241">
      <c r="A241" s="86"/>
      <c r="B241" s="86"/>
      <c r="C241" s="86"/>
      <c r="D241" s="86"/>
      <c r="E241" s="552">
        <f t="shared" si="376"/>
        <v>0</v>
      </c>
      <c r="F241" s="557" t="str">
        <f t="shared" si="377"/>
        <v/>
      </c>
      <c r="G241" s="553" t="str">
        <f t="shared" si="378"/>
        <v/>
      </c>
      <c r="I241" s="36" t="str">
        <f>IF(A241="","",IF(OR(F241=1,F241=2,F241=3,F241=4,F241=5),1,SUMIF('Suivi budgétaire'!$A:$A,'Import balance'!A241,'Suivi budgétaire'!$A:$A)+SUMIF('Suivi budgétaire'!$B:$B,'Import balance'!A241,'Suivi budgétaire'!$B:$B)+SUMIF('Suivi budgétaire'!$C:$C,'Import balance'!A241,'Suivi budgétaire'!$C:$C)+SUMIF('Suivi budgétaire'!$D:$D,'Import balance'!A241,'Suivi budgétaire'!$D:$D)+SUMIF('Suivi budgétaire'!$E:$E,'Import balance'!A241,'Suivi budgétaire'!$E:$E)))</f>
        <v/>
      </c>
    </row>
    <row r="242">
      <c r="A242" s="86"/>
      <c r="B242" s="86"/>
      <c r="C242" s="86"/>
      <c r="D242" s="86"/>
      <c r="E242" s="552">
        <f t="shared" si="376"/>
        <v>0</v>
      </c>
      <c r="F242" s="557" t="str">
        <f t="shared" si="377"/>
        <v/>
      </c>
      <c r="G242" s="553" t="str">
        <f t="shared" si="378"/>
        <v/>
      </c>
      <c r="I242" s="36" t="str">
        <f>IF(A242="","",IF(OR(F242=1,F242=2,F242=3,F242=4,F242=5),1,SUMIF('Suivi budgétaire'!$A:$A,'Import balance'!A242,'Suivi budgétaire'!$A:$A)+SUMIF('Suivi budgétaire'!$B:$B,'Import balance'!A242,'Suivi budgétaire'!$B:$B)+SUMIF('Suivi budgétaire'!$C:$C,'Import balance'!A242,'Suivi budgétaire'!$C:$C)+SUMIF('Suivi budgétaire'!$D:$D,'Import balance'!A242,'Suivi budgétaire'!$D:$D)+SUMIF('Suivi budgétaire'!$E:$E,'Import balance'!A242,'Suivi budgétaire'!$E:$E)))</f>
        <v/>
      </c>
    </row>
    <row r="243">
      <c r="A243" s="86"/>
      <c r="B243" s="86"/>
      <c r="C243" s="86"/>
      <c r="D243" s="86"/>
      <c r="E243" s="552">
        <f t="shared" si="376"/>
        <v>0</v>
      </c>
      <c r="F243" s="557" t="str">
        <f t="shared" si="377"/>
        <v/>
      </c>
      <c r="G243" s="553" t="str">
        <f t="shared" si="378"/>
        <v/>
      </c>
      <c r="I243" s="36" t="str">
        <f>IF(A243="","",IF(OR(F243=1,F243=2,F243=3,F243=4,F243=5),1,SUMIF('Suivi budgétaire'!$A:$A,'Import balance'!A243,'Suivi budgétaire'!$A:$A)+SUMIF('Suivi budgétaire'!$B:$B,'Import balance'!A243,'Suivi budgétaire'!$B:$B)+SUMIF('Suivi budgétaire'!$C:$C,'Import balance'!A243,'Suivi budgétaire'!$C:$C)+SUMIF('Suivi budgétaire'!$D:$D,'Import balance'!A243,'Suivi budgétaire'!$D:$D)+SUMIF('Suivi budgétaire'!$E:$E,'Import balance'!A243,'Suivi budgétaire'!$E:$E)))</f>
        <v/>
      </c>
    </row>
    <row r="244">
      <c r="A244" s="86"/>
      <c r="B244" s="86"/>
      <c r="C244" s="86"/>
      <c r="D244" s="86"/>
      <c r="E244" s="552">
        <f t="shared" si="376"/>
        <v>0</v>
      </c>
      <c r="F244" s="557" t="str">
        <f t="shared" si="377"/>
        <v/>
      </c>
      <c r="G244" s="553" t="str">
        <f t="shared" si="378"/>
        <v/>
      </c>
      <c r="I244" s="36" t="str">
        <f>IF(A244="","",IF(OR(F244=1,F244=2,F244=3,F244=4,F244=5),1,SUMIF('Suivi budgétaire'!$A:$A,'Import balance'!A244,'Suivi budgétaire'!$A:$A)+SUMIF('Suivi budgétaire'!$B:$B,'Import balance'!A244,'Suivi budgétaire'!$B:$B)+SUMIF('Suivi budgétaire'!$C:$C,'Import balance'!A244,'Suivi budgétaire'!$C:$C)+SUMIF('Suivi budgétaire'!$D:$D,'Import balance'!A244,'Suivi budgétaire'!$D:$D)+SUMIF('Suivi budgétaire'!$E:$E,'Import balance'!A244,'Suivi budgétaire'!$E:$E)))</f>
        <v/>
      </c>
    </row>
    <row r="245">
      <c r="A245" s="86"/>
      <c r="B245" s="86"/>
      <c r="C245" s="86"/>
      <c r="D245" s="86"/>
      <c r="E245" s="552">
        <f t="shared" si="376"/>
        <v>0</v>
      </c>
      <c r="F245" s="557" t="str">
        <f t="shared" si="377"/>
        <v/>
      </c>
      <c r="G245" s="553" t="str">
        <f t="shared" si="378"/>
        <v/>
      </c>
      <c r="I245" s="36" t="str">
        <f>IF(A245="","",IF(OR(F245=1,F245=2,F245=3,F245=4,F245=5),1,SUMIF('Suivi budgétaire'!$A:$A,'Import balance'!A245,'Suivi budgétaire'!$A:$A)+SUMIF('Suivi budgétaire'!$B:$B,'Import balance'!A245,'Suivi budgétaire'!$B:$B)+SUMIF('Suivi budgétaire'!$C:$C,'Import balance'!A245,'Suivi budgétaire'!$C:$C)+SUMIF('Suivi budgétaire'!$D:$D,'Import balance'!A245,'Suivi budgétaire'!$D:$D)+SUMIF('Suivi budgétaire'!$E:$E,'Import balance'!A245,'Suivi budgétaire'!$E:$E)))</f>
        <v/>
      </c>
    </row>
    <row r="246">
      <c r="A246" s="86"/>
      <c r="B246" s="86"/>
      <c r="C246" s="86"/>
      <c r="D246" s="86"/>
      <c r="E246" s="552">
        <f t="shared" si="376"/>
        <v>0</v>
      </c>
      <c r="F246" s="557" t="str">
        <f t="shared" si="377"/>
        <v/>
      </c>
      <c r="G246" s="553" t="str">
        <f t="shared" si="378"/>
        <v/>
      </c>
      <c r="I246" s="36" t="str">
        <f>IF(A246="","",IF(OR(F246=1,F246=2,F246=3,F246=4,F246=5),1,SUMIF('Suivi budgétaire'!$A:$A,'Import balance'!A246,'Suivi budgétaire'!$A:$A)+SUMIF('Suivi budgétaire'!$B:$B,'Import balance'!A246,'Suivi budgétaire'!$B:$B)+SUMIF('Suivi budgétaire'!$C:$C,'Import balance'!A246,'Suivi budgétaire'!$C:$C)+SUMIF('Suivi budgétaire'!$D:$D,'Import balance'!A246,'Suivi budgétaire'!$D:$D)+SUMIF('Suivi budgétaire'!$E:$E,'Import balance'!A246,'Suivi budgétaire'!$E:$E)))</f>
        <v/>
      </c>
    </row>
    <row r="247">
      <c r="A247" s="86"/>
      <c r="B247" s="86"/>
      <c r="C247" s="86"/>
      <c r="D247" s="86"/>
      <c r="E247" s="552">
        <f t="shared" si="376"/>
        <v>0</v>
      </c>
      <c r="F247" s="557" t="str">
        <f t="shared" si="377"/>
        <v/>
      </c>
      <c r="G247" s="553" t="str">
        <f t="shared" si="378"/>
        <v/>
      </c>
      <c r="I247" s="36" t="str">
        <f>IF(A247="","",IF(OR(F247=1,F247=2,F247=3,F247=4,F247=5),1,SUMIF('Suivi budgétaire'!$A:$A,'Import balance'!A247,'Suivi budgétaire'!$A:$A)+SUMIF('Suivi budgétaire'!$B:$B,'Import balance'!A247,'Suivi budgétaire'!$B:$B)+SUMIF('Suivi budgétaire'!$C:$C,'Import balance'!A247,'Suivi budgétaire'!$C:$C)+SUMIF('Suivi budgétaire'!$D:$D,'Import balance'!A247,'Suivi budgétaire'!$D:$D)+SUMIF('Suivi budgétaire'!$E:$E,'Import balance'!A247,'Suivi budgétaire'!$E:$E)))</f>
        <v/>
      </c>
    </row>
    <row r="248">
      <c r="A248" s="86"/>
      <c r="B248" s="86"/>
      <c r="C248" s="86"/>
      <c r="D248" s="86"/>
      <c r="E248" s="552">
        <f t="shared" si="376"/>
        <v>0</v>
      </c>
      <c r="F248" s="557" t="str">
        <f t="shared" si="377"/>
        <v/>
      </c>
      <c r="G248" s="553" t="str">
        <f t="shared" si="378"/>
        <v/>
      </c>
      <c r="I248" s="36" t="str">
        <f>IF(A248="","",IF(OR(F248=1,F248=2,F248=3,F248=4,F248=5),1,SUMIF('Suivi budgétaire'!$A:$A,'Import balance'!A248,'Suivi budgétaire'!$A:$A)+SUMIF('Suivi budgétaire'!$B:$B,'Import balance'!A248,'Suivi budgétaire'!$B:$B)+SUMIF('Suivi budgétaire'!$C:$C,'Import balance'!A248,'Suivi budgétaire'!$C:$C)+SUMIF('Suivi budgétaire'!$D:$D,'Import balance'!A248,'Suivi budgétaire'!$D:$D)+SUMIF('Suivi budgétaire'!$E:$E,'Import balance'!A248,'Suivi budgétaire'!$E:$E)))</f>
        <v/>
      </c>
    </row>
    <row r="249">
      <c r="A249" s="86"/>
      <c r="B249" s="86"/>
      <c r="C249" s="86"/>
      <c r="D249" s="86"/>
      <c r="E249" s="552">
        <f t="shared" si="376"/>
        <v>0</v>
      </c>
      <c r="F249" s="557" t="str">
        <f t="shared" si="377"/>
        <v/>
      </c>
      <c r="G249" s="553" t="str">
        <f t="shared" si="378"/>
        <v/>
      </c>
      <c r="I249" s="36" t="str">
        <f>IF(A249="","",IF(OR(F249=1,F249=2,F249=3,F249=4,F249=5),1,SUMIF('Suivi budgétaire'!$A:$A,'Import balance'!A249,'Suivi budgétaire'!$A:$A)+SUMIF('Suivi budgétaire'!$B:$B,'Import balance'!A249,'Suivi budgétaire'!$B:$B)+SUMIF('Suivi budgétaire'!$C:$C,'Import balance'!A249,'Suivi budgétaire'!$C:$C)+SUMIF('Suivi budgétaire'!$D:$D,'Import balance'!A249,'Suivi budgétaire'!$D:$D)+SUMIF('Suivi budgétaire'!$E:$E,'Import balance'!A249,'Suivi budgétaire'!$E:$E)))</f>
        <v/>
      </c>
    </row>
    <row r="250">
      <c r="A250" s="86"/>
      <c r="B250" s="86"/>
      <c r="C250" s="86"/>
      <c r="D250" s="86"/>
      <c r="E250" s="552">
        <f t="shared" si="376"/>
        <v>0</v>
      </c>
      <c r="F250" s="557" t="str">
        <f t="shared" si="377"/>
        <v/>
      </c>
      <c r="G250" s="553" t="str">
        <f t="shared" si="378"/>
        <v/>
      </c>
      <c r="I250" s="36" t="str">
        <f>IF(A250="","",IF(OR(F250=1,F250=2,F250=3,F250=4,F250=5),1,SUMIF('Suivi budgétaire'!$A:$A,'Import balance'!A250,'Suivi budgétaire'!$A:$A)+SUMIF('Suivi budgétaire'!$B:$B,'Import balance'!A250,'Suivi budgétaire'!$B:$B)+SUMIF('Suivi budgétaire'!$C:$C,'Import balance'!A250,'Suivi budgétaire'!$C:$C)+SUMIF('Suivi budgétaire'!$D:$D,'Import balance'!A250,'Suivi budgétaire'!$D:$D)+SUMIF('Suivi budgétaire'!$E:$E,'Import balance'!A250,'Suivi budgétaire'!$E:$E)))</f>
        <v/>
      </c>
    </row>
    <row r="251">
      <c r="A251" s="86"/>
      <c r="B251" s="86"/>
      <c r="C251" s="86"/>
      <c r="D251" s="86"/>
      <c r="E251" s="552">
        <f t="shared" si="376"/>
        <v>0</v>
      </c>
      <c r="F251" s="557" t="str">
        <f t="shared" si="377"/>
        <v/>
      </c>
      <c r="G251" s="553" t="str">
        <f t="shared" si="378"/>
        <v/>
      </c>
      <c r="I251" s="36" t="str">
        <f>IF(A251="","",IF(OR(F251=1,F251=2,F251=3,F251=4,F251=5),1,SUMIF('Suivi budgétaire'!$A:$A,'Import balance'!A251,'Suivi budgétaire'!$A:$A)+SUMIF('Suivi budgétaire'!$B:$B,'Import balance'!A251,'Suivi budgétaire'!$B:$B)+SUMIF('Suivi budgétaire'!$C:$C,'Import balance'!A251,'Suivi budgétaire'!$C:$C)+SUMIF('Suivi budgétaire'!$D:$D,'Import balance'!A251,'Suivi budgétaire'!$D:$D)+SUMIF('Suivi budgétaire'!$E:$E,'Import balance'!A251,'Suivi budgétaire'!$E:$E)))</f>
        <v/>
      </c>
    </row>
    <row r="252">
      <c r="A252" s="86"/>
      <c r="B252" s="86"/>
      <c r="C252" s="86"/>
      <c r="D252" s="86"/>
      <c r="E252" s="552">
        <f t="shared" si="376"/>
        <v>0</v>
      </c>
      <c r="F252" s="557" t="str">
        <f t="shared" si="377"/>
        <v/>
      </c>
      <c r="G252" s="553" t="str">
        <f t="shared" si="378"/>
        <v/>
      </c>
      <c r="I252" s="36" t="str">
        <f>IF(A252="","",IF(OR(F252=1,F252=2,F252=3,F252=4,F252=5),1,SUMIF('Suivi budgétaire'!$A:$A,'Import balance'!A252,'Suivi budgétaire'!$A:$A)+SUMIF('Suivi budgétaire'!$B:$B,'Import balance'!A252,'Suivi budgétaire'!$B:$B)+SUMIF('Suivi budgétaire'!$C:$C,'Import balance'!A252,'Suivi budgétaire'!$C:$C)+SUMIF('Suivi budgétaire'!$D:$D,'Import balance'!A252,'Suivi budgétaire'!$D:$D)+SUMIF('Suivi budgétaire'!$E:$E,'Import balance'!A252,'Suivi budgétaire'!$E:$E)))</f>
        <v/>
      </c>
    </row>
    <row r="253">
      <c r="A253" s="86"/>
      <c r="B253" s="86"/>
      <c r="C253" s="86"/>
      <c r="D253" s="86"/>
      <c r="E253" s="552">
        <f t="shared" si="376"/>
        <v>0</v>
      </c>
      <c r="F253" s="557" t="str">
        <f t="shared" si="377"/>
        <v/>
      </c>
      <c r="G253" s="553" t="str">
        <f t="shared" si="378"/>
        <v/>
      </c>
      <c r="I253" s="36" t="str">
        <f>IF(A253="","",IF(OR(F253=1,F253=2,F253=3,F253=4,F253=5),1,SUMIF('Suivi budgétaire'!$A:$A,'Import balance'!A253,'Suivi budgétaire'!$A:$A)+SUMIF('Suivi budgétaire'!$B:$B,'Import balance'!A253,'Suivi budgétaire'!$B:$B)+SUMIF('Suivi budgétaire'!$C:$C,'Import balance'!A253,'Suivi budgétaire'!$C:$C)+SUMIF('Suivi budgétaire'!$D:$D,'Import balance'!A253,'Suivi budgétaire'!$D:$D)+SUMIF('Suivi budgétaire'!$E:$E,'Import balance'!A253,'Suivi budgétaire'!$E:$E)))</f>
        <v/>
      </c>
    </row>
    <row r="254">
      <c r="A254" s="86"/>
      <c r="B254" s="86"/>
      <c r="C254" s="86"/>
      <c r="D254" s="86"/>
      <c r="E254" s="552">
        <f t="shared" si="376"/>
        <v>0</v>
      </c>
      <c r="F254" s="557" t="str">
        <f t="shared" si="377"/>
        <v/>
      </c>
      <c r="G254" s="553" t="str">
        <f t="shared" si="378"/>
        <v/>
      </c>
      <c r="I254" s="36" t="str">
        <f>IF(A254="","",IF(OR(F254=1,F254=2,F254=3,F254=4,F254=5),1,SUMIF('Suivi budgétaire'!$A:$A,'Import balance'!A254,'Suivi budgétaire'!$A:$A)+SUMIF('Suivi budgétaire'!$B:$B,'Import balance'!A254,'Suivi budgétaire'!$B:$B)+SUMIF('Suivi budgétaire'!$C:$C,'Import balance'!A254,'Suivi budgétaire'!$C:$C)+SUMIF('Suivi budgétaire'!$D:$D,'Import balance'!A254,'Suivi budgétaire'!$D:$D)+SUMIF('Suivi budgétaire'!$E:$E,'Import balance'!A254,'Suivi budgétaire'!$E:$E)))</f>
        <v/>
      </c>
    </row>
    <row r="255">
      <c r="A255" s="86"/>
      <c r="B255" s="86"/>
      <c r="C255" s="86"/>
      <c r="D255" s="86"/>
      <c r="E255" s="552">
        <f t="shared" si="376"/>
        <v>0</v>
      </c>
      <c r="F255" s="557" t="str">
        <f t="shared" si="377"/>
        <v/>
      </c>
      <c r="G255" s="553" t="str">
        <f t="shared" si="378"/>
        <v/>
      </c>
      <c r="I255" s="36" t="str">
        <f>IF(A255="","",IF(OR(F255=1,F255=2,F255=3,F255=4,F255=5),1,SUMIF('Suivi budgétaire'!$A:$A,'Import balance'!A255,'Suivi budgétaire'!$A:$A)+SUMIF('Suivi budgétaire'!$B:$B,'Import balance'!A255,'Suivi budgétaire'!$B:$B)+SUMIF('Suivi budgétaire'!$C:$C,'Import balance'!A255,'Suivi budgétaire'!$C:$C)+SUMIF('Suivi budgétaire'!$D:$D,'Import balance'!A255,'Suivi budgétaire'!$D:$D)+SUMIF('Suivi budgétaire'!$E:$E,'Import balance'!A255,'Suivi budgétaire'!$E:$E)))</f>
        <v/>
      </c>
    </row>
    <row r="256">
      <c r="A256" s="86"/>
      <c r="B256" s="86"/>
      <c r="C256" s="86"/>
      <c r="D256" s="86"/>
      <c r="E256" s="552">
        <f t="shared" si="376"/>
        <v>0</v>
      </c>
      <c r="F256" s="557" t="str">
        <f t="shared" si="377"/>
        <v/>
      </c>
      <c r="G256" s="553" t="str">
        <f t="shared" si="378"/>
        <v/>
      </c>
      <c r="I256" s="36" t="str">
        <f>IF(A256="","",IF(OR(F256=1,F256=2,F256=3,F256=4,F256=5),1,SUMIF('Suivi budgétaire'!$A:$A,'Import balance'!A256,'Suivi budgétaire'!$A:$A)+SUMIF('Suivi budgétaire'!$B:$B,'Import balance'!A256,'Suivi budgétaire'!$B:$B)+SUMIF('Suivi budgétaire'!$C:$C,'Import balance'!A256,'Suivi budgétaire'!$C:$C)+SUMIF('Suivi budgétaire'!$D:$D,'Import balance'!A256,'Suivi budgétaire'!$D:$D)+SUMIF('Suivi budgétaire'!$E:$E,'Import balance'!A256,'Suivi budgétaire'!$E:$E)))</f>
        <v/>
      </c>
    </row>
    <row r="257">
      <c r="A257" s="86"/>
      <c r="B257" s="86"/>
      <c r="C257" s="86"/>
      <c r="D257" s="86"/>
      <c r="E257" s="552">
        <f t="shared" si="376"/>
        <v>0</v>
      </c>
      <c r="F257" s="557" t="str">
        <f t="shared" si="377"/>
        <v/>
      </c>
      <c r="G257" s="553" t="str">
        <f t="shared" si="378"/>
        <v/>
      </c>
      <c r="I257" s="36" t="str">
        <f>IF(A257="","",IF(OR(F257=1,F257=2,F257=3,F257=4,F257=5),1,SUMIF('Suivi budgétaire'!$A:$A,'Import balance'!A257,'Suivi budgétaire'!$A:$A)+SUMIF('Suivi budgétaire'!$B:$B,'Import balance'!A257,'Suivi budgétaire'!$B:$B)+SUMIF('Suivi budgétaire'!$C:$C,'Import balance'!A257,'Suivi budgétaire'!$C:$C)+SUMIF('Suivi budgétaire'!$D:$D,'Import balance'!A257,'Suivi budgétaire'!$D:$D)+SUMIF('Suivi budgétaire'!$E:$E,'Import balance'!A257,'Suivi budgétaire'!$E:$E)))</f>
        <v/>
      </c>
    </row>
    <row r="258">
      <c r="A258" s="86"/>
      <c r="B258" s="86"/>
      <c r="C258" s="86"/>
      <c r="D258" s="86"/>
      <c r="E258" s="552">
        <f t="shared" si="376"/>
        <v>0</v>
      </c>
      <c r="F258" s="557" t="str">
        <f t="shared" si="377"/>
        <v/>
      </c>
      <c r="G258" s="553" t="str">
        <f t="shared" si="378"/>
        <v/>
      </c>
      <c r="I258" s="36" t="str">
        <f>IF(A258="","",IF(OR(F258=1,F258=2,F258=3,F258=4,F258=5),1,SUMIF('Suivi budgétaire'!$A:$A,'Import balance'!A258,'Suivi budgétaire'!$A:$A)+SUMIF('Suivi budgétaire'!$B:$B,'Import balance'!A258,'Suivi budgétaire'!$B:$B)+SUMIF('Suivi budgétaire'!$C:$C,'Import balance'!A258,'Suivi budgétaire'!$C:$C)+SUMIF('Suivi budgétaire'!$D:$D,'Import balance'!A258,'Suivi budgétaire'!$D:$D)+SUMIF('Suivi budgétaire'!$E:$E,'Import balance'!A258,'Suivi budgétaire'!$E:$E)))</f>
        <v/>
      </c>
    </row>
    <row r="259">
      <c r="A259" s="86"/>
      <c r="B259" s="86"/>
      <c r="C259" s="86"/>
      <c r="D259" s="86"/>
      <c r="E259" s="552">
        <f t="shared" si="376"/>
        <v>0</v>
      </c>
      <c r="F259" s="557" t="str">
        <f t="shared" si="377"/>
        <v/>
      </c>
      <c r="G259" s="553" t="str">
        <f t="shared" si="378"/>
        <v/>
      </c>
      <c r="I259" s="36" t="str">
        <f>IF(A259="","",IF(OR(F259=1,F259=2,F259=3,F259=4,F259=5),1,SUMIF('Suivi budgétaire'!$A:$A,'Import balance'!A259,'Suivi budgétaire'!$A:$A)+SUMIF('Suivi budgétaire'!$B:$B,'Import balance'!A259,'Suivi budgétaire'!$B:$B)+SUMIF('Suivi budgétaire'!$C:$C,'Import balance'!A259,'Suivi budgétaire'!$C:$C)+SUMIF('Suivi budgétaire'!$D:$D,'Import balance'!A259,'Suivi budgétaire'!$D:$D)+SUMIF('Suivi budgétaire'!$E:$E,'Import balance'!A259,'Suivi budgétaire'!$E:$E)))</f>
        <v/>
      </c>
    </row>
    <row r="260">
      <c r="A260" s="86"/>
      <c r="B260" s="86"/>
      <c r="C260" s="86"/>
      <c r="D260" s="86"/>
      <c r="E260" s="552">
        <f t="shared" si="376"/>
        <v>0</v>
      </c>
      <c r="F260" s="557" t="str">
        <f t="shared" si="377"/>
        <v/>
      </c>
      <c r="G260" s="553" t="str">
        <f t="shared" si="378"/>
        <v/>
      </c>
      <c r="I260" s="36" t="str">
        <f>IF(A260="","",IF(OR(F260=1,F260=2,F260=3,F260=4,F260=5),1,SUMIF('Suivi budgétaire'!$A:$A,'Import balance'!A260,'Suivi budgétaire'!$A:$A)+SUMIF('Suivi budgétaire'!$B:$B,'Import balance'!A260,'Suivi budgétaire'!$B:$B)+SUMIF('Suivi budgétaire'!$C:$C,'Import balance'!A260,'Suivi budgétaire'!$C:$C)+SUMIF('Suivi budgétaire'!$D:$D,'Import balance'!A260,'Suivi budgétaire'!$D:$D)+SUMIF('Suivi budgétaire'!$E:$E,'Import balance'!A260,'Suivi budgétaire'!$E:$E)))</f>
        <v/>
      </c>
    </row>
    <row r="261">
      <c r="A261" s="86"/>
      <c r="B261" s="86"/>
      <c r="C261" s="86"/>
      <c r="D261" s="86"/>
      <c r="E261" s="552">
        <f t="shared" ref="E261:E324" si="379">C261-D261</f>
        <v>0</v>
      </c>
      <c r="F261" s="557" t="str">
        <f t="shared" si="377"/>
        <v/>
      </c>
      <c r="G261" s="553" t="str">
        <f t="shared" si="378"/>
        <v/>
      </c>
      <c r="I261" s="36" t="str">
        <f>IF(A261="","",IF(OR(F261=1,F261=2,F261=3,F261=4,F261=5),1,SUMIF('Suivi budgétaire'!$A:$A,'Import balance'!A261,'Suivi budgétaire'!$A:$A)+SUMIF('Suivi budgétaire'!$B:$B,'Import balance'!A261,'Suivi budgétaire'!$B:$B)+SUMIF('Suivi budgétaire'!$C:$C,'Import balance'!A261,'Suivi budgétaire'!$C:$C)+SUMIF('Suivi budgétaire'!$D:$D,'Import balance'!A261,'Suivi budgétaire'!$D:$D)+SUMIF('Suivi budgétaire'!$E:$E,'Import balance'!A261,'Suivi budgétaire'!$E:$E)))</f>
        <v/>
      </c>
    </row>
    <row r="262">
      <c r="A262" s="86"/>
      <c r="B262" s="86"/>
      <c r="C262" s="86"/>
      <c r="D262" s="86"/>
      <c r="E262" s="552">
        <f t="shared" si="379"/>
        <v>0</v>
      </c>
      <c r="F262" s="557" t="str">
        <f t="shared" si="377"/>
        <v/>
      </c>
      <c r="G262" s="553" t="str">
        <f t="shared" si="378"/>
        <v/>
      </c>
      <c r="I262" s="36" t="str">
        <f>IF(A262="","",IF(OR(F262=1,F262=2,F262=3,F262=4,F262=5),1,SUMIF('Suivi budgétaire'!$A:$A,'Import balance'!A262,'Suivi budgétaire'!$A:$A)+SUMIF('Suivi budgétaire'!$B:$B,'Import balance'!A262,'Suivi budgétaire'!$B:$B)+SUMIF('Suivi budgétaire'!$C:$C,'Import balance'!A262,'Suivi budgétaire'!$C:$C)+SUMIF('Suivi budgétaire'!$D:$D,'Import balance'!A262,'Suivi budgétaire'!$D:$D)+SUMIF('Suivi budgétaire'!$E:$E,'Import balance'!A262,'Suivi budgétaire'!$E:$E)))</f>
        <v/>
      </c>
    </row>
    <row r="263">
      <c r="A263" s="86"/>
      <c r="B263" s="86"/>
      <c r="C263" s="86"/>
      <c r="D263" s="86"/>
      <c r="E263" s="552">
        <f t="shared" si="379"/>
        <v>0</v>
      </c>
      <c r="F263" s="557" t="str">
        <f t="shared" si="377"/>
        <v/>
      </c>
      <c r="G263" s="553" t="str">
        <f t="shared" si="378"/>
        <v/>
      </c>
      <c r="I263" s="36" t="str">
        <f>IF(A263="","",IF(OR(F263=1,F263=2,F263=3,F263=4,F263=5),1,SUMIF('Suivi budgétaire'!$A:$A,'Import balance'!A263,'Suivi budgétaire'!$A:$A)+SUMIF('Suivi budgétaire'!$B:$B,'Import balance'!A263,'Suivi budgétaire'!$B:$B)+SUMIF('Suivi budgétaire'!$C:$C,'Import balance'!A263,'Suivi budgétaire'!$C:$C)+SUMIF('Suivi budgétaire'!$D:$D,'Import balance'!A263,'Suivi budgétaire'!$D:$D)+SUMIF('Suivi budgétaire'!$E:$E,'Import balance'!A263,'Suivi budgétaire'!$E:$E)))</f>
        <v/>
      </c>
    </row>
    <row r="264">
      <c r="A264" s="86"/>
      <c r="B264" s="86"/>
      <c r="C264" s="86"/>
      <c r="D264" s="86"/>
      <c r="E264" s="552">
        <f t="shared" si="379"/>
        <v>0</v>
      </c>
      <c r="F264" s="557" t="str">
        <f t="shared" si="377"/>
        <v/>
      </c>
      <c r="G264" s="553" t="str">
        <f t="shared" si="378"/>
        <v/>
      </c>
      <c r="I264" s="36" t="str">
        <f>IF(A264="","",IF(OR(F264=1,F264=2,F264=3,F264=4,F264=5),1,SUMIF('Suivi budgétaire'!$A:$A,'Import balance'!A264,'Suivi budgétaire'!$A:$A)+SUMIF('Suivi budgétaire'!$B:$B,'Import balance'!A264,'Suivi budgétaire'!$B:$B)+SUMIF('Suivi budgétaire'!$C:$C,'Import balance'!A264,'Suivi budgétaire'!$C:$C)+SUMIF('Suivi budgétaire'!$D:$D,'Import balance'!A264,'Suivi budgétaire'!$D:$D)+SUMIF('Suivi budgétaire'!$E:$E,'Import balance'!A264,'Suivi budgétaire'!$E:$E)))</f>
        <v/>
      </c>
    </row>
    <row r="265">
      <c r="A265" s="86"/>
      <c r="B265" s="86"/>
      <c r="C265" s="86"/>
      <c r="D265" s="86"/>
      <c r="E265" s="552">
        <f t="shared" si="379"/>
        <v>0</v>
      </c>
      <c r="F265" s="557" t="str">
        <f t="shared" si="377"/>
        <v/>
      </c>
      <c r="G265" s="553" t="str">
        <f t="shared" si="378"/>
        <v/>
      </c>
      <c r="I265" s="36" t="str">
        <f>IF(A265="","",IF(OR(F265=1,F265=2,F265=3,F265=4,F265=5),1,SUMIF('Suivi budgétaire'!$A:$A,'Import balance'!A265,'Suivi budgétaire'!$A:$A)+SUMIF('Suivi budgétaire'!$B:$B,'Import balance'!A265,'Suivi budgétaire'!$B:$B)+SUMIF('Suivi budgétaire'!$C:$C,'Import balance'!A265,'Suivi budgétaire'!$C:$C)+SUMIF('Suivi budgétaire'!$D:$D,'Import balance'!A265,'Suivi budgétaire'!$D:$D)+SUMIF('Suivi budgétaire'!$E:$E,'Import balance'!A265,'Suivi budgétaire'!$E:$E)))</f>
        <v/>
      </c>
    </row>
    <row r="266">
      <c r="A266" s="86"/>
      <c r="B266" s="86"/>
      <c r="C266" s="86"/>
      <c r="D266" s="86"/>
      <c r="E266" s="552">
        <f t="shared" si="379"/>
        <v>0</v>
      </c>
      <c r="F266" s="557" t="str">
        <f t="shared" si="377"/>
        <v/>
      </c>
      <c r="G266" s="553" t="str">
        <f t="shared" si="378"/>
        <v/>
      </c>
      <c r="I266" s="36" t="str">
        <f>IF(A266="","",IF(OR(F266=1,F266=2,F266=3,F266=4,F266=5),1,SUMIF('Suivi budgétaire'!$A:$A,'Import balance'!A266,'Suivi budgétaire'!$A:$A)+SUMIF('Suivi budgétaire'!$B:$B,'Import balance'!A266,'Suivi budgétaire'!$B:$B)+SUMIF('Suivi budgétaire'!$C:$C,'Import balance'!A266,'Suivi budgétaire'!$C:$C)+SUMIF('Suivi budgétaire'!$D:$D,'Import balance'!A266,'Suivi budgétaire'!$D:$D)+SUMIF('Suivi budgétaire'!$E:$E,'Import balance'!A266,'Suivi budgétaire'!$E:$E)))</f>
        <v/>
      </c>
    </row>
    <row r="267">
      <c r="A267" s="86"/>
      <c r="B267" s="86"/>
      <c r="C267" s="86"/>
      <c r="D267" s="86"/>
      <c r="E267" s="552">
        <f t="shared" si="379"/>
        <v>0</v>
      </c>
      <c r="F267" s="557" t="str">
        <f t="shared" si="377"/>
        <v/>
      </c>
      <c r="G267" s="553" t="str">
        <f t="shared" si="378"/>
        <v/>
      </c>
      <c r="I267" s="36" t="str">
        <f>IF(A267="","",IF(OR(F267=1,F267=2,F267=3,F267=4,F267=5),1,SUMIF('Suivi budgétaire'!$A:$A,'Import balance'!A267,'Suivi budgétaire'!$A:$A)+SUMIF('Suivi budgétaire'!$B:$B,'Import balance'!A267,'Suivi budgétaire'!$B:$B)+SUMIF('Suivi budgétaire'!$C:$C,'Import balance'!A267,'Suivi budgétaire'!$C:$C)+SUMIF('Suivi budgétaire'!$D:$D,'Import balance'!A267,'Suivi budgétaire'!$D:$D)+SUMIF('Suivi budgétaire'!$E:$E,'Import balance'!A267,'Suivi budgétaire'!$E:$E)))</f>
        <v/>
      </c>
    </row>
    <row r="268">
      <c r="A268" s="86"/>
      <c r="B268" s="86"/>
      <c r="C268" s="86"/>
      <c r="D268" s="86"/>
      <c r="E268" s="552">
        <f t="shared" si="379"/>
        <v>0</v>
      </c>
      <c r="F268" s="557" t="str">
        <f t="shared" si="377"/>
        <v/>
      </c>
      <c r="G268" s="553" t="str">
        <f t="shared" si="378"/>
        <v/>
      </c>
      <c r="I268" s="36" t="str">
        <f>IF(A268="","",IF(OR(F268=1,F268=2,F268=3,F268=4,F268=5),1,SUMIF('Suivi budgétaire'!$A:$A,'Import balance'!A268,'Suivi budgétaire'!$A:$A)+SUMIF('Suivi budgétaire'!$B:$B,'Import balance'!A268,'Suivi budgétaire'!$B:$B)+SUMIF('Suivi budgétaire'!$C:$C,'Import balance'!A268,'Suivi budgétaire'!$C:$C)+SUMIF('Suivi budgétaire'!$D:$D,'Import balance'!A268,'Suivi budgétaire'!$D:$D)+SUMIF('Suivi budgétaire'!$E:$E,'Import balance'!A268,'Suivi budgétaire'!$E:$E)))</f>
        <v/>
      </c>
    </row>
    <row r="269">
      <c r="A269" s="86"/>
      <c r="B269" s="86"/>
      <c r="C269" s="86"/>
      <c r="D269" s="86"/>
      <c r="E269" s="552">
        <f t="shared" si="379"/>
        <v>0</v>
      </c>
      <c r="F269" s="557" t="str">
        <f t="shared" si="377"/>
        <v/>
      </c>
      <c r="G269" s="553" t="str">
        <f t="shared" si="378"/>
        <v/>
      </c>
      <c r="I269" s="36" t="str">
        <f>IF(A269="","",IF(OR(F269=1,F269=2,F269=3,F269=4,F269=5),1,SUMIF('Suivi budgétaire'!$A:$A,'Import balance'!A269,'Suivi budgétaire'!$A:$A)+SUMIF('Suivi budgétaire'!$B:$B,'Import balance'!A269,'Suivi budgétaire'!$B:$B)+SUMIF('Suivi budgétaire'!$C:$C,'Import balance'!A269,'Suivi budgétaire'!$C:$C)+SUMIF('Suivi budgétaire'!$D:$D,'Import balance'!A269,'Suivi budgétaire'!$D:$D)+SUMIF('Suivi budgétaire'!$E:$E,'Import balance'!A269,'Suivi budgétaire'!$E:$E)))</f>
        <v/>
      </c>
    </row>
    <row r="270">
      <c r="A270" s="86"/>
      <c r="B270" s="86"/>
      <c r="C270" s="86"/>
      <c r="D270" s="86"/>
      <c r="E270" s="552">
        <f t="shared" si="379"/>
        <v>0</v>
      </c>
      <c r="F270" s="557" t="str">
        <f t="shared" si="377"/>
        <v/>
      </c>
      <c r="G270" s="553" t="str">
        <f t="shared" si="378"/>
        <v/>
      </c>
      <c r="I270" s="36" t="str">
        <f>IF(A270="","",IF(OR(F270=1,F270=2,F270=3,F270=4,F270=5),1,SUMIF('Suivi budgétaire'!$A:$A,'Import balance'!A270,'Suivi budgétaire'!$A:$A)+SUMIF('Suivi budgétaire'!$B:$B,'Import balance'!A270,'Suivi budgétaire'!$B:$B)+SUMIF('Suivi budgétaire'!$C:$C,'Import balance'!A270,'Suivi budgétaire'!$C:$C)+SUMIF('Suivi budgétaire'!$D:$D,'Import balance'!A270,'Suivi budgétaire'!$D:$D)+SUMIF('Suivi budgétaire'!$E:$E,'Import balance'!A270,'Suivi budgétaire'!$E:$E)))</f>
        <v/>
      </c>
    </row>
    <row r="271">
      <c r="A271" s="86"/>
      <c r="B271" s="86"/>
      <c r="C271" s="86"/>
      <c r="D271" s="86"/>
      <c r="E271" s="552">
        <f t="shared" si="379"/>
        <v>0</v>
      </c>
      <c r="F271" s="557" t="str">
        <f t="shared" si="377"/>
        <v/>
      </c>
      <c r="G271" s="553" t="str">
        <f t="shared" si="378"/>
        <v/>
      </c>
      <c r="I271" s="36" t="str">
        <f>IF(A271="","",IF(OR(F271=1,F271=2,F271=3,F271=4,F271=5),1,SUMIF('Suivi budgétaire'!$A:$A,'Import balance'!A271,'Suivi budgétaire'!$A:$A)+SUMIF('Suivi budgétaire'!$B:$B,'Import balance'!A271,'Suivi budgétaire'!$B:$B)+SUMIF('Suivi budgétaire'!$C:$C,'Import balance'!A271,'Suivi budgétaire'!$C:$C)+SUMIF('Suivi budgétaire'!$D:$D,'Import balance'!A271,'Suivi budgétaire'!$D:$D)+SUMIF('Suivi budgétaire'!$E:$E,'Import balance'!A271,'Suivi budgétaire'!$E:$E)))</f>
        <v/>
      </c>
    </row>
    <row r="272">
      <c r="A272" s="86"/>
      <c r="B272" s="86"/>
      <c r="C272" s="86"/>
      <c r="D272" s="86"/>
      <c r="E272" s="552">
        <f t="shared" si="379"/>
        <v>0</v>
      </c>
      <c r="F272" s="557" t="str">
        <f t="shared" si="377"/>
        <v/>
      </c>
      <c r="G272" s="553" t="str">
        <f t="shared" si="378"/>
        <v/>
      </c>
      <c r="I272" s="36" t="str">
        <f>IF(A272="","",IF(OR(F272=1,F272=2,F272=3,F272=4,F272=5),1,SUMIF('Suivi budgétaire'!$A:$A,'Import balance'!A272,'Suivi budgétaire'!$A:$A)+SUMIF('Suivi budgétaire'!$B:$B,'Import balance'!A272,'Suivi budgétaire'!$B:$B)+SUMIF('Suivi budgétaire'!$C:$C,'Import balance'!A272,'Suivi budgétaire'!$C:$C)+SUMIF('Suivi budgétaire'!$D:$D,'Import balance'!A272,'Suivi budgétaire'!$D:$D)+SUMIF('Suivi budgétaire'!$E:$E,'Import balance'!A272,'Suivi budgétaire'!$E:$E)))</f>
        <v/>
      </c>
    </row>
    <row r="273">
      <c r="A273" s="86"/>
      <c r="B273" s="86"/>
      <c r="C273" s="86"/>
      <c r="D273" s="86"/>
      <c r="E273" s="552">
        <f t="shared" si="379"/>
        <v>0</v>
      </c>
      <c r="F273" s="557" t="str">
        <f t="shared" si="377"/>
        <v/>
      </c>
      <c r="G273" s="553" t="str">
        <f t="shared" si="378"/>
        <v/>
      </c>
      <c r="I273" s="36" t="str">
        <f>IF(A273="","",IF(OR(F273=1,F273=2,F273=3,F273=4,F273=5),1,SUMIF('Suivi budgétaire'!$A:$A,'Import balance'!A273,'Suivi budgétaire'!$A:$A)+SUMIF('Suivi budgétaire'!$B:$B,'Import balance'!A273,'Suivi budgétaire'!$B:$B)+SUMIF('Suivi budgétaire'!$C:$C,'Import balance'!A273,'Suivi budgétaire'!$C:$C)+SUMIF('Suivi budgétaire'!$D:$D,'Import balance'!A273,'Suivi budgétaire'!$D:$D)+SUMIF('Suivi budgétaire'!$E:$E,'Import balance'!A273,'Suivi budgétaire'!$E:$E)))</f>
        <v/>
      </c>
    </row>
    <row r="274">
      <c r="A274" s="86"/>
      <c r="B274" s="86"/>
      <c r="C274" s="86"/>
      <c r="D274" s="86"/>
      <c r="E274" s="552">
        <f t="shared" si="379"/>
        <v>0</v>
      </c>
      <c r="F274" s="557" t="str">
        <f t="shared" si="377"/>
        <v/>
      </c>
      <c r="G274" s="553" t="str">
        <f t="shared" si="378"/>
        <v/>
      </c>
      <c r="I274" s="36" t="str">
        <f>IF(A274="","",IF(OR(F274=1,F274=2,F274=3,F274=4,F274=5),1,SUMIF('Suivi budgétaire'!$A:$A,'Import balance'!A274,'Suivi budgétaire'!$A:$A)+SUMIF('Suivi budgétaire'!$B:$B,'Import balance'!A274,'Suivi budgétaire'!$B:$B)+SUMIF('Suivi budgétaire'!$C:$C,'Import balance'!A274,'Suivi budgétaire'!$C:$C)+SUMIF('Suivi budgétaire'!$D:$D,'Import balance'!A274,'Suivi budgétaire'!$D:$D)+SUMIF('Suivi budgétaire'!$E:$E,'Import balance'!A274,'Suivi budgétaire'!$E:$E)))</f>
        <v/>
      </c>
    </row>
    <row r="275">
      <c r="A275" s="86"/>
      <c r="B275" s="86"/>
      <c r="C275" s="86"/>
      <c r="D275" s="86"/>
      <c r="E275" s="552">
        <f t="shared" si="379"/>
        <v>0</v>
      </c>
      <c r="F275" s="557" t="str">
        <f t="shared" si="377"/>
        <v/>
      </c>
      <c r="G275" s="553" t="str">
        <f t="shared" si="378"/>
        <v/>
      </c>
      <c r="I275" s="36" t="str">
        <f>IF(A275="","",IF(OR(F275=1,F275=2,F275=3,F275=4,F275=5),1,SUMIF('Suivi budgétaire'!$A:$A,'Import balance'!A275,'Suivi budgétaire'!$A:$A)+SUMIF('Suivi budgétaire'!$B:$B,'Import balance'!A275,'Suivi budgétaire'!$B:$B)+SUMIF('Suivi budgétaire'!$C:$C,'Import balance'!A275,'Suivi budgétaire'!$C:$C)+SUMIF('Suivi budgétaire'!$D:$D,'Import balance'!A275,'Suivi budgétaire'!$D:$D)+SUMIF('Suivi budgétaire'!$E:$E,'Import balance'!A275,'Suivi budgétaire'!$E:$E)))</f>
        <v/>
      </c>
    </row>
    <row r="276">
      <c r="A276" s="86"/>
      <c r="B276" s="86"/>
      <c r="C276" s="86"/>
      <c r="D276" s="86"/>
      <c r="E276" s="552">
        <f t="shared" si="379"/>
        <v>0</v>
      </c>
      <c r="F276" s="557" t="str">
        <f t="shared" si="377"/>
        <v/>
      </c>
      <c r="G276" s="553" t="str">
        <f t="shared" si="378"/>
        <v/>
      </c>
      <c r="I276" s="36" t="str">
        <f>IF(A276="","",IF(OR(F276=1,F276=2,F276=3,F276=4,F276=5),1,SUMIF('Suivi budgétaire'!$A:$A,'Import balance'!A276,'Suivi budgétaire'!$A:$A)+SUMIF('Suivi budgétaire'!$B:$B,'Import balance'!A276,'Suivi budgétaire'!$B:$B)+SUMIF('Suivi budgétaire'!$C:$C,'Import balance'!A276,'Suivi budgétaire'!$C:$C)+SUMIF('Suivi budgétaire'!$D:$D,'Import balance'!A276,'Suivi budgétaire'!$D:$D)+SUMIF('Suivi budgétaire'!$E:$E,'Import balance'!A276,'Suivi budgétaire'!$E:$E)))</f>
        <v/>
      </c>
    </row>
    <row r="277">
      <c r="A277" s="86"/>
      <c r="B277" s="86"/>
      <c r="C277" s="86"/>
      <c r="D277" s="86"/>
      <c r="E277" s="552">
        <f t="shared" si="379"/>
        <v>0</v>
      </c>
      <c r="F277" s="557" t="str">
        <f t="shared" si="377"/>
        <v/>
      </c>
      <c r="G277" s="553" t="str">
        <f t="shared" si="378"/>
        <v/>
      </c>
      <c r="I277" s="36" t="str">
        <f>IF(A277="","",IF(OR(F277=1,F277=2,F277=3,F277=4,F277=5),1,SUMIF('Suivi budgétaire'!$A:$A,'Import balance'!A277,'Suivi budgétaire'!$A:$A)+SUMIF('Suivi budgétaire'!$B:$B,'Import balance'!A277,'Suivi budgétaire'!$B:$B)+SUMIF('Suivi budgétaire'!$C:$C,'Import balance'!A277,'Suivi budgétaire'!$C:$C)+SUMIF('Suivi budgétaire'!$D:$D,'Import balance'!A277,'Suivi budgétaire'!$D:$D)+SUMIF('Suivi budgétaire'!$E:$E,'Import balance'!A277,'Suivi budgétaire'!$E:$E)))</f>
        <v/>
      </c>
    </row>
    <row r="278">
      <c r="A278" s="86"/>
      <c r="B278" s="86"/>
      <c r="C278" s="86"/>
      <c r="D278" s="86"/>
      <c r="E278" s="552">
        <f t="shared" si="379"/>
        <v>0</v>
      </c>
      <c r="F278" s="557" t="str">
        <f t="shared" si="377"/>
        <v/>
      </c>
      <c r="G278" s="553" t="str">
        <f t="shared" si="378"/>
        <v/>
      </c>
      <c r="I278" s="36" t="str">
        <f>IF(A278="","",IF(OR(F278=1,F278=2,F278=3,F278=4,F278=5),1,SUMIF('Suivi budgétaire'!$A:$A,'Import balance'!A278,'Suivi budgétaire'!$A:$A)+SUMIF('Suivi budgétaire'!$B:$B,'Import balance'!A278,'Suivi budgétaire'!$B:$B)+SUMIF('Suivi budgétaire'!$C:$C,'Import balance'!A278,'Suivi budgétaire'!$C:$C)+SUMIF('Suivi budgétaire'!$D:$D,'Import balance'!A278,'Suivi budgétaire'!$D:$D)+SUMIF('Suivi budgétaire'!$E:$E,'Import balance'!A278,'Suivi budgétaire'!$E:$E)))</f>
        <v/>
      </c>
    </row>
    <row r="279">
      <c r="A279" s="86"/>
      <c r="B279" s="86"/>
      <c r="C279" s="86"/>
      <c r="D279" s="86"/>
      <c r="E279" s="552">
        <f t="shared" si="379"/>
        <v>0</v>
      </c>
      <c r="F279" s="557" t="str">
        <f t="shared" si="377"/>
        <v/>
      </c>
      <c r="G279" s="553" t="str">
        <f t="shared" si="378"/>
        <v/>
      </c>
      <c r="I279" s="36" t="str">
        <f>IF(A279="","",IF(OR(F279=1,F279=2,F279=3,F279=4,F279=5),1,SUMIF('Suivi budgétaire'!$A:$A,'Import balance'!A279,'Suivi budgétaire'!$A:$A)+SUMIF('Suivi budgétaire'!$B:$B,'Import balance'!A279,'Suivi budgétaire'!$B:$B)+SUMIF('Suivi budgétaire'!$C:$C,'Import balance'!A279,'Suivi budgétaire'!$C:$C)+SUMIF('Suivi budgétaire'!$D:$D,'Import balance'!A279,'Suivi budgétaire'!$D:$D)+SUMIF('Suivi budgétaire'!$E:$E,'Import balance'!A279,'Suivi budgétaire'!$E:$E)))</f>
        <v/>
      </c>
    </row>
    <row r="280">
      <c r="A280" s="86"/>
      <c r="B280" s="86"/>
      <c r="C280" s="86"/>
      <c r="D280" s="86"/>
      <c r="E280" s="552">
        <f t="shared" si="379"/>
        <v>0</v>
      </c>
      <c r="F280" s="557" t="str">
        <f t="shared" si="377"/>
        <v/>
      </c>
      <c r="G280" s="553" t="str">
        <f t="shared" si="378"/>
        <v/>
      </c>
      <c r="I280" s="36" t="str">
        <f>IF(A280="","",IF(OR(F280=1,F280=2,F280=3,F280=4,F280=5),1,SUMIF('Suivi budgétaire'!$A:$A,'Import balance'!A280,'Suivi budgétaire'!$A:$A)+SUMIF('Suivi budgétaire'!$B:$B,'Import balance'!A280,'Suivi budgétaire'!$B:$B)+SUMIF('Suivi budgétaire'!$C:$C,'Import balance'!A280,'Suivi budgétaire'!$C:$C)+SUMIF('Suivi budgétaire'!$D:$D,'Import balance'!A280,'Suivi budgétaire'!$D:$D)+SUMIF('Suivi budgétaire'!$E:$E,'Import balance'!A280,'Suivi budgétaire'!$E:$E)))</f>
        <v/>
      </c>
    </row>
    <row r="281">
      <c r="A281" s="86"/>
      <c r="B281" s="86"/>
      <c r="C281" s="86"/>
      <c r="D281" s="86"/>
      <c r="E281" s="552">
        <f t="shared" si="379"/>
        <v>0</v>
      </c>
      <c r="F281" s="557" t="str">
        <f t="shared" si="377"/>
        <v/>
      </c>
      <c r="G281" s="553" t="str">
        <f t="shared" si="378"/>
        <v/>
      </c>
      <c r="I281" s="36" t="str">
        <f>IF(A281="","",IF(OR(F281=1,F281=2,F281=3,F281=4,F281=5),1,SUMIF('Suivi budgétaire'!$A:$A,'Import balance'!A281,'Suivi budgétaire'!$A:$A)+SUMIF('Suivi budgétaire'!$B:$B,'Import balance'!A281,'Suivi budgétaire'!$B:$B)+SUMIF('Suivi budgétaire'!$C:$C,'Import balance'!A281,'Suivi budgétaire'!$C:$C)+SUMIF('Suivi budgétaire'!$D:$D,'Import balance'!A281,'Suivi budgétaire'!$D:$D)+SUMIF('Suivi budgétaire'!$E:$E,'Import balance'!A281,'Suivi budgétaire'!$E:$E)))</f>
        <v/>
      </c>
    </row>
    <row r="282">
      <c r="A282" s="86"/>
      <c r="B282" s="86"/>
      <c r="C282" s="86"/>
      <c r="D282" s="86"/>
      <c r="E282" s="552">
        <f t="shared" si="379"/>
        <v>0</v>
      </c>
      <c r="F282" s="557" t="str">
        <f t="shared" si="377"/>
        <v/>
      </c>
      <c r="G282" s="553" t="str">
        <f t="shared" si="378"/>
        <v/>
      </c>
      <c r="I282" s="36" t="str">
        <f>IF(A282="","",IF(OR(F282=1,F282=2,F282=3,F282=4,F282=5),1,SUMIF('Suivi budgétaire'!$A:$A,'Import balance'!A282,'Suivi budgétaire'!$A:$A)+SUMIF('Suivi budgétaire'!$B:$B,'Import balance'!A282,'Suivi budgétaire'!$B:$B)+SUMIF('Suivi budgétaire'!$C:$C,'Import balance'!A282,'Suivi budgétaire'!$C:$C)+SUMIF('Suivi budgétaire'!$D:$D,'Import balance'!A282,'Suivi budgétaire'!$D:$D)+SUMIF('Suivi budgétaire'!$E:$E,'Import balance'!A282,'Suivi budgétaire'!$E:$E)))</f>
        <v/>
      </c>
    </row>
    <row r="283">
      <c r="A283" s="86"/>
      <c r="B283" s="86"/>
      <c r="C283" s="86"/>
      <c r="D283" s="86"/>
      <c r="E283" s="552">
        <f t="shared" si="379"/>
        <v>0</v>
      </c>
      <c r="F283" s="557" t="str">
        <f t="shared" si="377"/>
        <v/>
      </c>
      <c r="G283" s="553" t="str">
        <f t="shared" si="378"/>
        <v/>
      </c>
      <c r="I283" s="36" t="str">
        <f>IF(A283="","",IF(OR(F283=1,F283=2,F283=3,F283=4,F283=5),1,SUMIF('Suivi budgétaire'!$A:$A,'Import balance'!A283,'Suivi budgétaire'!$A:$A)+SUMIF('Suivi budgétaire'!$B:$B,'Import balance'!A283,'Suivi budgétaire'!$B:$B)+SUMIF('Suivi budgétaire'!$C:$C,'Import balance'!A283,'Suivi budgétaire'!$C:$C)+SUMIF('Suivi budgétaire'!$D:$D,'Import balance'!A283,'Suivi budgétaire'!$D:$D)+SUMIF('Suivi budgétaire'!$E:$E,'Import balance'!A283,'Suivi budgétaire'!$E:$E)))</f>
        <v/>
      </c>
    </row>
    <row r="284">
      <c r="A284" s="86"/>
      <c r="B284" s="86"/>
      <c r="C284" s="86"/>
      <c r="D284" s="86"/>
      <c r="E284" s="552">
        <f t="shared" si="379"/>
        <v>0</v>
      </c>
      <c r="F284" s="557" t="str">
        <f t="shared" si="377"/>
        <v/>
      </c>
      <c r="G284" s="553" t="str">
        <f t="shared" si="378"/>
        <v/>
      </c>
      <c r="I284" s="36" t="str">
        <f>IF(A284="","",IF(OR(F284=1,F284=2,F284=3,F284=4,F284=5),1,SUMIF('Suivi budgétaire'!$A:$A,'Import balance'!A284,'Suivi budgétaire'!$A:$A)+SUMIF('Suivi budgétaire'!$B:$B,'Import balance'!A284,'Suivi budgétaire'!$B:$B)+SUMIF('Suivi budgétaire'!$C:$C,'Import balance'!A284,'Suivi budgétaire'!$C:$C)+SUMIF('Suivi budgétaire'!$D:$D,'Import balance'!A284,'Suivi budgétaire'!$D:$D)+SUMIF('Suivi budgétaire'!$E:$E,'Import balance'!A284,'Suivi budgétaire'!$E:$E)))</f>
        <v/>
      </c>
    </row>
    <row r="285">
      <c r="A285" s="86"/>
      <c r="B285" s="86"/>
      <c r="C285" s="86"/>
      <c r="D285" s="86"/>
      <c r="E285" s="552">
        <f t="shared" si="379"/>
        <v>0</v>
      </c>
      <c r="F285" s="557" t="str">
        <f t="shared" si="377"/>
        <v/>
      </c>
      <c r="G285" s="553" t="str">
        <f t="shared" si="378"/>
        <v/>
      </c>
      <c r="I285" s="36" t="str">
        <f>IF(A285="","",IF(OR(F285=1,F285=2,F285=3,F285=4,F285=5),1,SUMIF('Suivi budgétaire'!$A:$A,'Import balance'!A285,'Suivi budgétaire'!$A:$A)+SUMIF('Suivi budgétaire'!$B:$B,'Import balance'!A285,'Suivi budgétaire'!$B:$B)+SUMIF('Suivi budgétaire'!$C:$C,'Import balance'!A285,'Suivi budgétaire'!$C:$C)+SUMIF('Suivi budgétaire'!$D:$D,'Import balance'!A285,'Suivi budgétaire'!$D:$D)+SUMIF('Suivi budgétaire'!$E:$E,'Import balance'!A285,'Suivi budgétaire'!$E:$E)))</f>
        <v/>
      </c>
    </row>
    <row r="286">
      <c r="A286" s="86"/>
      <c r="B286" s="86"/>
      <c r="C286" s="86"/>
      <c r="D286" s="86"/>
      <c r="E286" s="552">
        <f t="shared" si="379"/>
        <v>0</v>
      </c>
      <c r="F286" s="557" t="str">
        <f t="shared" si="377"/>
        <v/>
      </c>
      <c r="G286" s="553" t="str">
        <f t="shared" si="378"/>
        <v/>
      </c>
      <c r="I286" s="36" t="str">
        <f>IF(A286="","",IF(OR(F286=1,F286=2,F286=3,F286=4,F286=5),1,SUMIF('Suivi budgétaire'!$A:$A,'Import balance'!A286,'Suivi budgétaire'!$A:$A)+SUMIF('Suivi budgétaire'!$B:$B,'Import balance'!A286,'Suivi budgétaire'!$B:$B)+SUMIF('Suivi budgétaire'!$C:$C,'Import balance'!A286,'Suivi budgétaire'!$C:$C)+SUMIF('Suivi budgétaire'!$D:$D,'Import balance'!A286,'Suivi budgétaire'!$D:$D)+SUMIF('Suivi budgétaire'!$E:$E,'Import balance'!A286,'Suivi budgétaire'!$E:$E)))</f>
        <v/>
      </c>
    </row>
    <row r="287">
      <c r="A287" s="86"/>
      <c r="B287" s="86"/>
      <c r="C287" s="86"/>
      <c r="D287" s="86"/>
      <c r="E287" s="552">
        <f t="shared" si="379"/>
        <v>0</v>
      </c>
      <c r="F287" s="557" t="str">
        <f t="shared" si="377"/>
        <v/>
      </c>
      <c r="G287" s="553" t="str">
        <f t="shared" si="378"/>
        <v/>
      </c>
      <c r="I287" s="36" t="str">
        <f>IF(A287="","",IF(OR(F287=1,F287=2,F287=3,F287=4,F287=5),1,SUMIF('Suivi budgétaire'!$A:$A,'Import balance'!A287,'Suivi budgétaire'!$A:$A)+SUMIF('Suivi budgétaire'!$B:$B,'Import balance'!A287,'Suivi budgétaire'!$B:$B)+SUMIF('Suivi budgétaire'!$C:$C,'Import balance'!A287,'Suivi budgétaire'!$C:$C)+SUMIF('Suivi budgétaire'!$D:$D,'Import balance'!A287,'Suivi budgétaire'!$D:$D)+SUMIF('Suivi budgétaire'!$E:$E,'Import balance'!A287,'Suivi budgétaire'!$E:$E)))</f>
        <v/>
      </c>
    </row>
    <row r="288">
      <c r="A288" s="86"/>
      <c r="B288" s="86"/>
      <c r="C288" s="86"/>
      <c r="D288" s="86"/>
      <c r="E288" s="552">
        <f t="shared" si="379"/>
        <v>0</v>
      </c>
      <c r="F288" s="557" t="str">
        <f t="shared" si="377"/>
        <v/>
      </c>
      <c r="G288" s="553" t="str">
        <f t="shared" si="378"/>
        <v/>
      </c>
      <c r="I288" s="36" t="str">
        <f>IF(A288="","",IF(OR(F288=1,F288=2,F288=3,F288=4,F288=5),1,SUMIF('Suivi budgétaire'!$A:$A,'Import balance'!A288,'Suivi budgétaire'!$A:$A)+SUMIF('Suivi budgétaire'!$B:$B,'Import balance'!A288,'Suivi budgétaire'!$B:$B)+SUMIF('Suivi budgétaire'!$C:$C,'Import balance'!A288,'Suivi budgétaire'!$C:$C)+SUMIF('Suivi budgétaire'!$D:$D,'Import balance'!A288,'Suivi budgétaire'!$D:$D)+SUMIF('Suivi budgétaire'!$E:$E,'Import balance'!A288,'Suivi budgétaire'!$E:$E)))</f>
        <v/>
      </c>
    </row>
    <row r="289">
      <c r="A289" s="86"/>
      <c r="B289" s="86"/>
      <c r="C289" s="86"/>
      <c r="D289" s="86"/>
      <c r="E289" s="552">
        <f t="shared" si="379"/>
        <v>0</v>
      </c>
      <c r="F289" s="557" t="str">
        <f t="shared" si="377"/>
        <v/>
      </c>
      <c r="G289" s="553" t="str">
        <f t="shared" si="378"/>
        <v/>
      </c>
      <c r="I289" s="36" t="str">
        <f>IF(A289="","",IF(OR(F289=1,F289=2,F289=3,F289=4,F289=5),1,SUMIF('Suivi budgétaire'!$A:$A,'Import balance'!A289,'Suivi budgétaire'!$A:$A)+SUMIF('Suivi budgétaire'!$B:$B,'Import balance'!A289,'Suivi budgétaire'!$B:$B)+SUMIF('Suivi budgétaire'!$C:$C,'Import balance'!A289,'Suivi budgétaire'!$C:$C)+SUMIF('Suivi budgétaire'!$D:$D,'Import balance'!A289,'Suivi budgétaire'!$D:$D)+SUMIF('Suivi budgétaire'!$E:$E,'Import balance'!A289,'Suivi budgétaire'!$E:$E)))</f>
        <v/>
      </c>
    </row>
    <row r="290">
      <c r="A290" s="86"/>
      <c r="B290" s="86"/>
      <c r="C290" s="86"/>
      <c r="D290" s="86"/>
      <c r="E290" s="552">
        <f t="shared" si="379"/>
        <v>0</v>
      </c>
      <c r="F290" s="557" t="str">
        <f t="shared" si="377"/>
        <v/>
      </c>
      <c r="G290" s="553" t="str">
        <f t="shared" si="378"/>
        <v/>
      </c>
      <c r="I290" s="36" t="str">
        <f>IF(A290="","",IF(OR(F290=1,F290=2,F290=3,F290=4,F290=5),1,SUMIF('Suivi budgétaire'!$A:$A,'Import balance'!A290,'Suivi budgétaire'!$A:$A)+SUMIF('Suivi budgétaire'!$B:$B,'Import balance'!A290,'Suivi budgétaire'!$B:$B)+SUMIF('Suivi budgétaire'!$C:$C,'Import balance'!A290,'Suivi budgétaire'!$C:$C)+SUMIF('Suivi budgétaire'!$D:$D,'Import balance'!A290,'Suivi budgétaire'!$D:$D)+SUMIF('Suivi budgétaire'!$E:$E,'Import balance'!A290,'Suivi budgétaire'!$E:$E)))</f>
        <v/>
      </c>
    </row>
    <row r="291">
      <c r="A291" s="86"/>
      <c r="B291" s="86"/>
      <c r="C291" s="86"/>
      <c r="D291" s="86"/>
      <c r="E291" s="552">
        <f t="shared" si="379"/>
        <v>0</v>
      </c>
      <c r="F291" s="557" t="str">
        <f t="shared" si="377"/>
        <v/>
      </c>
      <c r="G291" s="553" t="str">
        <f t="shared" si="378"/>
        <v/>
      </c>
      <c r="I291" s="36" t="str">
        <f>IF(A291="","",IF(OR(F291=1,F291=2,F291=3,F291=4,F291=5),1,SUMIF('Suivi budgétaire'!$A:$A,'Import balance'!A291,'Suivi budgétaire'!$A:$A)+SUMIF('Suivi budgétaire'!$B:$B,'Import balance'!A291,'Suivi budgétaire'!$B:$B)+SUMIF('Suivi budgétaire'!$C:$C,'Import balance'!A291,'Suivi budgétaire'!$C:$C)+SUMIF('Suivi budgétaire'!$D:$D,'Import balance'!A291,'Suivi budgétaire'!$D:$D)+SUMIF('Suivi budgétaire'!$E:$E,'Import balance'!A291,'Suivi budgétaire'!$E:$E)))</f>
        <v/>
      </c>
    </row>
    <row r="292">
      <c r="A292" s="86"/>
      <c r="B292" s="86"/>
      <c r="C292" s="86"/>
      <c r="D292" s="86"/>
      <c r="E292" s="552">
        <f t="shared" si="379"/>
        <v>0</v>
      </c>
      <c r="F292" s="557" t="str">
        <f t="shared" ref="F292:F355" si="380">LEFT(A292,1)</f>
        <v/>
      </c>
      <c r="G292" s="553" t="str">
        <f t="shared" ref="G292:G355" si="381">LEFT(A292,3)</f>
        <v/>
      </c>
      <c r="I292" s="36" t="str">
        <f>IF(A292="","",IF(OR(F292=1,F292=2,F292=3,F292=4,F292=5),1,SUMIF('Suivi budgétaire'!$A:$A,'Import balance'!A292,'Suivi budgétaire'!$A:$A)+SUMIF('Suivi budgétaire'!$B:$B,'Import balance'!A292,'Suivi budgétaire'!$B:$B)+SUMIF('Suivi budgétaire'!$C:$C,'Import balance'!A292,'Suivi budgétaire'!$C:$C)+SUMIF('Suivi budgétaire'!$D:$D,'Import balance'!A292,'Suivi budgétaire'!$D:$D)+SUMIF('Suivi budgétaire'!$E:$E,'Import balance'!A292,'Suivi budgétaire'!$E:$E)))</f>
        <v/>
      </c>
    </row>
    <row r="293">
      <c r="A293" s="86"/>
      <c r="B293" s="86"/>
      <c r="C293" s="86"/>
      <c r="D293" s="86"/>
      <c r="E293" s="552">
        <f t="shared" si="379"/>
        <v>0</v>
      </c>
      <c r="F293" s="557" t="str">
        <f t="shared" si="380"/>
        <v/>
      </c>
      <c r="G293" s="553" t="str">
        <f t="shared" si="381"/>
        <v/>
      </c>
      <c r="I293" s="36" t="str">
        <f>IF(A293="","",IF(OR(F293=1,F293=2,F293=3,F293=4,F293=5),1,SUMIF('Suivi budgétaire'!$A:$A,'Import balance'!A293,'Suivi budgétaire'!$A:$A)+SUMIF('Suivi budgétaire'!$B:$B,'Import balance'!A293,'Suivi budgétaire'!$B:$B)+SUMIF('Suivi budgétaire'!$C:$C,'Import balance'!A293,'Suivi budgétaire'!$C:$C)+SUMIF('Suivi budgétaire'!$D:$D,'Import balance'!A293,'Suivi budgétaire'!$D:$D)+SUMIF('Suivi budgétaire'!$E:$E,'Import balance'!A293,'Suivi budgétaire'!$E:$E)))</f>
        <v/>
      </c>
    </row>
    <row r="294">
      <c r="A294" s="86"/>
      <c r="B294" s="86"/>
      <c r="C294" s="86"/>
      <c r="D294" s="86"/>
      <c r="E294" s="552">
        <f t="shared" si="379"/>
        <v>0</v>
      </c>
      <c r="F294" s="557" t="str">
        <f t="shared" si="380"/>
        <v/>
      </c>
      <c r="G294" s="553" t="str">
        <f t="shared" si="381"/>
        <v/>
      </c>
      <c r="I294" s="36" t="str">
        <f>IF(A294="","",IF(OR(F294=1,F294=2,F294=3,F294=4,F294=5),1,SUMIF('Suivi budgétaire'!$A:$A,'Import balance'!A294,'Suivi budgétaire'!$A:$A)+SUMIF('Suivi budgétaire'!$B:$B,'Import balance'!A294,'Suivi budgétaire'!$B:$B)+SUMIF('Suivi budgétaire'!$C:$C,'Import balance'!A294,'Suivi budgétaire'!$C:$C)+SUMIF('Suivi budgétaire'!$D:$D,'Import balance'!A294,'Suivi budgétaire'!$D:$D)+SUMIF('Suivi budgétaire'!$E:$E,'Import balance'!A294,'Suivi budgétaire'!$E:$E)))</f>
        <v/>
      </c>
    </row>
    <row r="295">
      <c r="A295" s="86"/>
      <c r="B295" s="86"/>
      <c r="C295" s="86"/>
      <c r="D295" s="86"/>
      <c r="E295" s="552">
        <f t="shared" si="379"/>
        <v>0</v>
      </c>
      <c r="F295" s="557" t="str">
        <f t="shared" si="380"/>
        <v/>
      </c>
      <c r="G295" s="553" t="str">
        <f t="shared" si="381"/>
        <v/>
      </c>
      <c r="I295" s="36" t="str">
        <f>IF(A295="","",IF(OR(F295=1,F295=2,F295=3,F295=4,F295=5),1,SUMIF('Suivi budgétaire'!$A:$A,'Import balance'!A295,'Suivi budgétaire'!$A:$A)+SUMIF('Suivi budgétaire'!$B:$B,'Import balance'!A295,'Suivi budgétaire'!$B:$B)+SUMIF('Suivi budgétaire'!$C:$C,'Import balance'!A295,'Suivi budgétaire'!$C:$C)+SUMIF('Suivi budgétaire'!$D:$D,'Import balance'!A295,'Suivi budgétaire'!$D:$D)+SUMIF('Suivi budgétaire'!$E:$E,'Import balance'!A295,'Suivi budgétaire'!$E:$E)))</f>
        <v/>
      </c>
    </row>
    <row r="296">
      <c r="A296" s="86"/>
      <c r="B296" s="86"/>
      <c r="C296" s="86"/>
      <c r="D296" s="86"/>
      <c r="E296" s="552">
        <f t="shared" si="379"/>
        <v>0</v>
      </c>
      <c r="F296" s="557" t="str">
        <f t="shared" si="380"/>
        <v/>
      </c>
      <c r="G296" s="553" t="str">
        <f t="shared" si="381"/>
        <v/>
      </c>
      <c r="I296" s="36" t="str">
        <f>IF(A296="","",IF(OR(F296=1,F296=2,F296=3,F296=4,F296=5),1,SUMIF('Suivi budgétaire'!$A:$A,'Import balance'!A296,'Suivi budgétaire'!$A:$A)+SUMIF('Suivi budgétaire'!$B:$B,'Import balance'!A296,'Suivi budgétaire'!$B:$B)+SUMIF('Suivi budgétaire'!$C:$C,'Import balance'!A296,'Suivi budgétaire'!$C:$C)+SUMIF('Suivi budgétaire'!$D:$D,'Import balance'!A296,'Suivi budgétaire'!$D:$D)+SUMIF('Suivi budgétaire'!$E:$E,'Import balance'!A296,'Suivi budgétaire'!$E:$E)))</f>
        <v/>
      </c>
    </row>
    <row r="297">
      <c r="A297" s="86"/>
      <c r="B297" s="86"/>
      <c r="C297" s="86"/>
      <c r="D297" s="86"/>
      <c r="E297" s="552">
        <f t="shared" si="379"/>
        <v>0</v>
      </c>
      <c r="F297" s="557" t="str">
        <f t="shared" si="380"/>
        <v/>
      </c>
      <c r="G297" s="553" t="str">
        <f t="shared" si="381"/>
        <v/>
      </c>
      <c r="I297" s="36" t="str">
        <f>IF(A297="","",IF(OR(F297=1,F297=2,F297=3,F297=4,F297=5),1,SUMIF('Suivi budgétaire'!$A:$A,'Import balance'!A297,'Suivi budgétaire'!$A:$A)+SUMIF('Suivi budgétaire'!$B:$B,'Import balance'!A297,'Suivi budgétaire'!$B:$B)+SUMIF('Suivi budgétaire'!$C:$C,'Import balance'!A297,'Suivi budgétaire'!$C:$C)+SUMIF('Suivi budgétaire'!$D:$D,'Import balance'!A297,'Suivi budgétaire'!$D:$D)+SUMIF('Suivi budgétaire'!$E:$E,'Import balance'!A297,'Suivi budgétaire'!$E:$E)))</f>
        <v/>
      </c>
    </row>
    <row r="298">
      <c r="A298" s="86"/>
      <c r="B298" s="86"/>
      <c r="C298" s="86"/>
      <c r="D298" s="86"/>
      <c r="E298" s="552">
        <f t="shared" si="379"/>
        <v>0</v>
      </c>
      <c r="F298" s="557" t="str">
        <f t="shared" si="380"/>
        <v/>
      </c>
      <c r="G298" s="553" t="str">
        <f t="shared" si="381"/>
        <v/>
      </c>
      <c r="I298" s="36" t="str">
        <f>IF(A298="","",IF(OR(F298=1,F298=2,F298=3,F298=4,F298=5),1,SUMIF('Suivi budgétaire'!$A:$A,'Import balance'!A298,'Suivi budgétaire'!$A:$A)+SUMIF('Suivi budgétaire'!$B:$B,'Import balance'!A298,'Suivi budgétaire'!$B:$B)+SUMIF('Suivi budgétaire'!$C:$C,'Import balance'!A298,'Suivi budgétaire'!$C:$C)+SUMIF('Suivi budgétaire'!$D:$D,'Import balance'!A298,'Suivi budgétaire'!$D:$D)+SUMIF('Suivi budgétaire'!$E:$E,'Import balance'!A298,'Suivi budgétaire'!$E:$E)))</f>
        <v/>
      </c>
    </row>
    <row r="299">
      <c r="A299" s="86"/>
      <c r="B299" s="86"/>
      <c r="C299" s="86"/>
      <c r="D299" s="86"/>
      <c r="E299" s="552">
        <f t="shared" si="379"/>
        <v>0</v>
      </c>
      <c r="F299" s="557" t="str">
        <f t="shared" si="380"/>
        <v/>
      </c>
      <c r="G299" s="553" t="str">
        <f t="shared" si="381"/>
        <v/>
      </c>
      <c r="I299" s="36" t="str">
        <f>IF(A299="","",IF(OR(F299=1,F299=2,F299=3,F299=4,F299=5),1,SUMIF('Suivi budgétaire'!$A:$A,'Import balance'!A299,'Suivi budgétaire'!$A:$A)+SUMIF('Suivi budgétaire'!$B:$B,'Import balance'!A299,'Suivi budgétaire'!$B:$B)+SUMIF('Suivi budgétaire'!$C:$C,'Import balance'!A299,'Suivi budgétaire'!$C:$C)+SUMIF('Suivi budgétaire'!$D:$D,'Import balance'!A299,'Suivi budgétaire'!$D:$D)+SUMIF('Suivi budgétaire'!$E:$E,'Import balance'!A299,'Suivi budgétaire'!$E:$E)))</f>
        <v/>
      </c>
    </row>
    <row r="300">
      <c r="A300" s="86"/>
      <c r="B300" s="86"/>
      <c r="C300" s="86"/>
      <c r="D300" s="86"/>
      <c r="E300" s="552">
        <f t="shared" si="379"/>
        <v>0</v>
      </c>
      <c r="F300" s="557" t="str">
        <f t="shared" si="380"/>
        <v/>
      </c>
      <c r="G300" s="553" t="str">
        <f t="shared" si="381"/>
        <v/>
      </c>
      <c r="I300" s="36" t="str">
        <f>IF(A300="","",IF(OR(F300=1,F300=2,F300=3,F300=4,F300=5),1,SUMIF('Suivi budgétaire'!$A:$A,'Import balance'!A300,'Suivi budgétaire'!$A:$A)+SUMIF('Suivi budgétaire'!$B:$B,'Import balance'!A300,'Suivi budgétaire'!$B:$B)+SUMIF('Suivi budgétaire'!$C:$C,'Import balance'!A300,'Suivi budgétaire'!$C:$C)+SUMIF('Suivi budgétaire'!$D:$D,'Import balance'!A300,'Suivi budgétaire'!$D:$D)+SUMIF('Suivi budgétaire'!$E:$E,'Import balance'!A300,'Suivi budgétaire'!$E:$E)))</f>
        <v/>
      </c>
    </row>
    <row r="301">
      <c r="A301" s="86"/>
      <c r="B301" s="86"/>
      <c r="C301" s="86"/>
      <c r="D301" s="86"/>
      <c r="E301" s="552">
        <f t="shared" si="379"/>
        <v>0</v>
      </c>
      <c r="F301" s="557" t="str">
        <f t="shared" si="380"/>
        <v/>
      </c>
      <c r="G301" s="553" t="str">
        <f t="shared" si="381"/>
        <v/>
      </c>
      <c r="I301" s="36" t="str">
        <f>IF(A301="","",IF(OR(F301=1,F301=2,F301=3,F301=4,F301=5),1,SUMIF('Suivi budgétaire'!$A:$A,'Import balance'!A301,'Suivi budgétaire'!$A:$A)+SUMIF('Suivi budgétaire'!$B:$B,'Import balance'!A301,'Suivi budgétaire'!$B:$B)+SUMIF('Suivi budgétaire'!$C:$C,'Import balance'!A301,'Suivi budgétaire'!$C:$C)+SUMIF('Suivi budgétaire'!$D:$D,'Import balance'!A301,'Suivi budgétaire'!$D:$D)+SUMIF('Suivi budgétaire'!$E:$E,'Import balance'!A301,'Suivi budgétaire'!$E:$E)))</f>
        <v/>
      </c>
    </row>
    <row r="302">
      <c r="A302" s="86"/>
      <c r="B302" s="86"/>
      <c r="C302" s="86"/>
      <c r="D302" s="86"/>
      <c r="E302" s="552">
        <f t="shared" si="379"/>
        <v>0</v>
      </c>
      <c r="F302" s="557" t="str">
        <f t="shared" si="380"/>
        <v/>
      </c>
      <c r="G302" s="553" t="str">
        <f t="shared" si="381"/>
        <v/>
      </c>
      <c r="I302" s="36" t="str">
        <f>IF(A302="","",IF(OR(F302=1,F302=2,F302=3,F302=4,F302=5),1,SUMIF('Suivi budgétaire'!$A:$A,'Import balance'!A302,'Suivi budgétaire'!$A:$A)+SUMIF('Suivi budgétaire'!$B:$B,'Import balance'!A302,'Suivi budgétaire'!$B:$B)+SUMIF('Suivi budgétaire'!$C:$C,'Import balance'!A302,'Suivi budgétaire'!$C:$C)+SUMIF('Suivi budgétaire'!$D:$D,'Import balance'!A302,'Suivi budgétaire'!$D:$D)+SUMIF('Suivi budgétaire'!$E:$E,'Import balance'!A302,'Suivi budgétaire'!$E:$E)))</f>
        <v/>
      </c>
    </row>
    <row r="303">
      <c r="A303" s="86"/>
      <c r="B303" s="86"/>
      <c r="C303" s="86"/>
      <c r="D303" s="86"/>
      <c r="E303" s="552">
        <f t="shared" si="379"/>
        <v>0</v>
      </c>
      <c r="F303" s="557" t="str">
        <f t="shared" si="380"/>
        <v/>
      </c>
      <c r="G303" s="553" t="str">
        <f t="shared" si="381"/>
        <v/>
      </c>
      <c r="I303" s="36" t="str">
        <f>IF(A303="","",IF(OR(F303=1,F303=2,F303=3,F303=4,F303=5),1,SUMIF('Suivi budgétaire'!$A:$A,'Import balance'!A303,'Suivi budgétaire'!$A:$A)+SUMIF('Suivi budgétaire'!$B:$B,'Import balance'!A303,'Suivi budgétaire'!$B:$B)+SUMIF('Suivi budgétaire'!$C:$C,'Import balance'!A303,'Suivi budgétaire'!$C:$C)+SUMIF('Suivi budgétaire'!$D:$D,'Import balance'!A303,'Suivi budgétaire'!$D:$D)+SUMIF('Suivi budgétaire'!$E:$E,'Import balance'!A303,'Suivi budgétaire'!$E:$E)))</f>
        <v/>
      </c>
    </row>
    <row r="304">
      <c r="A304" s="86"/>
      <c r="B304" s="86"/>
      <c r="C304" s="86"/>
      <c r="D304" s="86"/>
      <c r="E304" s="552">
        <f t="shared" si="379"/>
        <v>0</v>
      </c>
      <c r="F304" s="557" t="str">
        <f t="shared" si="380"/>
        <v/>
      </c>
      <c r="G304" s="553" t="str">
        <f t="shared" si="381"/>
        <v/>
      </c>
      <c r="I304" s="36" t="str">
        <f>IF(A304="","",IF(OR(F304=1,F304=2,F304=3,F304=4,F304=5),1,SUMIF('Suivi budgétaire'!$A:$A,'Import balance'!A304,'Suivi budgétaire'!$A:$A)+SUMIF('Suivi budgétaire'!$B:$B,'Import balance'!A304,'Suivi budgétaire'!$B:$B)+SUMIF('Suivi budgétaire'!$C:$C,'Import balance'!A304,'Suivi budgétaire'!$C:$C)+SUMIF('Suivi budgétaire'!$D:$D,'Import balance'!A304,'Suivi budgétaire'!$D:$D)+SUMIF('Suivi budgétaire'!$E:$E,'Import balance'!A304,'Suivi budgétaire'!$E:$E)))</f>
        <v/>
      </c>
    </row>
    <row r="305">
      <c r="A305" s="86"/>
      <c r="B305" s="86"/>
      <c r="C305" s="86"/>
      <c r="D305" s="86"/>
      <c r="E305" s="552">
        <f t="shared" si="379"/>
        <v>0</v>
      </c>
      <c r="F305" s="557" t="str">
        <f t="shared" si="380"/>
        <v/>
      </c>
      <c r="G305" s="553" t="str">
        <f t="shared" si="381"/>
        <v/>
      </c>
      <c r="I305" s="36" t="str">
        <f>IF(A305="","",IF(OR(F305=1,F305=2,F305=3,F305=4,F305=5),1,SUMIF('Suivi budgétaire'!$A:$A,'Import balance'!A305,'Suivi budgétaire'!$A:$A)+SUMIF('Suivi budgétaire'!$B:$B,'Import balance'!A305,'Suivi budgétaire'!$B:$B)+SUMIF('Suivi budgétaire'!$C:$C,'Import balance'!A305,'Suivi budgétaire'!$C:$C)+SUMIF('Suivi budgétaire'!$D:$D,'Import balance'!A305,'Suivi budgétaire'!$D:$D)+SUMIF('Suivi budgétaire'!$E:$E,'Import balance'!A305,'Suivi budgétaire'!$E:$E)))</f>
        <v/>
      </c>
    </row>
    <row r="306">
      <c r="A306" s="86"/>
      <c r="B306" s="86"/>
      <c r="C306" s="86"/>
      <c r="D306" s="86"/>
      <c r="E306" s="552">
        <f t="shared" si="379"/>
        <v>0</v>
      </c>
      <c r="F306" s="557" t="str">
        <f t="shared" si="380"/>
        <v/>
      </c>
      <c r="G306" s="553" t="str">
        <f t="shared" si="381"/>
        <v/>
      </c>
      <c r="I306" s="36" t="str">
        <f>IF(A306="","",IF(OR(F306=1,F306=2,F306=3,F306=4,F306=5),1,SUMIF('Suivi budgétaire'!$A:$A,'Import balance'!A306,'Suivi budgétaire'!$A:$A)+SUMIF('Suivi budgétaire'!$B:$B,'Import balance'!A306,'Suivi budgétaire'!$B:$B)+SUMIF('Suivi budgétaire'!$C:$C,'Import balance'!A306,'Suivi budgétaire'!$C:$C)+SUMIF('Suivi budgétaire'!$D:$D,'Import balance'!A306,'Suivi budgétaire'!$D:$D)+SUMIF('Suivi budgétaire'!$E:$E,'Import balance'!A306,'Suivi budgétaire'!$E:$E)))</f>
        <v/>
      </c>
    </row>
    <row r="307">
      <c r="A307" s="86"/>
      <c r="B307" s="86"/>
      <c r="C307" s="86"/>
      <c r="D307" s="86"/>
      <c r="E307" s="552">
        <f t="shared" si="379"/>
        <v>0</v>
      </c>
      <c r="F307" s="557" t="str">
        <f t="shared" si="380"/>
        <v/>
      </c>
      <c r="G307" s="553" t="str">
        <f t="shared" si="381"/>
        <v/>
      </c>
      <c r="I307" s="36" t="str">
        <f>IF(A307="","",IF(OR(F307=1,F307=2,F307=3,F307=4,F307=5),1,SUMIF('Suivi budgétaire'!$A:$A,'Import balance'!A307,'Suivi budgétaire'!$A:$A)+SUMIF('Suivi budgétaire'!$B:$B,'Import balance'!A307,'Suivi budgétaire'!$B:$B)+SUMIF('Suivi budgétaire'!$C:$C,'Import balance'!A307,'Suivi budgétaire'!$C:$C)+SUMIF('Suivi budgétaire'!$D:$D,'Import balance'!A307,'Suivi budgétaire'!$D:$D)+SUMIF('Suivi budgétaire'!$E:$E,'Import balance'!A307,'Suivi budgétaire'!$E:$E)))</f>
        <v/>
      </c>
    </row>
    <row r="308">
      <c r="A308" s="86"/>
      <c r="B308" s="86"/>
      <c r="C308" s="86"/>
      <c r="D308" s="86"/>
      <c r="E308" s="552">
        <f t="shared" si="379"/>
        <v>0</v>
      </c>
      <c r="F308" s="557" t="str">
        <f t="shared" si="380"/>
        <v/>
      </c>
      <c r="G308" s="553" t="str">
        <f t="shared" si="381"/>
        <v/>
      </c>
      <c r="I308" s="36" t="str">
        <f>IF(A308="","",IF(OR(F308=1,F308=2,F308=3,F308=4,F308=5),1,SUMIF('Suivi budgétaire'!$A:$A,'Import balance'!A308,'Suivi budgétaire'!$A:$A)+SUMIF('Suivi budgétaire'!$B:$B,'Import balance'!A308,'Suivi budgétaire'!$B:$B)+SUMIF('Suivi budgétaire'!$C:$C,'Import balance'!A308,'Suivi budgétaire'!$C:$C)+SUMIF('Suivi budgétaire'!$D:$D,'Import balance'!A308,'Suivi budgétaire'!$D:$D)+SUMIF('Suivi budgétaire'!$E:$E,'Import balance'!A308,'Suivi budgétaire'!$E:$E)))</f>
        <v/>
      </c>
    </row>
    <row r="309">
      <c r="A309" s="86"/>
      <c r="B309" s="86"/>
      <c r="C309" s="86"/>
      <c r="D309" s="86"/>
      <c r="E309" s="552">
        <f t="shared" si="379"/>
        <v>0</v>
      </c>
      <c r="F309" s="557" t="str">
        <f t="shared" si="380"/>
        <v/>
      </c>
      <c r="G309" s="553" t="str">
        <f t="shared" si="381"/>
        <v/>
      </c>
      <c r="I309" s="36" t="str">
        <f>IF(A309="","",IF(OR(F309=1,F309=2,F309=3,F309=4,F309=5),1,SUMIF('Suivi budgétaire'!$A:$A,'Import balance'!A309,'Suivi budgétaire'!$A:$A)+SUMIF('Suivi budgétaire'!$B:$B,'Import balance'!A309,'Suivi budgétaire'!$B:$B)+SUMIF('Suivi budgétaire'!$C:$C,'Import balance'!A309,'Suivi budgétaire'!$C:$C)+SUMIF('Suivi budgétaire'!$D:$D,'Import balance'!A309,'Suivi budgétaire'!$D:$D)+SUMIF('Suivi budgétaire'!$E:$E,'Import balance'!A309,'Suivi budgétaire'!$E:$E)))</f>
        <v/>
      </c>
    </row>
    <row r="310">
      <c r="A310" s="86"/>
      <c r="B310" s="86"/>
      <c r="C310" s="86"/>
      <c r="D310" s="86"/>
      <c r="E310" s="552">
        <f t="shared" si="379"/>
        <v>0</v>
      </c>
      <c r="F310" s="557" t="str">
        <f t="shared" si="380"/>
        <v/>
      </c>
      <c r="G310" s="553" t="str">
        <f t="shared" si="381"/>
        <v/>
      </c>
      <c r="I310" s="36" t="str">
        <f>IF(A310="","",IF(OR(F310=1,F310=2,F310=3,F310=4,F310=5),1,SUMIF('Suivi budgétaire'!$A:$A,'Import balance'!A310,'Suivi budgétaire'!$A:$A)+SUMIF('Suivi budgétaire'!$B:$B,'Import balance'!A310,'Suivi budgétaire'!$B:$B)+SUMIF('Suivi budgétaire'!$C:$C,'Import balance'!A310,'Suivi budgétaire'!$C:$C)+SUMIF('Suivi budgétaire'!$D:$D,'Import balance'!A310,'Suivi budgétaire'!$D:$D)+SUMIF('Suivi budgétaire'!$E:$E,'Import balance'!A310,'Suivi budgétaire'!$E:$E)))</f>
        <v/>
      </c>
    </row>
    <row r="311">
      <c r="A311" s="86"/>
      <c r="B311" s="86"/>
      <c r="C311" s="86"/>
      <c r="D311" s="86"/>
      <c r="E311" s="552">
        <f t="shared" si="379"/>
        <v>0</v>
      </c>
      <c r="F311" s="557" t="str">
        <f t="shared" si="380"/>
        <v/>
      </c>
      <c r="G311" s="553" t="str">
        <f t="shared" si="381"/>
        <v/>
      </c>
      <c r="I311" s="36" t="str">
        <f>IF(A311="","",IF(OR(F311=1,F311=2,F311=3,F311=4,F311=5),1,SUMIF('Suivi budgétaire'!$A:$A,'Import balance'!A311,'Suivi budgétaire'!$A:$A)+SUMIF('Suivi budgétaire'!$B:$B,'Import balance'!A311,'Suivi budgétaire'!$B:$B)+SUMIF('Suivi budgétaire'!$C:$C,'Import balance'!A311,'Suivi budgétaire'!$C:$C)+SUMIF('Suivi budgétaire'!$D:$D,'Import balance'!A311,'Suivi budgétaire'!$D:$D)+SUMIF('Suivi budgétaire'!$E:$E,'Import balance'!A311,'Suivi budgétaire'!$E:$E)))</f>
        <v/>
      </c>
    </row>
    <row r="312">
      <c r="A312" s="86"/>
      <c r="B312" s="86"/>
      <c r="C312" s="86"/>
      <c r="D312" s="86"/>
      <c r="E312" s="552">
        <f t="shared" si="379"/>
        <v>0</v>
      </c>
      <c r="F312" s="557" t="str">
        <f t="shared" si="380"/>
        <v/>
      </c>
      <c r="G312" s="553" t="str">
        <f t="shared" si="381"/>
        <v/>
      </c>
      <c r="I312" s="36" t="str">
        <f>IF(A312="","",IF(OR(F312=1,F312=2,F312=3,F312=4,F312=5),1,SUMIF('Suivi budgétaire'!$A:$A,'Import balance'!A312,'Suivi budgétaire'!$A:$A)+SUMIF('Suivi budgétaire'!$B:$B,'Import balance'!A312,'Suivi budgétaire'!$B:$B)+SUMIF('Suivi budgétaire'!$C:$C,'Import balance'!A312,'Suivi budgétaire'!$C:$C)+SUMIF('Suivi budgétaire'!$D:$D,'Import balance'!A312,'Suivi budgétaire'!$D:$D)+SUMIF('Suivi budgétaire'!$E:$E,'Import balance'!A312,'Suivi budgétaire'!$E:$E)))</f>
        <v/>
      </c>
    </row>
    <row r="313">
      <c r="A313" s="86"/>
      <c r="B313" s="86"/>
      <c r="C313" s="86"/>
      <c r="D313" s="86"/>
      <c r="E313" s="552">
        <f t="shared" si="379"/>
        <v>0</v>
      </c>
      <c r="F313" s="557" t="str">
        <f t="shared" si="380"/>
        <v/>
      </c>
      <c r="G313" s="553" t="str">
        <f t="shared" si="381"/>
        <v/>
      </c>
      <c r="I313" s="36" t="str">
        <f>IF(A313="","",IF(OR(F313=1,F313=2,F313=3,F313=4,F313=5),1,SUMIF('Suivi budgétaire'!$A:$A,'Import balance'!A313,'Suivi budgétaire'!$A:$A)+SUMIF('Suivi budgétaire'!$B:$B,'Import balance'!A313,'Suivi budgétaire'!$B:$B)+SUMIF('Suivi budgétaire'!$C:$C,'Import balance'!A313,'Suivi budgétaire'!$C:$C)+SUMIF('Suivi budgétaire'!$D:$D,'Import balance'!A313,'Suivi budgétaire'!$D:$D)+SUMIF('Suivi budgétaire'!$E:$E,'Import balance'!A313,'Suivi budgétaire'!$E:$E)))</f>
        <v/>
      </c>
    </row>
    <row r="314">
      <c r="A314" s="86"/>
      <c r="B314" s="86"/>
      <c r="C314" s="86"/>
      <c r="D314" s="86"/>
      <c r="E314" s="552">
        <f t="shared" si="379"/>
        <v>0</v>
      </c>
      <c r="F314" s="557" t="str">
        <f t="shared" si="380"/>
        <v/>
      </c>
      <c r="G314" s="553" t="str">
        <f t="shared" si="381"/>
        <v/>
      </c>
      <c r="I314" s="36" t="str">
        <f>IF(A314="","",IF(OR(F314=1,F314=2,F314=3,F314=4,F314=5),1,SUMIF('Suivi budgétaire'!$A:$A,'Import balance'!A314,'Suivi budgétaire'!$A:$A)+SUMIF('Suivi budgétaire'!$B:$B,'Import balance'!A314,'Suivi budgétaire'!$B:$B)+SUMIF('Suivi budgétaire'!$C:$C,'Import balance'!A314,'Suivi budgétaire'!$C:$C)+SUMIF('Suivi budgétaire'!$D:$D,'Import balance'!A314,'Suivi budgétaire'!$D:$D)+SUMIF('Suivi budgétaire'!$E:$E,'Import balance'!A314,'Suivi budgétaire'!$E:$E)))</f>
        <v/>
      </c>
    </row>
    <row r="315">
      <c r="A315" s="86"/>
      <c r="B315" s="86"/>
      <c r="C315" s="86"/>
      <c r="D315" s="86"/>
      <c r="E315" s="552">
        <f t="shared" si="379"/>
        <v>0</v>
      </c>
      <c r="F315" s="557" t="str">
        <f t="shared" si="380"/>
        <v/>
      </c>
      <c r="G315" s="553" t="str">
        <f t="shared" si="381"/>
        <v/>
      </c>
      <c r="I315" s="36" t="str">
        <f>IF(A315="","",IF(OR(F315=1,F315=2,F315=3,F315=4,F315=5),1,SUMIF('Suivi budgétaire'!$A:$A,'Import balance'!A315,'Suivi budgétaire'!$A:$A)+SUMIF('Suivi budgétaire'!$B:$B,'Import balance'!A315,'Suivi budgétaire'!$B:$B)+SUMIF('Suivi budgétaire'!$C:$C,'Import balance'!A315,'Suivi budgétaire'!$C:$C)+SUMIF('Suivi budgétaire'!$D:$D,'Import balance'!A315,'Suivi budgétaire'!$D:$D)+SUMIF('Suivi budgétaire'!$E:$E,'Import balance'!A315,'Suivi budgétaire'!$E:$E)))</f>
        <v/>
      </c>
    </row>
    <row r="316">
      <c r="A316" s="86"/>
      <c r="B316" s="86"/>
      <c r="C316" s="86"/>
      <c r="D316" s="86"/>
      <c r="E316" s="552">
        <f t="shared" si="379"/>
        <v>0</v>
      </c>
      <c r="F316" s="557" t="str">
        <f t="shared" si="380"/>
        <v/>
      </c>
      <c r="G316" s="553" t="str">
        <f t="shared" si="381"/>
        <v/>
      </c>
      <c r="I316" s="36" t="str">
        <f>IF(A316="","",IF(OR(F316=1,F316=2,F316=3,F316=4,F316=5),1,SUMIF('Suivi budgétaire'!$A:$A,'Import balance'!A316,'Suivi budgétaire'!$A:$A)+SUMIF('Suivi budgétaire'!$B:$B,'Import balance'!A316,'Suivi budgétaire'!$B:$B)+SUMIF('Suivi budgétaire'!$C:$C,'Import balance'!A316,'Suivi budgétaire'!$C:$C)+SUMIF('Suivi budgétaire'!$D:$D,'Import balance'!A316,'Suivi budgétaire'!$D:$D)+SUMIF('Suivi budgétaire'!$E:$E,'Import balance'!A316,'Suivi budgétaire'!$E:$E)))</f>
        <v/>
      </c>
    </row>
    <row r="317">
      <c r="A317" s="86"/>
      <c r="B317" s="86"/>
      <c r="C317" s="86"/>
      <c r="D317" s="86"/>
      <c r="E317" s="552">
        <f t="shared" si="379"/>
        <v>0</v>
      </c>
      <c r="F317" s="557" t="str">
        <f t="shared" si="380"/>
        <v/>
      </c>
      <c r="G317" s="553" t="str">
        <f t="shared" si="381"/>
        <v/>
      </c>
      <c r="I317" s="36" t="str">
        <f>IF(A317="","",IF(OR(F317=1,F317=2,F317=3,F317=4,F317=5),1,SUMIF('Suivi budgétaire'!$A:$A,'Import balance'!A317,'Suivi budgétaire'!$A:$A)+SUMIF('Suivi budgétaire'!$B:$B,'Import balance'!A317,'Suivi budgétaire'!$B:$B)+SUMIF('Suivi budgétaire'!$C:$C,'Import balance'!A317,'Suivi budgétaire'!$C:$C)+SUMIF('Suivi budgétaire'!$D:$D,'Import balance'!A317,'Suivi budgétaire'!$D:$D)+SUMIF('Suivi budgétaire'!$E:$E,'Import balance'!A317,'Suivi budgétaire'!$E:$E)))</f>
        <v/>
      </c>
    </row>
    <row r="318">
      <c r="A318" s="86"/>
      <c r="B318" s="86"/>
      <c r="C318" s="86"/>
      <c r="D318" s="86"/>
      <c r="E318" s="552">
        <f t="shared" si="379"/>
        <v>0</v>
      </c>
      <c r="F318" s="557" t="str">
        <f t="shared" si="380"/>
        <v/>
      </c>
      <c r="G318" s="553" t="str">
        <f t="shared" si="381"/>
        <v/>
      </c>
      <c r="I318" s="36" t="str">
        <f>IF(A318="","",IF(OR(F318=1,F318=2,F318=3,F318=4,F318=5),1,SUMIF('Suivi budgétaire'!$A:$A,'Import balance'!A318,'Suivi budgétaire'!$A:$A)+SUMIF('Suivi budgétaire'!$B:$B,'Import balance'!A318,'Suivi budgétaire'!$B:$B)+SUMIF('Suivi budgétaire'!$C:$C,'Import balance'!A318,'Suivi budgétaire'!$C:$C)+SUMIF('Suivi budgétaire'!$D:$D,'Import balance'!A318,'Suivi budgétaire'!$D:$D)+SUMIF('Suivi budgétaire'!$E:$E,'Import balance'!A318,'Suivi budgétaire'!$E:$E)))</f>
        <v/>
      </c>
    </row>
    <row r="319">
      <c r="A319" s="86"/>
      <c r="B319" s="86"/>
      <c r="C319" s="86"/>
      <c r="D319" s="86"/>
      <c r="E319" s="552">
        <f t="shared" si="379"/>
        <v>0</v>
      </c>
      <c r="F319" s="557" t="str">
        <f t="shared" si="380"/>
        <v/>
      </c>
      <c r="G319" s="553" t="str">
        <f t="shared" si="381"/>
        <v/>
      </c>
      <c r="I319" s="36" t="str">
        <f>IF(A319="","",IF(OR(F319=1,F319=2,F319=3,F319=4,F319=5),1,SUMIF('Suivi budgétaire'!$A:$A,'Import balance'!A319,'Suivi budgétaire'!$A:$A)+SUMIF('Suivi budgétaire'!$B:$B,'Import balance'!A319,'Suivi budgétaire'!$B:$B)+SUMIF('Suivi budgétaire'!$C:$C,'Import balance'!A319,'Suivi budgétaire'!$C:$C)+SUMIF('Suivi budgétaire'!$D:$D,'Import balance'!A319,'Suivi budgétaire'!$D:$D)+SUMIF('Suivi budgétaire'!$E:$E,'Import balance'!A319,'Suivi budgétaire'!$E:$E)))</f>
        <v/>
      </c>
    </row>
    <row r="320">
      <c r="A320" s="86"/>
      <c r="B320" s="86"/>
      <c r="C320" s="86"/>
      <c r="D320" s="86"/>
      <c r="E320" s="552">
        <f t="shared" si="379"/>
        <v>0</v>
      </c>
      <c r="F320" s="557" t="str">
        <f t="shared" si="380"/>
        <v/>
      </c>
      <c r="G320" s="553" t="str">
        <f t="shared" si="381"/>
        <v/>
      </c>
      <c r="I320" s="36" t="str">
        <f>IF(A320="","",IF(OR(F320=1,F320=2,F320=3,F320=4,F320=5),1,SUMIF('Suivi budgétaire'!$A:$A,'Import balance'!A320,'Suivi budgétaire'!$A:$A)+SUMIF('Suivi budgétaire'!$B:$B,'Import balance'!A320,'Suivi budgétaire'!$B:$B)+SUMIF('Suivi budgétaire'!$C:$C,'Import balance'!A320,'Suivi budgétaire'!$C:$C)+SUMIF('Suivi budgétaire'!$D:$D,'Import balance'!A320,'Suivi budgétaire'!$D:$D)+SUMIF('Suivi budgétaire'!$E:$E,'Import balance'!A320,'Suivi budgétaire'!$E:$E)))</f>
        <v/>
      </c>
    </row>
    <row r="321">
      <c r="A321" s="86"/>
      <c r="B321" s="86"/>
      <c r="C321" s="86"/>
      <c r="D321" s="86"/>
      <c r="E321" s="552">
        <f t="shared" si="379"/>
        <v>0</v>
      </c>
      <c r="F321" s="557" t="str">
        <f t="shared" si="380"/>
        <v/>
      </c>
      <c r="G321" s="553" t="str">
        <f t="shared" si="381"/>
        <v/>
      </c>
      <c r="I321" s="36" t="str">
        <f>IF(A321="","",IF(OR(F321=1,F321=2,F321=3,F321=4,F321=5),1,SUMIF('Suivi budgétaire'!$A:$A,'Import balance'!A321,'Suivi budgétaire'!$A:$A)+SUMIF('Suivi budgétaire'!$B:$B,'Import balance'!A321,'Suivi budgétaire'!$B:$B)+SUMIF('Suivi budgétaire'!$C:$C,'Import balance'!A321,'Suivi budgétaire'!$C:$C)+SUMIF('Suivi budgétaire'!$D:$D,'Import balance'!A321,'Suivi budgétaire'!$D:$D)+SUMIF('Suivi budgétaire'!$E:$E,'Import balance'!A321,'Suivi budgétaire'!$E:$E)))</f>
        <v/>
      </c>
    </row>
    <row r="322">
      <c r="A322" s="86"/>
      <c r="B322" s="86"/>
      <c r="C322" s="86"/>
      <c r="D322" s="86"/>
      <c r="E322" s="552">
        <f t="shared" si="379"/>
        <v>0</v>
      </c>
      <c r="F322" s="557" t="str">
        <f t="shared" si="380"/>
        <v/>
      </c>
      <c r="G322" s="553" t="str">
        <f t="shared" si="381"/>
        <v/>
      </c>
      <c r="I322" s="36" t="str">
        <f>IF(A322="","",IF(OR(F322=1,F322=2,F322=3,F322=4,F322=5),1,SUMIF('Suivi budgétaire'!$A:$A,'Import balance'!A322,'Suivi budgétaire'!$A:$A)+SUMIF('Suivi budgétaire'!$B:$B,'Import balance'!A322,'Suivi budgétaire'!$B:$B)+SUMIF('Suivi budgétaire'!$C:$C,'Import balance'!A322,'Suivi budgétaire'!$C:$C)+SUMIF('Suivi budgétaire'!$D:$D,'Import balance'!A322,'Suivi budgétaire'!$D:$D)+SUMIF('Suivi budgétaire'!$E:$E,'Import balance'!A322,'Suivi budgétaire'!$E:$E)))</f>
        <v/>
      </c>
    </row>
    <row r="323">
      <c r="A323" s="86"/>
      <c r="B323" s="86"/>
      <c r="C323" s="86"/>
      <c r="D323" s="86"/>
      <c r="E323" s="552">
        <f t="shared" si="379"/>
        <v>0</v>
      </c>
      <c r="F323" s="557" t="str">
        <f t="shared" si="380"/>
        <v/>
      </c>
      <c r="G323" s="553" t="str">
        <f t="shared" si="381"/>
        <v/>
      </c>
      <c r="I323" s="36" t="str">
        <f>IF(A323="","",IF(OR(F323=1,F323=2,F323=3,F323=4,F323=5),1,SUMIF('Suivi budgétaire'!$A:$A,'Import balance'!A323,'Suivi budgétaire'!$A:$A)+SUMIF('Suivi budgétaire'!$B:$B,'Import balance'!A323,'Suivi budgétaire'!$B:$B)+SUMIF('Suivi budgétaire'!$C:$C,'Import balance'!A323,'Suivi budgétaire'!$C:$C)+SUMIF('Suivi budgétaire'!$D:$D,'Import balance'!A323,'Suivi budgétaire'!$D:$D)+SUMIF('Suivi budgétaire'!$E:$E,'Import balance'!A323,'Suivi budgétaire'!$E:$E)))</f>
        <v/>
      </c>
    </row>
    <row r="324">
      <c r="A324" s="86"/>
      <c r="B324" s="86"/>
      <c r="C324" s="86"/>
      <c r="D324" s="86"/>
      <c r="E324" s="552">
        <f t="shared" si="379"/>
        <v>0</v>
      </c>
      <c r="F324" s="557" t="str">
        <f t="shared" si="380"/>
        <v/>
      </c>
      <c r="G324" s="553" t="str">
        <f t="shared" si="381"/>
        <v/>
      </c>
      <c r="I324" s="36" t="str">
        <f>IF(A324="","",IF(OR(F324=1,F324=2,F324=3,F324=4,F324=5),1,SUMIF('Suivi budgétaire'!$A:$A,'Import balance'!A324,'Suivi budgétaire'!$A:$A)+SUMIF('Suivi budgétaire'!$B:$B,'Import balance'!A324,'Suivi budgétaire'!$B:$B)+SUMIF('Suivi budgétaire'!$C:$C,'Import balance'!A324,'Suivi budgétaire'!$C:$C)+SUMIF('Suivi budgétaire'!$D:$D,'Import balance'!A324,'Suivi budgétaire'!$D:$D)+SUMIF('Suivi budgétaire'!$E:$E,'Import balance'!A324,'Suivi budgétaire'!$E:$E)))</f>
        <v/>
      </c>
    </row>
    <row r="325">
      <c r="A325" s="86"/>
      <c r="B325" s="86"/>
      <c r="C325" s="86"/>
      <c r="D325" s="86"/>
      <c r="E325" s="552">
        <f t="shared" ref="E325:E388" si="382">C325-D325</f>
        <v>0</v>
      </c>
      <c r="F325" s="557" t="str">
        <f t="shared" si="380"/>
        <v/>
      </c>
      <c r="G325" s="553" t="str">
        <f t="shared" si="381"/>
        <v/>
      </c>
      <c r="I325" s="36" t="str">
        <f>IF(A325="","",IF(OR(F325=1,F325=2,F325=3,F325=4,F325=5),1,SUMIF('Suivi budgétaire'!$A:$A,'Import balance'!A325,'Suivi budgétaire'!$A:$A)+SUMIF('Suivi budgétaire'!$B:$B,'Import balance'!A325,'Suivi budgétaire'!$B:$B)+SUMIF('Suivi budgétaire'!$C:$C,'Import balance'!A325,'Suivi budgétaire'!$C:$C)+SUMIF('Suivi budgétaire'!$D:$D,'Import balance'!A325,'Suivi budgétaire'!$D:$D)+SUMIF('Suivi budgétaire'!$E:$E,'Import balance'!A325,'Suivi budgétaire'!$E:$E)))</f>
        <v/>
      </c>
    </row>
    <row r="326">
      <c r="A326" s="86"/>
      <c r="B326" s="86"/>
      <c r="C326" s="86"/>
      <c r="D326" s="86"/>
      <c r="E326" s="552">
        <f t="shared" si="382"/>
        <v>0</v>
      </c>
      <c r="F326" s="557" t="str">
        <f t="shared" si="380"/>
        <v/>
      </c>
      <c r="G326" s="553" t="str">
        <f t="shared" si="381"/>
        <v/>
      </c>
      <c r="I326" s="36" t="str">
        <f>IF(A326="","",IF(OR(F326=1,F326=2,F326=3,F326=4,F326=5),1,SUMIF('Suivi budgétaire'!$A:$A,'Import balance'!A326,'Suivi budgétaire'!$A:$A)+SUMIF('Suivi budgétaire'!$B:$B,'Import balance'!A326,'Suivi budgétaire'!$B:$B)+SUMIF('Suivi budgétaire'!$C:$C,'Import balance'!A326,'Suivi budgétaire'!$C:$C)+SUMIF('Suivi budgétaire'!$D:$D,'Import balance'!A326,'Suivi budgétaire'!$D:$D)+SUMIF('Suivi budgétaire'!$E:$E,'Import balance'!A326,'Suivi budgétaire'!$E:$E)))</f>
        <v/>
      </c>
    </row>
    <row r="327">
      <c r="A327" s="86"/>
      <c r="B327" s="86"/>
      <c r="C327" s="86"/>
      <c r="D327" s="86"/>
      <c r="E327" s="552">
        <f t="shared" si="382"/>
        <v>0</v>
      </c>
      <c r="F327" s="557" t="str">
        <f t="shared" si="380"/>
        <v/>
      </c>
      <c r="G327" s="553" t="str">
        <f t="shared" si="381"/>
        <v/>
      </c>
      <c r="I327" s="36" t="str">
        <f>IF(A327="","",IF(OR(F327=1,F327=2,F327=3,F327=4,F327=5),1,SUMIF('Suivi budgétaire'!$A:$A,'Import balance'!A327,'Suivi budgétaire'!$A:$A)+SUMIF('Suivi budgétaire'!$B:$B,'Import balance'!A327,'Suivi budgétaire'!$B:$B)+SUMIF('Suivi budgétaire'!$C:$C,'Import balance'!A327,'Suivi budgétaire'!$C:$C)+SUMIF('Suivi budgétaire'!$D:$D,'Import balance'!A327,'Suivi budgétaire'!$D:$D)+SUMIF('Suivi budgétaire'!$E:$E,'Import balance'!A327,'Suivi budgétaire'!$E:$E)))</f>
        <v/>
      </c>
    </row>
    <row r="328">
      <c r="A328" s="86"/>
      <c r="B328" s="86"/>
      <c r="C328" s="86"/>
      <c r="D328" s="86"/>
      <c r="E328" s="552">
        <f t="shared" si="382"/>
        <v>0</v>
      </c>
      <c r="F328" s="557" t="str">
        <f t="shared" si="380"/>
        <v/>
      </c>
      <c r="G328" s="553" t="str">
        <f t="shared" si="381"/>
        <v/>
      </c>
      <c r="I328" s="36" t="str">
        <f>IF(A328="","",IF(OR(F328=1,F328=2,F328=3,F328=4,F328=5),1,SUMIF('Suivi budgétaire'!$A:$A,'Import balance'!A328,'Suivi budgétaire'!$A:$A)+SUMIF('Suivi budgétaire'!$B:$B,'Import balance'!A328,'Suivi budgétaire'!$B:$B)+SUMIF('Suivi budgétaire'!$C:$C,'Import balance'!A328,'Suivi budgétaire'!$C:$C)+SUMIF('Suivi budgétaire'!$D:$D,'Import balance'!A328,'Suivi budgétaire'!$D:$D)+SUMIF('Suivi budgétaire'!$E:$E,'Import balance'!A328,'Suivi budgétaire'!$E:$E)))</f>
        <v/>
      </c>
    </row>
    <row r="329">
      <c r="A329" s="86"/>
      <c r="B329" s="86"/>
      <c r="C329" s="86"/>
      <c r="D329" s="86"/>
      <c r="E329" s="552">
        <f t="shared" si="382"/>
        <v>0</v>
      </c>
      <c r="F329" s="557" t="str">
        <f t="shared" si="380"/>
        <v/>
      </c>
      <c r="G329" s="553" t="str">
        <f t="shared" si="381"/>
        <v/>
      </c>
      <c r="I329" s="36" t="str">
        <f>IF(A329="","",IF(OR(F329=1,F329=2,F329=3,F329=4,F329=5),1,SUMIF('Suivi budgétaire'!$A:$A,'Import balance'!A329,'Suivi budgétaire'!$A:$A)+SUMIF('Suivi budgétaire'!$B:$B,'Import balance'!A329,'Suivi budgétaire'!$B:$B)+SUMIF('Suivi budgétaire'!$C:$C,'Import balance'!A329,'Suivi budgétaire'!$C:$C)+SUMIF('Suivi budgétaire'!$D:$D,'Import balance'!A329,'Suivi budgétaire'!$D:$D)+SUMIF('Suivi budgétaire'!$E:$E,'Import balance'!A329,'Suivi budgétaire'!$E:$E)))</f>
        <v/>
      </c>
    </row>
    <row r="330">
      <c r="A330" s="86"/>
      <c r="B330" s="86"/>
      <c r="C330" s="86"/>
      <c r="D330" s="86"/>
      <c r="E330" s="552">
        <f t="shared" si="382"/>
        <v>0</v>
      </c>
      <c r="F330" s="557" t="str">
        <f t="shared" si="380"/>
        <v/>
      </c>
      <c r="G330" s="553" t="str">
        <f t="shared" si="381"/>
        <v/>
      </c>
      <c r="I330" s="36" t="str">
        <f>IF(A330="","",IF(OR(F330=1,F330=2,F330=3,F330=4,F330=5),1,SUMIF('Suivi budgétaire'!$A:$A,'Import balance'!A330,'Suivi budgétaire'!$A:$A)+SUMIF('Suivi budgétaire'!$B:$B,'Import balance'!A330,'Suivi budgétaire'!$B:$B)+SUMIF('Suivi budgétaire'!$C:$C,'Import balance'!A330,'Suivi budgétaire'!$C:$C)+SUMIF('Suivi budgétaire'!$D:$D,'Import balance'!A330,'Suivi budgétaire'!$D:$D)+SUMIF('Suivi budgétaire'!$E:$E,'Import balance'!A330,'Suivi budgétaire'!$E:$E)))</f>
        <v/>
      </c>
    </row>
    <row r="331">
      <c r="A331" s="86"/>
      <c r="B331" s="86"/>
      <c r="C331" s="86"/>
      <c r="D331" s="86"/>
      <c r="E331" s="552">
        <f t="shared" si="382"/>
        <v>0</v>
      </c>
      <c r="F331" s="557" t="str">
        <f t="shared" si="380"/>
        <v/>
      </c>
      <c r="G331" s="553" t="str">
        <f t="shared" si="381"/>
        <v/>
      </c>
      <c r="I331" s="36" t="str">
        <f>IF(A331="","",IF(OR(F331=1,F331=2,F331=3,F331=4,F331=5),1,SUMIF('Suivi budgétaire'!$A:$A,'Import balance'!A331,'Suivi budgétaire'!$A:$A)+SUMIF('Suivi budgétaire'!$B:$B,'Import balance'!A331,'Suivi budgétaire'!$B:$B)+SUMIF('Suivi budgétaire'!$C:$C,'Import balance'!A331,'Suivi budgétaire'!$C:$C)+SUMIF('Suivi budgétaire'!$D:$D,'Import balance'!A331,'Suivi budgétaire'!$D:$D)+SUMIF('Suivi budgétaire'!$E:$E,'Import balance'!A331,'Suivi budgétaire'!$E:$E)))</f>
        <v/>
      </c>
    </row>
    <row r="332">
      <c r="A332" s="86"/>
      <c r="B332" s="86"/>
      <c r="C332" s="86"/>
      <c r="D332" s="86"/>
      <c r="E332" s="552">
        <f t="shared" si="382"/>
        <v>0</v>
      </c>
      <c r="F332" s="557" t="str">
        <f t="shared" si="380"/>
        <v/>
      </c>
      <c r="G332" s="553" t="str">
        <f t="shared" si="381"/>
        <v/>
      </c>
      <c r="I332" s="36" t="str">
        <f>IF(A332="","",IF(OR(F332=1,F332=2,F332=3,F332=4,F332=5),1,SUMIF('Suivi budgétaire'!$A:$A,'Import balance'!A332,'Suivi budgétaire'!$A:$A)+SUMIF('Suivi budgétaire'!$B:$B,'Import balance'!A332,'Suivi budgétaire'!$B:$B)+SUMIF('Suivi budgétaire'!$C:$C,'Import balance'!A332,'Suivi budgétaire'!$C:$C)+SUMIF('Suivi budgétaire'!$D:$D,'Import balance'!A332,'Suivi budgétaire'!$D:$D)+SUMIF('Suivi budgétaire'!$E:$E,'Import balance'!A332,'Suivi budgétaire'!$E:$E)))</f>
        <v/>
      </c>
    </row>
    <row r="333">
      <c r="A333" s="86"/>
      <c r="B333" s="86"/>
      <c r="C333" s="86"/>
      <c r="D333" s="86"/>
      <c r="E333" s="552">
        <f t="shared" si="382"/>
        <v>0</v>
      </c>
      <c r="F333" s="557" t="str">
        <f t="shared" si="380"/>
        <v/>
      </c>
      <c r="G333" s="553" t="str">
        <f t="shared" si="381"/>
        <v/>
      </c>
      <c r="I333" s="36" t="str">
        <f>IF(A333="","",IF(OR(F333=1,F333=2,F333=3,F333=4,F333=5),1,SUMIF('Suivi budgétaire'!$A:$A,'Import balance'!A333,'Suivi budgétaire'!$A:$A)+SUMIF('Suivi budgétaire'!$B:$B,'Import balance'!A333,'Suivi budgétaire'!$B:$B)+SUMIF('Suivi budgétaire'!$C:$C,'Import balance'!A333,'Suivi budgétaire'!$C:$C)+SUMIF('Suivi budgétaire'!$D:$D,'Import balance'!A333,'Suivi budgétaire'!$D:$D)+SUMIF('Suivi budgétaire'!$E:$E,'Import balance'!A333,'Suivi budgétaire'!$E:$E)))</f>
        <v/>
      </c>
    </row>
    <row r="334">
      <c r="A334" s="86"/>
      <c r="B334" s="86"/>
      <c r="C334" s="86"/>
      <c r="D334" s="86"/>
      <c r="E334" s="552">
        <f t="shared" si="382"/>
        <v>0</v>
      </c>
      <c r="F334" s="557" t="str">
        <f t="shared" si="380"/>
        <v/>
      </c>
      <c r="G334" s="553" t="str">
        <f t="shared" si="381"/>
        <v/>
      </c>
      <c r="I334" s="36" t="str">
        <f>IF(A334="","",IF(OR(F334=1,F334=2,F334=3,F334=4,F334=5),1,SUMIF('Suivi budgétaire'!$A:$A,'Import balance'!A334,'Suivi budgétaire'!$A:$A)+SUMIF('Suivi budgétaire'!$B:$B,'Import balance'!A334,'Suivi budgétaire'!$B:$B)+SUMIF('Suivi budgétaire'!$C:$C,'Import balance'!A334,'Suivi budgétaire'!$C:$C)+SUMIF('Suivi budgétaire'!$D:$D,'Import balance'!A334,'Suivi budgétaire'!$D:$D)+SUMIF('Suivi budgétaire'!$E:$E,'Import balance'!A334,'Suivi budgétaire'!$E:$E)))</f>
        <v/>
      </c>
    </row>
    <row r="335">
      <c r="A335" s="86"/>
      <c r="B335" s="86"/>
      <c r="C335" s="86"/>
      <c r="D335" s="86"/>
      <c r="E335" s="552">
        <f t="shared" si="382"/>
        <v>0</v>
      </c>
      <c r="F335" s="557" t="str">
        <f t="shared" si="380"/>
        <v/>
      </c>
      <c r="G335" s="553" t="str">
        <f t="shared" si="381"/>
        <v/>
      </c>
      <c r="I335" s="36" t="str">
        <f>IF(A335="","",IF(OR(F335=1,F335=2,F335=3,F335=4,F335=5),1,SUMIF('Suivi budgétaire'!$A:$A,'Import balance'!A335,'Suivi budgétaire'!$A:$A)+SUMIF('Suivi budgétaire'!$B:$B,'Import balance'!A335,'Suivi budgétaire'!$B:$B)+SUMIF('Suivi budgétaire'!$C:$C,'Import balance'!A335,'Suivi budgétaire'!$C:$C)+SUMIF('Suivi budgétaire'!$D:$D,'Import balance'!A335,'Suivi budgétaire'!$D:$D)+SUMIF('Suivi budgétaire'!$E:$E,'Import balance'!A335,'Suivi budgétaire'!$E:$E)))</f>
        <v/>
      </c>
    </row>
    <row r="336">
      <c r="A336" s="86"/>
      <c r="B336" s="86"/>
      <c r="C336" s="86"/>
      <c r="D336" s="86"/>
      <c r="E336" s="552">
        <f t="shared" si="382"/>
        <v>0</v>
      </c>
      <c r="F336" s="557" t="str">
        <f t="shared" si="380"/>
        <v/>
      </c>
      <c r="G336" s="553" t="str">
        <f t="shared" si="381"/>
        <v/>
      </c>
      <c r="I336" s="36" t="str">
        <f>IF(A336="","",IF(OR(F336=1,F336=2,F336=3,F336=4,F336=5),1,SUMIF('Suivi budgétaire'!$A:$A,'Import balance'!A336,'Suivi budgétaire'!$A:$A)+SUMIF('Suivi budgétaire'!$B:$B,'Import balance'!A336,'Suivi budgétaire'!$B:$B)+SUMIF('Suivi budgétaire'!$C:$C,'Import balance'!A336,'Suivi budgétaire'!$C:$C)+SUMIF('Suivi budgétaire'!$D:$D,'Import balance'!A336,'Suivi budgétaire'!$D:$D)+SUMIF('Suivi budgétaire'!$E:$E,'Import balance'!A336,'Suivi budgétaire'!$E:$E)))</f>
        <v/>
      </c>
    </row>
    <row r="337">
      <c r="A337" s="86"/>
      <c r="B337" s="86"/>
      <c r="C337" s="86"/>
      <c r="D337" s="86"/>
      <c r="E337" s="552">
        <f t="shared" si="382"/>
        <v>0</v>
      </c>
      <c r="F337" s="557" t="str">
        <f t="shared" si="380"/>
        <v/>
      </c>
      <c r="G337" s="553" t="str">
        <f t="shared" si="381"/>
        <v/>
      </c>
      <c r="I337" s="36" t="str">
        <f>IF(A337="","",IF(OR(F337=1,F337=2,F337=3,F337=4,F337=5),1,SUMIF('Suivi budgétaire'!$A:$A,'Import balance'!A337,'Suivi budgétaire'!$A:$A)+SUMIF('Suivi budgétaire'!$B:$B,'Import balance'!A337,'Suivi budgétaire'!$B:$B)+SUMIF('Suivi budgétaire'!$C:$C,'Import balance'!A337,'Suivi budgétaire'!$C:$C)+SUMIF('Suivi budgétaire'!$D:$D,'Import balance'!A337,'Suivi budgétaire'!$D:$D)+SUMIF('Suivi budgétaire'!$E:$E,'Import balance'!A337,'Suivi budgétaire'!$E:$E)))</f>
        <v/>
      </c>
    </row>
    <row r="338">
      <c r="A338" s="86"/>
      <c r="B338" s="86"/>
      <c r="C338" s="86"/>
      <c r="D338" s="86"/>
      <c r="E338" s="552">
        <f t="shared" si="382"/>
        <v>0</v>
      </c>
      <c r="F338" s="557" t="str">
        <f t="shared" si="380"/>
        <v/>
      </c>
      <c r="G338" s="553" t="str">
        <f t="shared" si="381"/>
        <v/>
      </c>
      <c r="I338" s="36" t="str">
        <f>IF(A338="","",IF(OR(F338=1,F338=2,F338=3,F338=4,F338=5),1,SUMIF('Suivi budgétaire'!$A:$A,'Import balance'!A338,'Suivi budgétaire'!$A:$A)+SUMIF('Suivi budgétaire'!$B:$B,'Import balance'!A338,'Suivi budgétaire'!$B:$B)+SUMIF('Suivi budgétaire'!$C:$C,'Import balance'!A338,'Suivi budgétaire'!$C:$C)+SUMIF('Suivi budgétaire'!$D:$D,'Import balance'!A338,'Suivi budgétaire'!$D:$D)+SUMIF('Suivi budgétaire'!$E:$E,'Import balance'!A338,'Suivi budgétaire'!$E:$E)))</f>
        <v/>
      </c>
    </row>
    <row r="339">
      <c r="A339" s="86"/>
      <c r="B339" s="86"/>
      <c r="C339" s="86"/>
      <c r="D339" s="86"/>
      <c r="E339" s="552">
        <f t="shared" si="382"/>
        <v>0</v>
      </c>
      <c r="F339" s="557" t="str">
        <f t="shared" si="380"/>
        <v/>
      </c>
      <c r="G339" s="553" t="str">
        <f t="shared" si="381"/>
        <v/>
      </c>
      <c r="I339" s="36" t="str">
        <f>IF(A339="","",IF(OR(F339=1,F339=2,F339=3,F339=4,F339=5),1,SUMIF('Suivi budgétaire'!$A:$A,'Import balance'!A339,'Suivi budgétaire'!$A:$A)+SUMIF('Suivi budgétaire'!$B:$B,'Import balance'!A339,'Suivi budgétaire'!$B:$B)+SUMIF('Suivi budgétaire'!$C:$C,'Import balance'!A339,'Suivi budgétaire'!$C:$C)+SUMIF('Suivi budgétaire'!$D:$D,'Import balance'!A339,'Suivi budgétaire'!$D:$D)+SUMIF('Suivi budgétaire'!$E:$E,'Import balance'!A339,'Suivi budgétaire'!$E:$E)))</f>
        <v/>
      </c>
    </row>
    <row r="340">
      <c r="A340" s="86"/>
      <c r="B340" s="86"/>
      <c r="C340" s="86"/>
      <c r="D340" s="86"/>
      <c r="E340" s="552">
        <f t="shared" si="382"/>
        <v>0</v>
      </c>
      <c r="F340" s="557" t="str">
        <f t="shared" si="380"/>
        <v/>
      </c>
      <c r="G340" s="553" t="str">
        <f t="shared" si="381"/>
        <v/>
      </c>
      <c r="I340" s="36" t="str">
        <f>IF(A340="","",IF(OR(F340=1,F340=2,F340=3,F340=4,F340=5),1,SUMIF('Suivi budgétaire'!$A:$A,'Import balance'!A340,'Suivi budgétaire'!$A:$A)+SUMIF('Suivi budgétaire'!$B:$B,'Import balance'!A340,'Suivi budgétaire'!$B:$B)+SUMIF('Suivi budgétaire'!$C:$C,'Import balance'!A340,'Suivi budgétaire'!$C:$C)+SUMIF('Suivi budgétaire'!$D:$D,'Import balance'!A340,'Suivi budgétaire'!$D:$D)+SUMIF('Suivi budgétaire'!$E:$E,'Import balance'!A340,'Suivi budgétaire'!$E:$E)))</f>
        <v/>
      </c>
    </row>
    <row r="341">
      <c r="A341" s="86"/>
      <c r="B341" s="86"/>
      <c r="C341" s="86"/>
      <c r="D341" s="86"/>
      <c r="E341" s="552">
        <f t="shared" si="382"/>
        <v>0</v>
      </c>
      <c r="F341" s="557" t="str">
        <f t="shared" si="380"/>
        <v/>
      </c>
      <c r="G341" s="553" t="str">
        <f t="shared" si="381"/>
        <v/>
      </c>
      <c r="I341" s="36" t="str">
        <f>IF(A341="","",IF(OR(F341=1,F341=2,F341=3,F341=4,F341=5),1,SUMIF('Suivi budgétaire'!$A:$A,'Import balance'!A341,'Suivi budgétaire'!$A:$A)+SUMIF('Suivi budgétaire'!$B:$B,'Import balance'!A341,'Suivi budgétaire'!$B:$B)+SUMIF('Suivi budgétaire'!$C:$C,'Import balance'!A341,'Suivi budgétaire'!$C:$C)+SUMIF('Suivi budgétaire'!$D:$D,'Import balance'!A341,'Suivi budgétaire'!$D:$D)+SUMIF('Suivi budgétaire'!$E:$E,'Import balance'!A341,'Suivi budgétaire'!$E:$E)))</f>
        <v/>
      </c>
    </row>
    <row r="342">
      <c r="A342" s="86"/>
      <c r="B342" s="86"/>
      <c r="C342" s="86"/>
      <c r="D342" s="86"/>
      <c r="E342" s="552">
        <f t="shared" si="382"/>
        <v>0</v>
      </c>
      <c r="F342" s="557" t="str">
        <f t="shared" si="380"/>
        <v/>
      </c>
      <c r="G342" s="553" t="str">
        <f t="shared" si="381"/>
        <v/>
      </c>
      <c r="I342" s="36" t="str">
        <f>IF(A342="","",IF(OR(F342=1,F342=2,F342=3,F342=4,F342=5),1,SUMIF('Suivi budgétaire'!$A:$A,'Import balance'!A342,'Suivi budgétaire'!$A:$A)+SUMIF('Suivi budgétaire'!$B:$B,'Import balance'!A342,'Suivi budgétaire'!$B:$B)+SUMIF('Suivi budgétaire'!$C:$C,'Import balance'!A342,'Suivi budgétaire'!$C:$C)+SUMIF('Suivi budgétaire'!$D:$D,'Import balance'!A342,'Suivi budgétaire'!$D:$D)+SUMIF('Suivi budgétaire'!$E:$E,'Import balance'!A342,'Suivi budgétaire'!$E:$E)))</f>
        <v/>
      </c>
    </row>
    <row r="343">
      <c r="A343" s="86"/>
      <c r="B343" s="86"/>
      <c r="C343" s="86"/>
      <c r="D343" s="86"/>
      <c r="E343" s="552">
        <f t="shared" si="382"/>
        <v>0</v>
      </c>
      <c r="F343" s="557" t="str">
        <f t="shared" si="380"/>
        <v/>
      </c>
      <c r="G343" s="553" t="str">
        <f t="shared" si="381"/>
        <v/>
      </c>
      <c r="I343" s="36" t="str">
        <f>IF(A343="","",IF(OR(F343=1,F343=2,F343=3,F343=4,F343=5),1,SUMIF('Suivi budgétaire'!$A:$A,'Import balance'!A343,'Suivi budgétaire'!$A:$A)+SUMIF('Suivi budgétaire'!$B:$B,'Import balance'!A343,'Suivi budgétaire'!$B:$B)+SUMIF('Suivi budgétaire'!$C:$C,'Import balance'!A343,'Suivi budgétaire'!$C:$C)+SUMIF('Suivi budgétaire'!$D:$D,'Import balance'!A343,'Suivi budgétaire'!$D:$D)+SUMIF('Suivi budgétaire'!$E:$E,'Import balance'!A343,'Suivi budgétaire'!$E:$E)))</f>
        <v/>
      </c>
    </row>
    <row r="344">
      <c r="A344" s="86"/>
      <c r="B344" s="86"/>
      <c r="C344" s="86"/>
      <c r="D344" s="86"/>
      <c r="E344" s="552">
        <f t="shared" si="382"/>
        <v>0</v>
      </c>
      <c r="F344" s="557" t="str">
        <f t="shared" si="380"/>
        <v/>
      </c>
      <c r="G344" s="553" t="str">
        <f t="shared" si="381"/>
        <v/>
      </c>
      <c r="I344" s="36" t="str">
        <f>IF(A344="","",IF(OR(F344=1,F344=2,F344=3,F344=4,F344=5),1,SUMIF('Suivi budgétaire'!$A:$A,'Import balance'!A344,'Suivi budgétaire'!$A:$A)+SUMIF('Suivi budgétaire'!$B:$B,'Import balance'!A344,'Suivi budgétaire'!$B:$B)+SUMIF('Suivi budgétaire'!$C:$C,'Import balance'!A344,'Suivi budgétaire'!$C:$C)+SUMIF('Suivi budgétaire'!$D:$D,'Import balance'!A344,'Suivi budgétaire'!$D:$D)+SUMIF('Suivi budgétaire'!$E:$E,'Import balance'!A344,'Suivi budgétaire'!$E:$E)))</f>
        <v/>
      </c>
    </row>
    <row r="345">
      <c r="A345" s="86"/>
      <c r="B345" s="86"/>
      <c r="C345" s="86"/>
      <c r="D345" s="86"/>
      <c r="E345" s="552">
        <f t="shared" si="382"/>
        <v>0</v>
      </c>
      <c r="F345" s="557" t="str">
        <f t="shared" si="380"/>
        <v/>
      </c>
      <c r="G345" s="553" t="str">
        <f t="shared" si="381"/>
        <v/>
      </c>
      <c r="I345" s="36" t="str">
        <f>IF(A345="","",IF(OR(F345=1,F345=2,F345=3,F345=4,F345=5),1,SUMIF('Suivi budgétaire'!$A:$A,'Import balance'!A345,'Suivi budgétaire'!$A:$A)+SUMIF('Suivi budgétaire'!$B:$B,'Import balance'!A345,'Suivi budgétaire'!$B:$B)+SUMIF('Suivi budgétaire'!$C:$C,'Import balance'!A345,'Suivi budgétaire'!$C:$C)+SUMIF('Suivi budgétaire'!$D:$D,'Import balance'!A345,'Suivi budgétaire'!$D:$D)+SUMIF('Suivi budgétaire'!$E:$E,'Import balance'!A345,'Suivi budgétaire'!$E:$E)))</f>
        <v/>
      </c>
    </row>
    <row r="346">
      <c r="A346" s="86"/>
      <c r="B346" s="86"/>
      <c r="C346" s="86"/>
      <c r="D346" s="86"/>
      <c r="E346" s="552">
        <f t="shared" si="382"/>
        <v>0</v>
      </c>
      <c r="F346" s="557" t="str">
        <f t="shared" si="380"/>
        <v/>
      </c>
      <c r="G346" s="553" t="str">
        <f t="shared" si="381"/>
        <v/>
      </c>
      <c r="I346" s="36" t="str">
        <f>IF(A346="","",IF(OR(F346=1,F346=2,F346=3,F346=4,F346=5),1,SUMIF('Suivi budgétaire'!$A:$A,'Import balance'!A346,'Suivi budgétaire'!$A:$A)+SUMIF('Suivi budgétaire'!$B:$B,'Import balance'!A346,'Suivi budgétaire'!$B:$B)+SUMIF('Suivi budgétaire'!$C:$C,'Import balance'!A346,'Suivi budgétaire'!$C:$C)+SUMIF('Suivi budgétaire'!$D:$D,'Import balance'!A346,'Suivi budgétaire'!$D:$D)+SUMIF('Suivi budgétaire'!$E:$E,'Import balance'!A346,'Suivi budgétaire'!$E:$E)))</f>
        <v/>
      </c>
    </row>
    <row r="347">
      <c r="A347" s="86"/>
      <c r="B347" s="86"/>
      <c r="C347" s="86"/>
      <c r="D347" s="86"/>
      <c r="E347" s="552">
        <f t="shared" si="382"/>
        <v>0</v>
      </c>
      <c r="F347" s="557" t="str">
        <f t="shared" si="380"/>
        <v/>
      </c>
      <c r="G347" s="553" t="str">
        <f t="shared" si="381"/>
        <v/>
      </c>
      <c r="I347" s="36" t="str">
        <f>IF(A347="","",IF(OR(F347=1,F347=2,F347=3,F347=4,F347=5),1,SUMIF('Suivi budgétaire'!$A:$A,'Import balance'!A347,'Suivi budgétaire'!$A:$A)+SUMIF('Suivi budgétaire'!$B:$B,'Import balance'!A347,'Suivi budgétaire'!$B:$B)+SUMIF('Suivi budgétaire'!$C:$C,'Import balance'!A347,'Suivi budgétaire'!$C:$C)+SUMIF('Suivi budgétaire'!$D:$D,'Import balance'!A347,'Suivi budgétaire'!$D:$D)+SUMIF('Suivi budgétaire'!$E:$E,'Import balance'!A347,'Suivi budgétaire'!$E:$E)))</f>
        <v/>
      </c>
    </row>
    <row r="348">
      <c r="A348" s="86"/>
      <c r="B348" s="86"/>
      <c r="C348" s="86"/>
      <c r="D348" s="86"/>
      <c r="E348" s="552">
        <f t="shared" si="382"/>
        <v>0</v>
      </c>
      <c r="F348" s="557" t="str">
        <f t="shared" si="380"/>
        <v/>
      </c>
      <c r="G348" s="553" t="str">
        <f t="shared" si="381"/>
        <v/>
      </c>
      <c r="I348" s="36" t="str">
        <f>IF(A348="","",IF(OR(F348=1,F348=2,F348=3,F348=4,F348=5),1,SUMIF('Suivi budgétaire'!$A:$A,'Import balance'!A348,'Suivi budgétaire'!$A:$A)+SUMIF('Suivi budgétaire'!$B:$B,'Import balance'!A348,'Suivi budgétaire'!$B:$B)+SUMIF('Suivi budgétaire'!$C:$C,'Import balance'!A348,'Suivi budgétaire'!$C:$C)+SUMIF('Suivi budgétaire'!$D:$D,'Import balance'!A348,'Suivi budgétaire'!$D:$D)+SUMIF('Suivi budgétaire'!$E:$E,'Import balance'!A348,'Suivi budgétaire'!$E:$E)))</f>
        <v/>
      </c>
    </row>
    <row r="349">
      <c r="A349" s="86"/>
      <c r="B349" s="86"/>
      <c r="C349" s="86"/>
      <c r="D349" s="86"/>
      <c r="E349" s="552">
        <f t="shared" si="382"/>
        <v>0</v>
      </c>
      <c r="F349" s="557" t="str">
        <f t="shared" si="380"/>
        <v/>
      </c>
      <c r="G349" s="553" t="str">
        <f t="shared" si="381"/>
        <v/>
      </c>
      <c r="I349" s="36" t="str">
        <f>IF(A349="","",IF(OR(F349=1,F349=2,F349=3,F349=4,F349=5),1,SUMIF('Suivi budgétaire'!$A:$A,'Import balance'!A349,'Suivi budgétaire'!$A:$A)+SUMIF('Suivi budgétaire'!$B:$B,'Import balance'!A349,'Suivi budgétaire'!$B:$B)+SUMIF('Suivi budgétaire'!$C:$C,'Import balance'!A349,'Suivi budgétaire'!$C:$C)+SUMIF('Suivi budgétaire'!$D:$D,'Import balance'!A349,'Suivi budgétaire'!$D:$D)+SUMIF('Suivi budgétaire'!$E:$E,'Import balance'!A349,'Suivi budgétaire'!$E:$E)))</f>
        <v/>
      </c>
    </row>
    <row r="350">
      <c r="A350" s="86"/>
      <c r="B350" s="86"/>
      <c r="C350" s="86"/>
      <c r="D350" s="86"/>
      <c r="E350" s="552">
        <f t="shared" si="382"/>
        <v>0</v>
      </c>
      <c r="F350" s="557" t="str">
        <f t="shared" si="380"/>
        <v/>
      </c>
      <c r="G350" s="553" t="str">
        <f t="shared" si="381"/>
        <v/>
      </c>
      <c r="I350" s="36" t="str">
        <f>IF(A350="","",IF(OR(F350=1,F350=2,F350=3,F350=4,F350=5),1,SUMIF('Suivi budgétaire'!$A:$A,'Import balance'!A350,'Suivi budgétaire'!$A:$A)+SUMIF('Suivi budgétaire'!$B:$B,'Import balance'!A350,'Suivi budgétaire'!$B:$B)+SUMIF('Suivi budgétaire'!$C:$C,'Import balance'!A350,'Suivi budgétaire'!$C:$C)+SUMIF('Suivi budgétaire'!$D:$D,'Import balance'!A350,'Suivi budgétaire'!$D:$D)+SUMIF('Suivi budgétaire'!$E:$E,'Import balance'!A350,'Suivi budgétaire'!$E:$E)))</f>
        <v/>
      </c>
    </row>
    <row r="351">
      <c r="A351" s="86"/>
      <c r="B351" s="86"/>
      <c r="C351" s="86"/>
      <c r="D351" s="86"/>
      <c r="E351" s="552">
        <f t="shared" si="382"/>
        <v>0</v>
      </c>
      <c r="F351" s="557" t="str">
        <f t="shared" si="380"/>
        <v/>
      </c>
      <c r="G351" s="553" t="str">
        <f t="shared" si="381"/>
        <v/>
      </c>
      <c r="I351" s="36" t="str">
        <f>IF(A351="","",IF(OR(F351=1,F351=2,F351=3,F351=4,F351=5),1,SUMIF('Suivi budgétaire'!$A:$A,'Import balance'!A351,'Suivi budgétaire'!$A:$A)+SUMIF('Suivi budgétaire'!$B:$B,'Import balance'!A351,'Suivi budgétaire'!$B:$B)+SUMIF('Suivi budgétaire'!$C:$C,'Import balance'!A351,'Suivi budgétaire'!$C:$C)+SUMIF('Suivi budgétaire'!$D:$D,'Import balance'!A351,'Suivi budgétaire'!$D:$D)+SUMIF('Suivi budgétaire'!$E:$E,'Import balance'!A351,'Suivi budgétaire'!$E:$E)))</f>
        <v/>
      </c>
    </row>
    <row r="352">
      <c r="A352" s="86"/>
      <c r="B352" s="86"/>
      <c r="C352" s="86"/>
      <c r="D352" s="86"/>
      <c r="E352" s="552">
        <f t="shared" si="382"/>
        <v>0</v>
      </c>
      <c r="F352" s="557" t="str">
        <f t="shared" si="380"/>
        <v/>
      </c>
      <c r="G352" s="553" t="str">
        <f t="shared" si="381"/>
        <v/>
      </c>
      <c r="I352" s="36" t="str">
        <f>IF(A352="","",IF(OR(F352=1,F352=2,F352=3,F352=4,F352=5),1,SUMIF('Suivi budgétaire'!$A:$A,'Import balance'!A352,'Suivi budgétaire'!$A:$A)+SUMIF('Suivi budgétaire'!$B:$B,'Import balance'!A352,'Suivi budgétaire'!$B:$B)+SUMIF('Suivi budgétaire'!$C:$C,'Import balance'!A352,'Suivi budgétaire'!$C:$C)+SUMIF('Suivi budgétaire'!$D:$D,'Import balance'!A352,'Suivi budgétaire'!$D:$D)+SUMIF('Suivi budgétaire'!$E:$E,'Import balance'!A352,'Suivi budgétaire'!$E:$E)))</f>
        <v/>
      </c>
    </row>
    <row r="353">
      <c r="A353" s="86"/>
      <c r="B353" s="86"/>
      <c r="C353" s="86"/>
      <c r="D353" s="86"/>
      <c r="E353" s="552">
        <f t="shared" si="382"/>
        <v>0</v>
      </c>
      <c r="F353" s="557" t="str">
        <f t="shared" si="380"/>
        <v/>
      </c>
      <c r="G353" s="553" t="str">
        <f t="shared" si="381"/>
        <v/>
      </c>
      <c r="I353" s="36" t="str">
        <f>IF(A353="","",IF(OR(F353=1,F353=2,F353=3,F353=4,F353=5),1,SUMIF('Suivi budgétaire'!$A:$A,'Import balance'!A353,'Suivi budgétaire'!$A:$A)+SUMIF('Suivi budgétaire'!$B:$B,'Import balance'!A353,'Suivi budgétaire'!$B:$B)+SUMIF('Suivi budgétaire'!$C:$C,'Import balance'!A353,'Suivi budgétaire'!$C:$C)+SUMIF('Suivi budgétaire'!$D:$D,'Import balance'!A353,'Suivi budgétaire'!$D:$D)+SUMIF('Suivi budgétaire'!$E:$E,'Import balance'!A353,'Suivi budgétaire'!$E:$E)))</f>
        <v/>
      </c>
    </row>
    <row r="354">
      <c r="A354" s="86"/>
      <c r="B354" s="86"/>
      <c r="C354" s="86"/>
      <c r="D354" s="86"/>
      <c r="E354" s="552">
        <f t="shared" si="382"/>
        <v>0</v>
      </c>
      <c r="F354" s="557" t="str">
        <f t="shared" si="380"/>
        <v/>
      </c>
      <c r="G354" s="553" t="str">
        <f t="shared" si="381"/>
        <v/>
      </c>
      <c r="I354" s="36" t="str">
        <f>IF(A354="","",IF(OR(F354=1,F354=2,F354=3,F354=4,F354=5),1,SUMIF('Suivi budgétaire'!$A:$A,'Import balance'!A354,'Suivi budgétaire'!$A:$A)+SUMIF('Suivi budgétaire'!$B:$B,'Import balance'!A354,'Suivi budgétaire'!$B:$B)+SUMIF('Suivi budgétaire'!$C:$C,'Import balance'!A354,'Suivi budgétaire'!$C:$C)+SUMIF('Suivi budgétaire'!$D:$D,'Import balance'!A354,'Suivi budgétaire'!$D:$D)+SUMIF('Suivi budgétaire'!$E:$E,'Import balance'!A354,'Suivi budgétaire'!$E:$E)))</f>
        <v/>
      </c>
    </row>
    <row r="355">
      <c r="A355" s="86"/>
      <c r="B355" s="86"/>
      <c r="C355" s="86"/>
      <c r="D355" s="86"/>
      <c r="E355" s="552">
        <f t="shared" si="382"/>
        <v>0</v>
      </c>
      <c r="F355" s="557" t="str">
        <f t="shared" si="380"/>
        <v/>
      </c>
      <c r="G355" s="553" t="str">
        <f t="shared" si="381"/>
        <v/>
      </c>
      <c r="I355" s="36" t="str">
        <f>IF(A355="","",IF(OR(F355=1,F355=2,F355=3,F355=4,F355=5),1,SUMIF('Suivi budgétaire'!$A:$A,'Import balance'!A355,'Suivi budgétaire'!$A:$A)+SUMIF('Suivi budgétaire'!$B:$B,'Import balance'!A355,'Suivi budgétaire'!$B:$B)+SUMIF('Suivi budgétaire'!$C:$C,'Import balance'!A355,'Suivi budgétaire'!$C:$C)+SUMIF('Suivi budgétaire'!$D:$D,'Import balance'!A355,'Suivi budgétaire'!$D:$D)+SUMIF('Suivi budgétaire'!$E:$E,'Import balance'!A355,'Suivi budgétaire'!$E:$E)))</f>
        <v/>
      </c>
    </row>
    <row r="356">
      <c r="A356" s="86"/>
      <c r="B356" s="86"/>
      <c r="C356" s="86"/>
      <c r="D356" s="86"/>
      <c r="E356" s="552">
        <f t="shared" si="382"/>
        <v>0</v>
      </c>
      <c r="F356" s="557" t="str">
        <f t="shared" ref="F356:F411" si="383">LEFT(A356,1)</f>
        <v/>
      </c>
      <c r="G356" s="553" t="str">
        <f t="shared" ref="G356:G411" si="384">LEFT(A356,3)</f>
        <v/>
      </c>
      <c r="I356" s="36" t="str">
        <f>IF(A356="","",IF(OR(F356=1,F356=2,F356=3,F356=4,F356=5),1,SUMIF('Suivi budgétaire'!$A:$A,'Import balance'!A356,'Suivi budgétaire'!$A:$A)+SUMIF('Suivi budgétaire'!$B:$B,'Import balance'!A356,'Suivi budgétaire'!$B:$B)+SUMIF('Suivi budgétaire'!$C:$C,'Import balance'!A356,'Suivi budgétaire'!$C:$C)+SUMIF('Suivi budgétaire'!$D:$D,'Import balance'!A356,'Suivi budgétaire'!$D:$D)+SUMIF('Suivi budgétaire'!$E:$E,'Import balance'!A356,'Suivi budgétaire'!$E:$E)))</f>
        <v/>
      </c>
    </row>
    <row r="357">
      <c r="A357" s="86"/>
      <c r="B357" s="86"/>
      <c r="C357" s="86"/>
      <c r="D357" s="86"/>
      <c r="E357" s="552">
        <f t="shared" si="382"/>
        <v>0</v>
      </c>
      <c r="F357" s="557" t="str">
        <f t="shared" si="383"/>
        <v/>
      </c>
      <c r="G357" s="553" t="str">
        <f t="shared" si="384"/>
        <v/>
      </c>
      <c r="I357" s="36" t="str">
        <f>IF(A357="","",IF(OR(F357=1,F357=2,F357=3,F357=4,F357=5),1,SUMIF('Suivi budgétaire'!$A:$A,'Import balance'!A357,'Suivi budgétaire'!$A:$A)+SUMIF('Suivi budgétaire'!$B:$B,'Import balance'!A357,'Suivi budgétaire'!$B:$B)+SUMIF('Suivi budgétaire'!$C:$C,'Import balance'!A357,'Suivi budgétaire'!$C:$C)+SUMIF('Suivi budgétaire'!$D:$D,'Import balance'!A357,'Suivi budgétaire'!$D:$D)+SUMIF('Suivi budgétaire'!$E:$E,'Import balance'!A357,'Suivi budgétaire'!$E:$E)))</f>
        <v/>
      </c>
    </row>
    <row r="358">
      <c r="A358" s="86"/>
      <c r="B358" s="86"/>
      <c r="C358" s="86"/>
      <c r="D358" s="86"/>
      <c r="E358" s="552">
        <f t="shared" si="382"/>
        <v>0</v>
      </c>
      <c r="F358" s="557" t="str">
        <f t="shared" si="383"/>
        <v/>
      </c>
      <c r="G358" s="553" t="str">
        <f t="shared" si="384"/>
        <v/>
      </c>
      <c r="I358" s="36" t="str">
        <f>IF(A358="","",IF(OR(F358=1,F358=2,F358=3,F358=4,F358=5),1,SUMIF('Suivi budgétaire'!$A:$A,'Import balance'!A358,'Suivi budgétaire'!$A:$A)+SUMIF('Suivi budgétaire'!$B:$B,'Import balance'!A358,'Suivi budgétaire'!$B:$B)+SUMIF('Suivi budgétaire'!$C:$C,'Import balance'!A358,'Suivi budgétaire'!$C:$C)+SUMIF('Suivi budgétaire'!$D:$D,'Import balance'!A358,'Suivi budgétaire'!$D:$D)+SUMIF('Suivi budgétaire'!$E:$E,'Import balance'!A358,'Suivi budgétaire'!$E:$E)))</f>
        <v/>
      </c>
    </row>
    <row r="359">
      <c r="A359" s="86"/>
      <c r="B359" s="86"/>
      <c r="C359" s="86"/>
      <c r="D359" s="86"/>
      <c r="E359" s="552">
        <f t="shared" si="382"/>
        <v>0</v>
      </c>
      <c r="F359" s="557" t="str">
        <f t="shared" si="383"/>
        <v/>
      </c>
      <c r="G359" s="553" t="str">
        <f t="shared" si="384"/>
        <v/>
      </c>
      <c r="I359" s="36" t="str">
        <f>IF(A359="","",IF(OR(F359=1,F359=2,F359=3,F359=4,F359=5),1,SUMIF('Suivi budgétaire'!$A:$A,'Import balance'!A359,'Suivi budgétaire'!$A:$A)+SUMIF('Suivi budgétaire'!$B:$B,'Import balance'!A359,'Suivi budgétaire'!$B:$B)+SUMIF('Suivi budgétaire'!$C:$C,'Import balance'!A359,'Suivi budgétaire'!$C:$C)+SUMIF('Suivi budgétaire'!$D:$D,'Import balance'!A359,'Suivi budgétaire'!$D:$D)+SUMIF('Suivi budgétaire'!$E:$E,'Import balance'!A359,'Suivi budgétaire'!$E:$E)))</f>
        <v/>
      </c>
    </row>
    <row r="360">
      <c r="A360" s="86"/>
      <c r="B360" s="86"/>
      <c r="C360" s="86"/>
      <c r="D360" s="86"/>
      <c r="E360" s="552">
        <f t="shared" si="382"/>
        <v>0</v>
      </c>
      <c r="F360" s="557" t="str">
        <f t="shared" si="383"/>
        <v/>
      </c>
      <c r="G360" s="553" t="str">
        <f t="shared" si="384"/>
        <v/>
      </c>
      <c r="I360" s="36" t="str">
        <f>IF(A360="","",IF(OR(F360=1,F360=2,F360=3,F360=4,F360=5),1,SUMIF('Suivi budgétaire'!$A:$A,'Import balance'!A360,'Suivi budgétaire'!$A:$A)+SUMIF('Suivi budgétaire'!$B:$B,'Import balance'!A360,'Suivi budgétaire'!$B:$B)+SUMIF('Suivi budgétaire'!$C:$C,'Import balance'!A360,'Suivi budgétaire'!$C:$C)+SUMIF('Suivi budgétaire'!$D:$D,'Import balance'!A360,'Suivi budgétaire'!$D:$D)+SUMIF('Suivi budgétaire'!$E:$E,'Import balance'!A360,'Suivi budgétaire'!$E:$E)))</f>
        <v/>
      </c>
    </row>
    <row r="361">
      <c r="A361" s="86"/>
      <c r="B361" s="86"/>
      <c r="C361" s="86"/>
      <c r="D361" s="86"/>
      <c r="E361" s="552">
        <f t="shared" si="382"/>
        <v>0</v>
      </c>
      <c r="F361" s="557" t="str">
        <f t="shared" si="383"/>
        <v/>
      </c>
      <c r="G361" s="553" t="str">
        <f t="shared" si="384"/>
        <v/>
      </c>
      <c r="I361" s="36" t="str">
        <f>IF(A361="","",IF(OR(F361=1,F361=2,F361=3,F361=4,F361=5),1,SUMIF('Suivi budgétaire'!$A:$A,'Import balance'!A361,'Suivi budgétaire'!$A:$A)+SUMIF('Suivi budgétaire'!$B:$B,'Import balance'!A361,'Suivi budgétaire'!$B:$B)+SUMIF('Suivi budgétaire'!$C:$C,'Import balance'!A361,'Suivi budgétaire'!$C:$C)+SUMIF('Suivi budgétaire'!$D:$D,'Import balance'!A361,'Suivi budgétaire'!$D:$D)+SUMIF('Suivi budgétaire'!$E:$E,'Import balance'!A361,'Suivi budgétaire'!$E:$E)))</f>
        <v/>
      </c>
    </row>
    <row r="362">
      <c r="A362" s="86"/>
      <c r="B362" s="86"/>
      <c r="C362" s="86"/>
      <c r="D362" s="86"/>
      <c r="E362" s="552">
        <f t="shared" si="382"/>
        <v>0</v>
      </c>
      <c r="F362" s="557" t="str">
        <f t="shared" si="383"/>
        <v/>
      </c>
      <c r="G362" s="553" t="str">
        <f t="shared" si="384"/>
        <v/>
      </c>
      <c r="I362" s="36" t="str">
        <f>IF(A362="","",IF(OR(F362=1,F362=2,F362=3,F362=4,F362=5),1,SUMIF('Suivi budgétaire'!$A:$A,'Import balance'!A362,'Suivi budgétaire'!$A:$A)+SUMIF('Suivi budgétaire'!$B:$B,'Import balance'!A362,'Suivi budgétaire'!$B:$B)+SUMIF('Suivi budgétaire'!$C:$C,'Import balance'!A362,'Suivi budgétaire'!$C:$C)+SUMIF('Suivi budgétaire'!$D:$D,'Import balance'!A362,'Suivi budgétaire'!$D:$D)+SUMIF('Suivi budgétaire'!$E:$E,'Import balance'!A362,'Suivi budgétaire'!$E:$E)))</f>
        <v/>
      </c>
    </row>
    <row r="363">
      <c r="A363" s="86"/>
      <c r="B363" s="86"/>
      <c r="C363" s="86"/>
      <c r="D363" s="86"/>
      <c r="E363" s="552">
        <f t="shared" si="382"/>
        <v>0</v>
      </c>
      <c r="F363" s="557" t="str">
        <f t="shared" si="383"/>
        <v/>
      </c>
      <c r="G363" s="553" t="str">
        <f t="shared" si="384"/>
        <v/>
      </c>
      <c r="I363" s="36" t="str">
        <f>IF(A363="","",IF(OR(F363=1,F363=2,F363=3,F363=4,F363=5),1,SUMIF('Suivi budgétaire'!$A:$A,'Import balance'!A363,'Suivi budgétaire'!$A:$A)+SUMIF('Suivi budgétaire'!$B:$B,'Import balance'!A363,'Suivi budgétaire'!$B:$B)+SUMIF('Suivi budgétaire'!$C:$C,'Import balance'!A363,'Suivi budgétaire'!$C:$C)+SUMIF('Suivi budgétaire'!$D:$D,'Import balance'!A363,'Suivi budgétaire'!$D:$D)+SUMIF('Suivi budgétaire'!$E:$E,'Import balance'!A363,'Suivi budgétaire'!$E:$E)))</f>
        <v/>
      </c>
    </row>
    <row r="364">
      <c r="A364" s="86"/>
      <c r="B364" s="86"/>
      <c r="C364" s="86"/>
      <c r="D364" s="86"/>
      <c r="E364" s="552">
        <f t="shared" si="382"/>
        <v>0</v>
      </c>
      <c r="F364" s="557" t="str">
        <f t="shared" si="383"/>
        <v/>
      </c>
      <c r="G364" s="553" t="str">
        <f t="shared" si="384"/>
        <v/>
      </c>
      <c r="I364" s="36" t="str">
        <f>IF(A364="","",IF(OR(F364=1,F364=2,F364=3,F364=4,F364=5),1,SUMIF('Suivi budgétaire'!$A:$A,'Import balance'!A364,'Suivi budgétaire'!$A:$A)+SUMIF('Suivi budgétaire'!$B:$B,'Import balance'!A364,'Suivi budgétaire'!$B:$B)+SUMIF('Suivi budgétaire'!$C:$C,'Import balance'!A364,'Suivi budgétaire'!$C:$C)+SUMIF('Suivi budgétaire'!$D:$D,'Import balance'!A364,'Suivi budgétaire'!$D:$D)+SUMIF('Suivi budgétaire'!$E:$E,'Import balance'!A364,'Suivi budgétaire'!$E:$E)))</f>
        <v/>
      </c>
    </row>
    <row r="365">
      <c r="A365" s="86"/>
      <c r="B365" s="86"/>
      <c r="C365" s="86"/>
      <c r="D365" s="86"/>
      <c r="E365" s="552">
        <f t="shared" si="382"/>
        <v>0</v>
      </c>
      <c r="F365" s="557" t="str">
        <f t="shared" si="383"/>
        <v/>
      </c>
      <c r="G365" s="553" t="str">
        <f t="shared" si="384"/>
        <v/>
      </c>
      <c r="I365" s="36" t="str">
        <f>IF(A365="","",IF(OR(F365=1,F365=2,F365=3,F365=4,F365=5),1,SUMIF('Suivi budgétaire'!$A:$A,'Import balance'!A365,'Suivi budgétaire'!$A:$A)+SUMIF('Suivi budgétaire'!$B:$B,'Import balance'!A365,'Suivi budgétaire'!$B:$B)+SUMIF('Suivi budgétaire'!$C:$C,'Import balance'!A365,'Suivi budgétaire'!$C:$C)+SUMIF('Suivi budgétaire'!$D:$D,'Import balance'!A365,'Suivi budgétaire'!$D:$D)+SUMIF('Suivi budgétaire'!$E:$E,'Import balance'!A365,'Suivi budgétaire'!$E:$E)))</f>
        <v/>
      </c>
    </row>
    <row r="366">
      <c r="A366" s="86"/>
      <c r="B366" s="86"/>
      <c r="C366" s="86"/>
      <c r="D366" s="86"/>
      <c r="E366" s="552">
        <f t="shared" si="382"/>
        <v>0</v>
      </c>
      <c r="F366" s="557" t="str">
        <f t="shared" si="383"/>
        <v/>
      </c>
      <c r="G366" s="553" t="str">
        <f t="shared" si="384"/>
        <v/>
      </c>
      <c r="I366" s="36" t="str">
        <f>IF(A366="","",IF(OR(F366=1,F366=2,F366=3,F366=4,F366=5),1,SUMIF('Suivi budgétaire'!$A:$A,'Import balance'!A366,'Suivi budgétaire'!$A:$A)+SUMIF('Suivi budgétaire'!$B:$B,'Import balance'!A366,'Suivi budgétaire'!$B:$B)+SUMIF('Suivi budgétaire'!$C:$C,'Import balance'!A366,'Suivi budgétaire'!$C:$C)+SUMIF('Suivi budgétaire'!$D:$D,'Import balance'!A366,'Suivi budgétaire'!$D:$D)+SUMIF('Suivi budgétaire'!$E:$E,'Import balance'!A366,'Suivi budgétaire'!$E:$E)))</f>
        <v/>
      </c>
    </row>
    <row r="367">
      <c r="A367" s="86"/>
      <c r="B367" s="86"/>
      <c r="C367" s="86"/>
      <c r="D367" s="86"/>
      <c r="E367" s="552">
        <f t="shared" si="382"/>
        <v>0</v>
      </c>
      <c r="F367" s="557" t="str">
        <f t="shared" si="383"/>
        <v/>
      </c>
      <c r="G367" s="553" t="str">
        <f t="shared" si="384"/>
        <v/>
      </c>
      <c r="I367" s="36" t="str">
        <f>IF(A367="","",IF(OR(F367=1,F367=2,F367=3,F367=4,F367=5),1,SUMIF('Suivi budgétaire'!$A:$A,'Import balance'!A367,'Suivi budgétaire'!$A:$A)+SUMIF('Suivi budgétaire'!$B:$B,'Import balance'!A367,'Suivi budgétaire'!$B:$B)+SUMIF('Suivi budgétaire'!$C:$C,'Import balance'!A367,'Suivi budgétaire'!$C:$C)+SUMIF('Suivi budgétaire'!$D:$D,'Import balance'!A367,'Suivi budgétaire'!$D:$D)+SUMIF('Suivi budgétaire'!$E:$E,'Import balance'!A367,'Suivi budgétaire'!$E:$E)))</f>
        <v/>
      </c>
    </row>
    <row r="368">
      <c r="A368" s="86"/>
      <c r="B368" s="86"/>
      <c r="C368" s="86"/>
      <c r="D368" s="86"/>
      <c r="E368" s="552">
        <f t="shared" si="382"/>
        <v>0</v>
      </c>
      <c r="F368" s="557" t="str">
        <f t="shared" si="383"/>
        <v/>
      </c>
      <c r="G368" s="553" t="str">
        <f t="shared" si="384"/>
        <v/>
      </c>
      <c r="I368" s="36" t="str">
        <f>IF(A368="","",IF(OR(F368=1,F368=2,F368=3,F368=4,F368=5),1,SUMIF('Suivi budgétaire'!$A:$A,'Import balance'!A368,'Suivi budgétaire'!$A:$A)+SUMIF('Suivi budgétaire'!$B:$B,'Import balance'!A368,'Suivi budgétaire'!$B:$B)+SUMIF('Suivi budgétaire'!$C:$C,'Import balance'!A368,'Suivi budgétaire'!$C:$C)+SUMIF('Suivi budgétaire'!$D:$D,'Import balance'!A368,'Suivi budgétaire'!$D:$D)+SUMIF('Suivi budgétaire'!$E:$E,'Import balance'!A368,'Suivi budgétaire'!$E:$E)))</f>
        <v/>
      </c>
    </row>
    <row r="369">
      <c r="A369" s="86"/>
      <c r="B369" s="86"/>
      <c r="C369" s="86"/>
      <c r="D369" s="86"/>
      <c r="E369" s="552">
        <f t="shared" si="382"/>
        <v>0</v>
      </c>
      <c r="F369" s="557" t="str">
        <f t="shared" si="383"/>
        <v/>
      </c>
      <c r="G369" s="553" t="str">
        <f t="shared" si="384"/>
        <v/>
      </c>
      <c r="I369" s="36" t="str">
        <f>IF(A369="","",IF(OR(F369=1,F369=2,F369=3,F369=4,F369=5),1,SUMIF('Suivi budgétaire'!$A:$A,'Import balance'!A369,'Suivi budgétaire'!$A:$A)+SUMIF('Suivi budgétaire'!$B:$B,'Import balance'!A369,'Suivi budgétaire'!$B:$B)+SUMIF('Suivi budgétaire'!$C:$C,'Import balance'!A369,'Suivi budgétaire'!$C:$C)+SUMIF('Suivi budgétaire'!$D:$D,'Import balance'!A369,'Suivi budgétaire'!$D:$D)+SUMIF('Suivi budgétaire'!$E:$E,'Import balance'!A369,'Suivi budgétaire'!$E:$E)))</f>
        <v/>
      </c>
    </row>
    <row r="370">
      <c r="A370" s="86"/>
      <c r="B370" s="86"/>
      <c r="C370" s="86"/>
      <c r="D370" s="86"/>
      <c r="E370" s="552">
        <f t="shared" si="382"/>
        <v>0</v>
      </c>
      <c r="F370" s="557" t="str">
        <f t="shared" si="383"/>
        <v/>
      </c>
      <c r="G370" s="553" t="str">
        <f t="shared" si="384"/>
        <v/>
      </c>
      <c r="I370" s="36" t="str">
        <f>IF(A370="","",IF(OR(F370=1,F370=2,F370=3,F370=4,F370=5),1,SUMIF('Suivi budgétaire'!$A:$A,'Import balance'!A370,'Suivi budgétaire'!$A:$A)+SUMIF('Suivi budgétaire'!$B:$B,'Import balance'!A370,'Suivi budgétaire'!$B:$B)+SUMIF('Suivi budgétaire'!$C:$C,'Import balance'!A370,'Suivi budgétaire'!$C:$C)+SUMIF('Suivi budgétaire'!$D:$D,'Import balance'!A370,'Suivi budgétaire'!$D:$D)+SUMIF('Suivi budgétaire'!$E:$E,'Import balance'!A370,'Suivi budgétaire'!$E:$E)))</f>
        <v/>
      </c>
    </row>
    <row r="371">
      <c r="A371" s="86"/>
      <c r="B371" s="86"/>
      <c r="C371" s="86"/>
      <c r="D371" s="86"/>
      <c r="E371" s="552">
        <f t="shared" si="382"/>
        <v>0</v>
      </c>
      <c r="F371" s="557" t="str">
        <f t="shared" si="383"/>
        <v/>
      </c>
      <c r="G371" s="553" t="str">
        <f t="shared" si="384"/>
        <v/>
      </c>
      <c r="I371" s="36" t="str">
        <f>IF(A371="","",IF(OR(F371=1,F371=2,F371=3,F371=4,F371=5),1,SUMIF('Suivi budgétaire'!$A:$A,'Import balance'!A371,'Suivi budgétaire'!$A:$A)+SUMIF('Suivi budgétaire'!$B:$B,'Import balance'!A371,'Suivi budgétaire'!$B:$B)+SUMIF('Suivi budgétaire'!$C:$C,'Import balance'!A371,'Suivi budgétaire'!$C:$C)+SUMIF('Suivi budgétaire'!$D:$D,'Import balance'!A371,'Suivi budgétaire'!$D:$D)+SUMIF('Suivi budgétaire'!$E:$E,'Import balance'!A371,'Suivi budgétaire'!$E:$E)))</f>
        <v/>
      </c>
    </row>
    <row r="372">
      <c r="A372" s="86"/>
      <c r="B372" s="86"/>
      <c r="C372" s="86"/>
      <c r="D372" s="86"/>
      <c r="E372" s="552">
        <f t="shared" si="382"/>
        <v>0</v>
      </c>
      <c r="F372" s="557" t="str">
        <f t="shared" si="383"/>
        <v/>
      </c>
      <c r="G372" s="553" t="str">
        <f t="shared" si="384"/>
        <v/>
      </c>
      <c r="I372" s="36" t="str">
        <f>IF(A372="","",IF(OR(F372=1,F372=2,F372=3,F372=4,F372=5),1,SUMIF('Suivi budgétaire'!$A:$A,'Import balance'!A372,'Suivi budgétaire'!$A:$A)+SUMIF('Suivi budgétaire'!$B:$B,'Import balance'!A372,'Suivi budgétaire'!$B:$B)+SUMIF('Suivi budgétaire'!$C:$C,'Import balance'!A372,'Suivi budgétaire'!$C:$C)+SUMIF('Suivi budgétaire'!$D:$D,'Import balance'!A372,'Suivi budgétaire'!$D:$D)+SUMIF('Suivi budgétaire'!$E:$E,'Import balance'!A372,'Suivi budgétaire'!$E:$E)))</f>
        <v/>
      </c>
    </row>
    <row r="373">
      <c r="A373" s="86"/>
      <c r="B373" s="86"/>
      <c r="C373" s="86"/>
      <c r="D373" s="86"/>
      <c r="E373" s="552">
        <f t="shared" si="382"/>
        <v>0</v>
      </c>
      <c r="F373" s="557" t="str">
        <f t="shared" si="383"/>
        <v/>
      </c>
      <c r="G373" s="553" t="str">
        <f t="shared" si="384"/>
        <v/>
      </c>
      <c r="I373" s="36" t="str">
        <f>IF(A373="","",IF(OR(F373=1,F373=2,F373=3,F373=4,F373=5),1,SUMIF('Suivi budgétaire'!$A:$A,'Import balance'!A373,'Suivi budgétaire'!$A:$A)+SUMIF('Suivi budgétaire'!$B:$B,'Import balance'!A373,'Suivi budgétaire'!$B:$B)+SUMIF('Suivi budgétaire'!$C:$C,'Import balance'!A373,'Suivi budgétaire'!$C:$C)+SUMIF('Suivi budgétaire'!$D:$D,'Import balance'!A373,'Suivi budgétaire'!$D:$D)+SUMIF('Suivi budgétaire'!$E:$E,'Import balance'!A373,'Suivi budgétaire'!$E:$E)))</f>
        <v/>
      </c>
    </row>
    <row r="374">
      <c r="A374" s="86"/>
      <c r="B374" s="86"/>
      <c r="C374" s="86"/>
      <c r="D374" s="86"/>
      <c r="E374" s="552">
        <f t="shared" si="382"/>
        <v>0</v>
      </c>
      <c r="F374" s="557" t="str">
        <f t="shared" si="383"/>
        <v/>
      </c>
      <c r="G374" s="553" t="str">
        <f t="shared" si="384"/>
        <v/>
      </c>
      <c r="I374" s="36" t="str">
        <f>IF(A374="","",IF(OR(F374=1,F374=2,F374=3,F374=4,F374=5),1,SUMIF('Suivi budgétaire'!$A:$A,'Import balance'!A374,'Suivi budgétaire'!$A:$A)+SUMIF('Suivi budgétaire'!$B:$B,'Import balance'!A374,'Suivi budgétaire'!$B:$B)+SUMIF('Suivi budgétaire'!$C:$C,'Import balance'!A374,'Suivi budgétaire'!$C:$C)+SUMIF('Suivi budgétaire'!$D:$D,'Import balance'!A374,'Suivi budgétaire'!$D:$D)+SUMIF('Suivi budgétaire'!$E:$E,'Import balance'!A374,'Suivi budgétaire'!$E:$E)))</f>
        <v/>
      </c>
    </row>
    <row r="375">
      <c r="A375" s="86"/>
      <c r="B375" s="86"/>
      <c r="C375" s="86"/>
      <c r="D375" s="86"/>
      <c r="E375" s="552">
        <f t="shared" si="382"/>
        <v>0</v>
      </c>
      <c r="F375" s="557" t="str">
        <f t="shared" si="383"/>
        <v/>
      </c>
      <c r="G375" s="553" t="str">
        <f t="shared" si="384"/>
        <v/>
      </c>
      <c r="I375" s="36" t="str">
        <f>IF(A375="","",IF(OR(F375=1,F375=2,F375=3,F375=4,F375=5),1,SUMIF('Suivi budgétaire'!$A:$A,'Import balance'!A375,'Suivi budgétaire'!$A:$A)+SUMIF('Suivi budgétaire'!$B:$B,'Import balance'!A375,'Suivi budgétaire'!$B:$B)+SUMIF('Suivi budgétaire'!$C:$C,'Import balance'!A375,'Suivi budgétaire'!$C:$C)+SUMIF('Suivi budgétaire'!$D:$D,'Import balance'!A375,'Suivi budgétaire'!$D:$D)+SUMIF('Suivi budgétaire'!$E:$E,'Import balance'!A375,'Suivi budgétaire'!$E:$E)))</f>
        <v/>
      </c>
    </row>
    <row r="376">
      <c r="A376" s="86"/>
      <c r="B376" s="86"/>
      <c r="C376" s="86"/>
      <c r="D376" s="86"/>
      <c r="E376" s="552">
        <f t="shared" si="382"/>
        <v>0</v>
      </c>
      <c r="F376" s="557" t="str">
        <f t="shared" si="383"/>
        <v/>
      </c>
      <c r="G376" s="553" t="str">
        <f t="shared" si="384"/>
        <v/>
      </c>
      <c r="I376" s="36" t="str">
        <f>IF(A376="","",IF(OR(F376=1,F376=2,F376=3,F376=4,F376=5),1,SUMIF('Suivi budgétaire'!$A:$A,'Import balance'!A376,'Suivi budgétaire'!$A:$A)+SUMIF('Suivi budgétaire'!$B:$B,'Import balance'!A376,'Suivi budgétaire'!$B:$B)+SUMIF('Suivi budgétaire'!$C:$C,'Import balance'!A376,'Suivi budgétaire'!$C:$C)+SUMIF('Suivi budgétaire'!$D:$D,'Import balance'!A376,'Suivi budgétaire'!$D:$D)+SUMIF('Suivi budgétaire'!$E:$E,'Import balance'!A376,'Suivi budgétaire'!$E:$E)))</f>
        <v/>
      </c>
    </row>
    <row r="377">
      <c r="A377" s="86"/>
      <c r="B377" s="86"/>
      <c r="C377" s="86"/>
      <c r="D377" s="86"/>
      <c r="E377" s="552">
        <f t="shared" si="382"/>
        <v>0</v>
      </c>
      <c r="F377" s="557" t="str">
        <f t="shared" si="383"/>
        <v/>
      </c>
      <c r="G377" s="553" t="str">
        <f t="shared" si="384"/>
        <v/>
      </c>
      <c r="I377" s="36" t="str">
        <f>IF(A377="","",IF(OR(F377=1,F377=2,F377=3,F377=4,F377=5),1,SUMIF('Suivi budgétaire'!$A:$A,'Import balance'!A377,'Suivi budgétaire'!$A:$A)+SUMIF('Suivi budgétaire'!$B:$B,'Import balance'!A377,'Suivi budgétaire'!$B:$B)+SUMIF('Suivi budgétaire'!$C:$C,'Import balance'!A377,'Suivi budgétaire'!$C:$C)+SUMIF('Suivi budgétaire'!$D:$D,'Import balance'!A377,'Suivi budgétaire'!$D:$D)+SUMIF('Suivi budgétaire'!$E:$E,'Import balance'!A377,'Suivi budgétaire'!$E:$E)))</f>
        <v/>
      </c>
    </row>
    <row r="378">
      <c r="A378" s="86"/>
      <c r="B378" s="86"/>
      <c r="C378" s="86"/>
      <c r="D378" s="86"/>
      <c r="E378" s="552">
        <f t="shared" si="382"/>
        <v>0</v>
      </c>
      <c r="F378" s="557" t="str">
        <f t="shared" si="383"/>
        <v/>
      </c>
      <c r="G378" s="553" t="str">
        <f t="shared" si="384"/>
        <v/>
      </c>
      <c r="I378" s="36" t="str">
        <f>IF(A378="","",IF(OR(F378=1,F378=2,F378=3,F378=4,F378=5),1,SUMIF('Suivi budgétaire'!$A:$A,'Import balance'!A378,'Suivi budgétaire'!$A:$A)+SUMIF('Suivi budgétaire'!$B:$B,'Import balance'!A378,'Suivi budgétaire'!$B:$B)+SUMIF('Suivi budgétaire'!$C:$C,'Import balance'!A378,'Suivi budgétaire'!$C:$C)+SUMIF('Suivi budgétaire'!$D:$D,'Import balance'!A378,'Suivi budgétaire'!$D:$D)+SUMIF('Suivi budgétaire'!$E:$E,'Import balance'!A378,'Suivi budgétaire'!$E:$E)))</f>
        <v/>
      </c>
    </row>
    <row r="379">
      <c r="A379" s="86"/>
      <c r="B379" s="86"/>
      <c r="C379" s="86"/>
      <c r="D379" s="86"/>
      <c r="E379" s="552">
        <f t="shared" si="382"/>
        <v>0</v>
      </c>
      <c r="F379" s="557" t="str">
        <f t="shared" si="383"/>
        <v/>
      </c>
      <c r="G379" s="553" t="str">
        <f t="shared" si="384"/>
        <v/>
      </c>
      <c r="I379" s="36" t="str">
        <f>IF(A379="","",IF(OR(F379=1,F379=2,F379=3,F379=4,F379=5),1,SUMIF('Suivi budgétaire'!$A:$A,'Import balance'!A379,'Suivi budgétaire'!$A:$A)+SUMIF('Suivi budgétaire'!$B:$B,'Import balance'!A379,'Suivi budgétaire'!$B:$B)+SUMIF('Suivi budgétaire'!$C:$C,'Import balance'!A379,'Suivi budgétaire'!$C:$C)+SUMIF('Suivi budgétaire'!$D:$D,'Import balance'!A379,'Suivi budgétaire'!$D:$D)+SUMIF('Suivi budgétaire'!$E:$E,'Import balance'!A379,'Suivi budgétaire'!$E:$E)))</f>
        <v/>
      </c>
    </row>
    <row r="380">
      <c r="A380" s="86"/>
      <c r="B380" s="86"/>
      <c r="C380" s="86"/>
      <c r="D380" s="86"/>
      <c r="E380" s="552">
        <f t="shared" si="382"/>
        <v>0</v>
      </c>
      <c r="F380" s="557" t="str">
        <f t="shared" si="383"/>
        <v/>
      </c>
      <c r="G380" s="553" t="str">
        <f t="shared" si="384"/>
        <v/>
      </c>
      <c r="I380" s="36" t="str">
        <f>IF(A380="","",IF(OR(F380=1,F380=2,F380=3,F380=4,F380=5),1,SUMIF('Suivi budgétaire'!$A:$A,'Import balance'!A380,'Suivi budgétaire'!$A:$A)+SUMIF('Suivi budgétaire'!$B:$B,'Import balance'!A380,'Suivi budgétaire'!$B:$B)+SUMIF('Suivi budgétaire'!$C:$C,'Import balance'!A380,'Suivi budgétaire'!$C:$C)+SUMIF('Suivi budgétaire'!$D:$D,'Import balance'!A380,'Suivi budgétaire'!$D:$D)+SUMIF('Suivi budgétaire'!$E:$E,'Import balance'!A380,'Suivi budgétaire'!$E:$E)))</f>
        <v/>
      </c>
    </row>
    <row r="381">
      <c r="A381" s="86"/>
      <c r="B381" s="86"/>
      <c r="C381" s="86"/>
      <c r="D381" s="86"/>
      <c r="E381" s="552">
        <f t="shared" si="382"/>
        <v>0</v>
      </c>
      <c r="F381" s="557" t="str">
        <f t="shared" si="383"/>
        <v/>
      </c>
      <c r="G381" s="553" t="str">
        <f t="shared" si="384"/>
        <v/>
      </c>
      <c r="I381" s="36" t="str">
        <f>IF(A381="","",IF(OR(F381=1,F381=2,F381=3,F381=4,F381=5),1,SUMIF('Suivi budgétaire'!$A:$A,'Import balance'!A381,'Suivi budgétaire'!$A:$A)+SUMIF('Suivi budgétaire'!$B:$B,'Import balance'!A381,'Suivi budgétaire'!$B:$B)+SUMIF('Suivi budgétaire'!$C:$C,'Import balance'!A381,'Suivi budgétaire'!$C:$C)+SUMIF('Suivi budgétaire'!$D:$D,'Import balance'!A381,'Suivi budgétaire'!$D:$D)+SUMIF('Suivi budgétaire'!$E:$E,'Import balance'!A381,'Suivi budgétaire'!$E:$E)))</f>
        <v/>
      </c>
    </row>
    <row r="382">
      <c r="A382" s="86"/>
      <c r="B382" s="86"/>
      <c r="C382" s="86"/>
      <c r="D382" s="86"/>
      <c r="E382" s="552">
        <f t="shared" si="382"/>
        <v>0</v>
      </c>
      <c r="F382" s="557" t="str">
        <f t="shared" si="383"/>
        <v/>
      </c>
      <c r="G382" s="553" t="str">
        <f t="shared" si="384"/>
        <v/>
      </c>
      <c r="I382" s="36" t="str">
        <f>IF(A382="","",IF(OR(F382=1,F382=2,F382=3,F382=4,F382=5),1,SUMIF('Suivi budgétaire'!$A:$A,'Import balance'!A382,'Suivi budgétaire'!$A:$A)+SUMIF('Suivi budgétaire'!$B:$B,'Import balance'!A382,'Suivi budgétaire'!$B:$B)+SUMIF('Suivi budgétaire'!$C:$C,'Import balance'!A382,'Suivi budgétaire'!$C:$C)+SUMIF('Suivi budgétaire'!$D:$D,'Import balance'!A382,'Suivi budgétaire'!$D:$D)+SUMIF('Suivi budgétaire'!$E:$E,'Import balance'!A382,'Suivi budgétaire'!$E:$E)))</f>
        <v/>
      </c>
    </row>
    <row r="383">
      <c r="A383" s="86"/>
      <c r="B383" s="86"/>
      <c r="C383" s="86"/>
      <c r="D383" s="86"/>
      <c r="E383" s="552">
        <f t="shared" si="382"/>
        <v>0</v>
      </c>
      <c r="F383" s="557" t="str">
        <f t="shared" si="383"/>
        <v/>
      </c>
      <c r="G383" s="553" t="str">
        <f t="shared" si="384"/>
        <v/>
      </c>
      <c r="I383" s="36" t="str">
        <f>IF(A383="","",IF(OR(F383=1,F383=2,F383=3,F383=4,F383=5),1,SUMIF('Suivi budgétaire'!$A:$A,'Import balance'!A383,'Suivi budgétaire'!$A:$A)+SUMIF('Suivi budgétaire'!$B:$B,'Import balance'!A383,'Suivi budgétaire'!$B:$B)+SUMIF('Suivi budgétaire'!$C:$C,'Import balance'!A383,'Suivi budgétaire'!$C:$C)+SUMIF('Suivi budgétaire'!$D:$D,'Import balance'!A383,'Suivi budgétaire'!$D:$D)+SUMIF('Suivi budgétaire'!$E:$E,'Import balance'!A383,'Suivi budgétaire'!$E:$E)))</f>
        <v/>
      </c>
    </row>
    <row r="384">
      <c r="A384" s="86"/>
      <c r="B384" s="86"/>
      <c r="C384" s="86"/>
      <c r="D384" s="86"/>
      <c r="E384" s="552">
        <f t="shared" si="382"/>
        <v>0</v>
      </c>
      <c r="F384" s="557" t="str">
        <f t="shared" si="383"/>
        <v/>
      </c>
      <c r="G384" s="553" t="str">
        <f t="shared" si="384"/>
        <v/>
      </c>
      <c r="I384" s="36" t="str">
        <f>IF(A384="","",IF(OR(F384=1,F384=2,F384=3,F384=4,F384=5),1,SUMIF('Suivi budgétaire'!$A:$A,'Import balance'!A384,'Suivi budgétaire'!$A:$A)+SUMIF('Suivi budgétaire'!$B:$B,'Import balance'!A384,'Suivi budgétaire'!$B:$B)+SUMIF('Suivi budgétaire'!$C:$C,'Import balance'!A384,'Suivi budgétaire'!$C:$C)+SUMIF('Suivi budgétaire'!$D:$D,'Import balance'!A384,'Suivi budgétaire'!$D:$D)+SUMIF('Suivi budgétaire'!$E:$E,'Import balance'!A384,'Suivi budgétaire'!$E:$E)))</f>
        <v/>
      </c>
    </row>
    <row r="385">
      <c r="A385" s="86"/>
      <c r="B385" s="86"/>
      <c r="C385" s="86"/>
      <c r="D385" s="86"/>
      <c r="E385" s="552">
        <f t="shared" si="382"/>
        <v>0</v>
      </c>
      <c r="F385" s="557" t="str">
        <f t="shared" si="383"/>
        <v/>
      </c>
      <c r="G385" s="553" t="str">
        <f t="shared" si="384"/>
        <v/>
      </c>
      <c r="I385" s="36" t="str">
        <f>IF(A385="","",IF(OR(F385=1,F385=2,F385=3,F385=4,F385=5),1,SUMIF('Suivi budgétaire'!$A:$A,'Import balance'!A385,'Suivi budgétaire'!$A:$A)+SUMIF('Suivi budgétaire'!$B:$B,'Import balance'!A385,'Suivi budgétaire'!$B:$B)+SUMIF('Suivi budgétaire'!$C:$C,'Import balance'!A385,'Suivi budgétaire'!$C:$C)+SUMIF('Suivi budgétaire'!$D:$D,'Import balance'!A385,'Suivi budgétaire'!$D:$D)+SUMIF('Suivi budgétaire'!$E:$E,'Import balance'!A385,'Suivi budgétaire'!$E:$E)))</f>
        <v/>
      </c>
    </row>
    <row r="386">
      <c r="A386" s="86"/>
      <c r="B386" s="86"/>
      <c r="C386" s="86"/>
      <c r="D386" s="86"/>
      <c r="E386" s="552">
        <f t="shared" si="382"/>
        <v>0</v>
      </c>
      <c r="F386" s="557" t="str">
        <f t="shared" si="383"/>
        <v/>
      </c>
      <c r="G386" s="553" t="str">
        <f t="shared" si="384"/>
        <v/>
      </c>
      <c r="I386" s="36" t="str">
        <f>IF(A386="","",IF(OR(F386=1,F386=2,F386=3,F386=4,F386=5),1,SUMIF('Suivi budgétaire'!$A:$A,'Import balance'!A386,'Suivi budgétaire'!$A:$A)+SUMIF('Suivi budgétaire'!$B:$B,'Import balance'!A386,'Suivi budgétaire'!$B:$B)+SUMIF('Suivi budgétaire'!$C:$C,'Import balance'!A386,'Suivi budgétaire'!$C:$C)+SUMIF('Suivi budgétaire'!$D:$D,'Import balance'!A386,'Suivi budgétaire'!$D:$D)+SUMIF('Suivi budgétaire'!$E:$E,'Import balance'!A386,'Suivi budgétaire'!$E:$E)))</f>
        <v/>
      </c>
    </row>
    <row r="387">
      <c r="A387" s="86"/>
      <c r="B387" s="86"/>
      <c r="C387" s="86"/>
      <c r="D387" s="86"/>
      <c r="E387" s="552">
        <f t="shared" si="382"/>
        <v>0</v>
      </c>
      <c r="F387" s="557" t="str">
        <f t="shared" si="383"/>
        <v/>
      </c>
      <c r="G387" s="553" t="str">
        <f t="shared" si="384"/>
        <v/>
      </c>
      <c r="I387" s="36" t="str">
        <f>IF(A387="","",IF(OR(F387=1,F387=2,F387=3,F387=4,F387=5),1,SUMIF('Suivi budgétaire'!$A:$A,'Import balance'!A387,'Suivi budgétaire'!$A:$A)+SUMIF('Suivi budgétaire'!$B:$B,'Import balance'!A387,'Suivi budgétaire'!$B:$B)+SUMIF('Suivi budgétaire'!$C:$C,'Import balance'!A387,'Suivi budgétaire'!$C:$C)+SUMIF('Suivi budgétaire'!$D:$D,'Import balance'!A387,'Suivi budgétaire'!$D:$D)+SUMIF('Suivi budgétaire'!$E:$E,'Import balance'!A387,'Suivi budgétaire'!$E:$E)))</f>
        <v/>
      </c>
    </row>
    <row r="388">
      <c r="A388" s="86"/>
      <c r="B388" s="86"/>
      <c r="C388" s="86"/>
      <c r="D388" s="86"/>
      <c r="E388" s="552">
        <f t="shared" si="382"/>
        <v>0</v>
      </c>
      <c r="F388" s="557" t="str">
        <f t="shared" si="383"/>
        <v/>
      </c>
      <c r="G388" s="553" t="str">
        <f t="shared" si="384"/>
        <v/>
      </c>
      <c r="I388" s="36" t="str">
        <f>IF(A388="","",IF(OR(F388=1,F388=2,F388=3,F388=4,F388=5),1,SUMIF('Suivi budgétaire'!$A:$A,'Import balance'!A388,'Suivi budgétaire'!$A:$A)+SUMIF('Suivi budgétaire'!$B:$B,'Import balance'!A388,'Suivi budgétaire'!$B:$B)+SUMIF('Suivi budgétaire'!$C:$C,'Import balance'!A388,'Suivi budgétaire'!$C:$C)+SUMIF('Suivi budgétaire'!$D:$D,'Import balance'!A388,'Suivi budgétaire'!$D:$D)+SUMIF('Suivi budgétaire'!$E:$E,'Import balance'!A388,'Suivi budgétaire'!$E:$E)))</f>
        <v/>
      </c>
    </row>
    <row r="389">
      <c r="A389" s="86"/>
      <c r="B389" s="86"/>
      <c r="C389" s="86"/>
      <c r="D389" s="86"/>
      <c r="E389" s="552">
        <f t="shared" ref="E389:E411" si="385">C389-D389</f>
        <v>0</v>
      </c>
      <c r="F389" s="557" t="str">
        <f t="shared" si="383"/>
        <v/>
      </c>
      <c r="G389" s="553" t="str">
        <f t="shared" si="384"/>
        <v/>
      </c>
      <c r="I389" s="36" t="str">
        <f>IF(A389="","",IF(OR(F389=1,F389=2,F389=3,F389=4,F389=5),1,SUMIF('Suivi budgétaire'!$A:$A,'Import balance'!A389,'Suivi budgétaire'!$A:$A)+SUMIF('Suivi budgétaire'!$B:$B,'Import balance'!A389,'Suivi budgétaire'!$B:$B)+SUMIF('Suivi budgétaire'!$C:$C,'Import balance'!A389,'Suivi budgétaire'!$C:$C)+SUMIF('Suivi budgétaire'!$D:$D,'Import balance'!A389,'Suivi budgétaire'!$D:$D)+SUMIF('Suivi budgétaire'!$E:$E,'Import balance'!A389,'Suivi budgétaire'!$E:$E)))</f>
        <v/>
      </c>
    </row>
    <row r="390">
      <c r="A390" s="86"/>
      <c r="B390" s="86"/>
      <c r="C390" s="86"/>
      <c r="D390" s="86"/>
      <c r="E390" s="552">
        <f t="shared" si="385"/>
        <v>0</v>
      </c>
      <c r="F390" s="557" t="str">
        <f t="shared" si="383"/>
        <v/>
      </c>
      <c r="G390" s="553" t="str">
        <f t="shared" si="384"/>
        <v/>
      </c>
      <c r="I390" s="36" t="str">
        <f>IF(A390="","",IF(OR(F390=1,F390=2,F390=3,F390=4,F390=5),1,SUMIF('Suivi budgétaire'!$A:$A,'Import balance'!A390,'Suivi budgétaire'!$A:$A)+SUMIF('Suivi budgétaire'!$B:$B,'Import balance'!A390,'Suivi budgétaire'!$B:$B)+SUMIF('Suivi budgétaire'!$C:$C,'Import balance'!A390,'Suivi budgétaire'!$C:$C)+SUMIF('Suivi budgétaire'!$D:$D,'Import balance'!A390,'Suivi budgétaire'!$D:$D)+SUMIF('Suivi budgétaire'!$E:$E,'Import balance'!A390,'Suivi budgétaire'!$E:$E)))</f>
        <v/>
      </c>
    </row>
    <row r="391">
      <c r="A391" s="86"/>
      <c r="B391" s="86"/>
      <c r="C391" s="86"/>
      <c r="D391" s="86"/>
      <c r="E391" s="552">
        <f t="shared" si="385"/>
        <v>0</v>
      </c>
      <c r="F391" s="557" t="str">
        <f t="shared" si="383"/>
        <v/>
      </c>
      <c r="G391" s="553" t="str">
        <f t="shared" si="384"/>
        <v/>
      </c>
      <c r="I391" s="36" t="str">
        <f>IF(A391="","",IF(OR(F391=1,F391=2,F391=3,F391=4,F391=5),1,SUMIF('Suivi budgétaire'!$A:$A,'Import balance'!A391,'Suivi budgétaire'!$A:$A)+SUMIF('Suivi budgétaire'!$B:$B,'Import balance'!A391,'Suivi budgétaire'!$B:$B)+SUMIF('Suivi budgétaire'!$C:$C,'Import balance'!A391,'Suivi budgétaire'!$C:$C)+SUMIF('Suivi budgétaire'!$D:$D,'Import balance'!A391,'Suivi budgétaire'!$D:$D)+SUMIF('Suivi budgétaire'!$E:$E,'Import balance'!A391,'Suivi budgétaire'!$E:$E)))</f>
        <v/>
      </c>
    </row>
    <row r="392">
      <c r="A392" s="86"/>
      <c r="B392" s="86"/>
      <c r="C392" s="86"/>
      <c r="D392" s="86"/>
      <c r="E392" s="552">
        <f t="shared" si="385"/>
        <v>0</v>
      </c>
      <c r="F392" s="557" t="str">
        <f t="shared" si="383"/>
        <v/>
      </c>
      <c r="G392" s="553" t="str">
        <f t="shared" si="384"/>
        <v/>
      </c>
      <c r="I392" s="36" t="str">
        <f>IF(A392="","",IF(OR(F392=1,F392=2,F392=3,F392=4,F392=5),1,SUMIF('Suivi budgétaire'!$A:$A,'Import balance'!A392,'Suivi budgétaire'!$A:$A)+SUMIF('Suivi budgétaire'!$B:$B,'Import balance'!A392,'Suivi budgétaire'!$B:$B)+SUMIF('Suivi budgétaire'!$C:$C,'Import balance'!A392,'Suivi budgétaire'!$C:$C)+SUMIF('Suivi budgétaire'!$D:$D,'Import balance'!A392,'Suivi budgétaire'!$D:$D)+SUMIF('Suivi budgétaire'!$E:$E,'Import balance'!A392,'Suivi budgétaire'!$E:$E)))</f>
        <v/>
      </c>
    </row>
    <row r="393">
      <c r="A393" s="86"/>
      <c r="B393" s="86"/>
      <c r="C393" s="86"/>
      <c r="D393" s="86"/>
      <c r="E393" s="552">
        <f t="shared" si="385"/>
        <v>0</v>
      </c>
      <c r="F393" s="557" t="str">
        <f t="shared" si="383"/>
        <v/>
      </c>
      <c r="G393" s="553" t="str">
        <f t="shared" si="384"/>
        <v/>
      </c>
      <c r="I393" s="36" t="str">
        <f>IF(A393="","",IF(OR(F393=1,F393=2,F393=3,F393=4,F393=5),1,SUMIF('Suivi budgétaire'!$A:$A,'Import balance'!A393,'Suivi budgétaire'!$A:$A)+SUMIF('Suivi budgétaire'!$B:$B,'Import balance'!A393,'Suivi budgétaire'!$B:$B)+SUMIF('Suivi budgétaire'!$C:$C,'Import balance'!A393,'Suivi budgétaire'!$C:$C)+SUMIF('Suivi budgétaire'!$D:$D,'Import balance'!A393,'Suivi budgétaire'!$D:$D)+SUMIF('Suivi budgétaire'!$E:$E,'Import balance'!A393,'Suivi budgétaire'!$E:$E)))</f>
        <v/>
      </c>
    </row>
    <row r="394">
      <c r="A394" s="86"/>
      <c r="B394" s="86"/>
      <c r="C394" s="86"/>
      <c r="D394" s="86"/>
      <c r="E394" s="552">
        <f t="shared" si="385"/>
        <v>0</v>
      </c>
      <c r="F394" s="557" t="str">
        <f t="shared" si="383"/>
        <v/>
      </c>
      <c r="G394" s="553" t="str">
        <f t="shared" si="384"/>
        <v/>
      </c>
      <c r="I394" s="36" t="str">
        <f>IF(A394="","",IF(OR(F394=1,F394=2,F394=3,F394=4,F394=5),1,SUMIF('Suivi budgétaire'!$A:$A,'Import balance'!A394,'Suivi budgétaire'!$A:$A)+SUMIF('Suivi budgétaire'!$B:$B,'Import balance'!A394,'Suivi budgétaire'!$B:$B)+SUMIF('Suivi budgétaire'!$C:$C,'Import balance'!A394,'Suivi budgétaire'!$C:$C)+SUMIF('Suivi budgétaire'!$D:$D,'Import balance'!A394,'Suivi budgétaire'!$D:$D)+SUMIF('Suivi budgétaire'!$E:$E,'Import balance'!A394,'Suivi budgétaire'!$E:$E)))</f>
        <v/>
      </c>
    </row>
    <row r="395">
      <c r="A395" s="86"/>
      <c r="B395" s="86"/>
      <c r="C395" s="86"/>
      <c r="D395" s="86"/>
      <c r="E395" s="552">
        <f t="shared" si="385"/>
        <v>0</v>
      </c>
      <c r="F395" s="557" t="str">
        <f t="shared" si="383"/>
        <v/>
      </c>
      <c r="G395" s="553" t="str">
        <f t="shared" si="384"/>
        <v/>
      </c>
      <c r="I395" s="36" t="str">
        <f>IF(A395="","",IF(OR(F395=1,F395=2,F395=3,F395=4,F395=5),1,SUMIF('Suivi budgétaire'!$A:$A,'Import balance'!A395,'Suivi budgétaire'!$A:$A)+SUMIF('Suivi budgétaire'!$B:$B,'Import balance'!A395,'Suivi budgétaire'!$B:$B)+SUMIF('Suivi budgétaire'!$C:$C,'Import balance'!A395,'Suivi budgétaire'!$C:$C)+SUMIF('Suivi budgétaire'!$D:$D,'Import balance'!A395,'Suivi budgétaire'!$D:$D)+SUMIF('Suivi budgétaire'!$E:$E,'Import balance'!A395,'Suivi budgétaire'!$E:$E)))</f>
        <v/>
      </c>
    </row>
    <row r="396">
      <c r="A396" s="86"/>
      <c r="B396" s="86"/>
      <c r="C396" s="86"/>
      <c r="D396" s="86"/>
      <c r="E396" s="552">
        <f t="shared" si="385"/>
        <v>0</v>
      </c>
      <c r="F396" s="557" t="str">
        <f t="shared" si="383"/>
        <v/>
      </c>
      <c r="G396" s="553" t="str">
        <f t="shared" si="384"/>
        <v/>
      </c>
      <c r="I396" s="36" t="str">
        <f>IF(A396="","",IF(OR(F396=1,F396=2,F396=3,F396=4,F396=5),1,SUMIF('Suivi budgétaire'!$A:$A,'Import balance'!A396,'Suivi budgétaire'!$A:$A)+SUMIF('Suivi budgétaire'!$B:$B,'Import balance'!A396,'Suivi budgétaire'!$B:$B)+SUMIF('Suivi budgétaire'!$C:$C,'Import balance'!A396,'Suivi budgétaire'!$C:$C)+SUMIF('Suivi budgétaire'!$D:$D,'Import balance'!A396,'Suivi budgétaire'!$D:$D)+SUMIF('Suivi budgétaire'!$E:$E,'Import balance'!A396,'Suivi budgétaire'!$E:$E)))</f>
        <v/>
      </c>
    </row>
    <row r="397">
      <c r="A397" s="86"/>
      <c r="B397" s="86"/>
      <c r="C397" s="86"/>
      <c r="D397" s="86"/>
      <c r="E397" s="552">
        <f t="shared" si="385"/>
        <v>0</v>
      </c>
      <c r="F397" s="557" t="str">
        <f t="shared" si="383"/>
        <v/>
      </c>
      <c r="G397" s="553" t="str">
        <f t="shared" si="384"/>
        <v/>
      </c>
      <c r="I397" s="36" t="str">
        <f>IF(A397="","",IF(OR(F397=1,F397=2,F397=3,F397=4,F397=5),1,SUMIF('Suivi budgétaire'!$A:$A,'Import balance'!A397,'Suivi budgétaire'!$A:$A)+SUMIF('Suivi budgétaire'!$B:$B,'Import balance'!A397,'Suivi budgétaire'!$B:$B)+SUMIF('Suivi budgétaire'!$C:$C,'Import balance'!A397,'Suivi budgétaire'!$C:$C)+SUMIF('Suivi budgétaire'!$D:$D,'Import balance'!A397,'Suivi budgétaire'!$D:$D)+SUMIF('Suivi budgétaire'!$E:$E,'Import balance'!A397,'Suivi budgétaire'!$E:$E)))</f>
        <v/>
      </c>
    </row>
    <row r="398">
      <c r="A398" s="86"/>
      <c r="B398" s="86"/>
      <c r="C398" s="86"/>
      <c r="D398" s="86"/>
      <c r="E398" s="552">
        <f t="shared" si="385"/>
        <v>0</v>
      </c>
      <c r="F398" s="557" t="str">
        <f t="shared" si="383"/>
        <v/>
      </c>
      <c r="G398" s="553" t="str">
        <f t="shared" si="384"/>
        <v/>
      </c>
      <c r="I398" s="36" t="str">
        <f>IF(A398="","",IF(OR(F398=1,F398=2,F398=3,F398=4,F398=5),1,SUMIF('Suivi budgétaire'!$A:$A,'Import balance'!A398,'Suivi budgétaire'!$A:$A)+SUMIF('Suivi budgétaire'!$B:$B,'Import balance'!A398,'Suivi budgétaire'!$B:$B)+SUMIF('Suivi budgétaire'!$C:$C,'Import balance'!A398,'Suivi budgétaire'!$C:$C)+SUMIF('Suivi budgétaire'!$D:$D,'Import balance'!A398,'Suivi budgétaire'!$D:$D)+SUMIF('Suivi budgétaire'!$E:$E,'Import balance'!A398,'Suivi budgétaire'!$E:$E)))</f>
        <v/>
      </c>
    </row>
    <row r="399">
      <c r="A399" s="86"/>
      <c r="B399" s="86"/>
      <c r="C399" s="86"/>
      <c r="D399" s="86"/>
      <c r="E399" s="552">
        <f t="shared" si="385"/>
        <v>0</v>
      </c>
      <c r="F399" s="557" t="str">
        <f t="shared" si="383"/>
        <v/>
      </c>
      <c r="G399" s="553" t="str">
        <f t="shared" si="384"/>
        <v/>
      </c>
      <c r="I399" s="36" t="str">
        <f>IF(A399="","",IF(OR(F399=1,F399=2,F399=3,F399=4,F399=5),1,SUMIF('Suivi budgétaire'!$A:$A,'Import balance'!A399,'Suivi budgétaire'!$A:$A)+SUMIF('Suivi budgétaire'!$B:$B,'Import balance'!A399,'Suivi budgétaire'!$B:$B)+SUMIF('Suivi budgétaire'!$C:$C,'Import balance'!A399,'Suivi budgétaire'!$C:$C)+SUMIF('Suivi budgétaire'!$D:$D,'Import balance'!A399,'Suivi budgétaire'!$D:$D)+SUMIF('Suivi budgétaire'!$E:$E,'Import balance'!A399,'Suivi budgétaire'!$E:$E)))</f>
        <v/>
      </c>
    </row>
    <row r="400">
      <c r="A400" s="86"/>
      <c r="B400" s="86"/>
      <c r="C400" s="86"/>
      <c r="D400" s="86"/>
      <c r="E400" s="552">
        <f t="shared" si="385"/>
        <v>0</v>
      </c>
      <c r="F400" s="557" t="str">
        <f t="shared" si="383"/>
        <v/>
      </c>
      <c r="G400" s="553" t="str">
        <f t="shared" si="384"/>
        <v/>
      </c>
      <c r="I400" s="36" t="str">
        <f>IF(A400="","",IF(OR(F400=1,F400=2,F400=3,F400=4,F400=5),1,SUMIF('Suivi budgétaire'!$A:$A,'Import balance'!A400,'Suivi budgétaire'!$A:$A)+SUMIF('Suivi budgétaire'!$B:$B,'Import balance'!A400,'Suivi budgétaire'!$B:$B)+SUMIF('Suivi budgétaire'!$C:$C,'Import balance'!A400,'Suivi budgétaire'!$C:$C)+SUMIF('Suivi budgétaire'!$D:$D,'Import balance'!A400,'Suivi budgétaire'!$D:$D)+SUMIF('Suivi budgétaire'!$E:$E,'Import balance'!A400,'Suivi budgétaire'!$E:$E)))</f>
        <v/>
      </c>
    </row>
    <row r="401">
      <c r="A401" s="86"/>
      <c r="B401" s="86"/>
      <c r="C401" s="86"/>
      <c r="D401" s="86"/>
      <c r="E401" s="552">
        <f t="shared" si="385"/>
        <v>0</v>
      </c>
      <c r="F401" s="557" t="str">
        <f t="shared" si="383"/>
        <v/>
      </c>
      <c r="G401" s="553" t="str">
        <f t="shared" si="384"/>
        <v/>
      </c>
      <c r="I401" s="36" t="str">
        <f>IF(A401="","",IF(OR(F401=1,F401=2,F401=3,F401=4,F401=5),1,SUMIF('Suivi budgétaire'!$A:$A,'Import balance'!A401,'Suivi budgétaire'!$A:$A)+SUMIF('Suivi budgétaire'!$B:$B,'Import balance'!A401,'Suivi budgétaire'!$B:$B)+SUMIF('Suivi budgétaire'!$C:$C,'Import balance'!A401,'Suivi budgétaire'!$C:$C)+SUMIF('Suivi budgétaire'!$D:$D,'Import balance'!A401,'Suivi budgétaire'!$D:$D)+SUMIF('Suivi budgétaire'!$E:$E,'Import balance'!A401,'Suivi budgétaire'!$E:$E)))</f>
        <v/>
      </c>
    </row>
    <row r="402">
      <c r="A402" s="86"/>
      <c r="B402" s="86"/>
      <c r="C402" s="86"/>
      <c r="D402" s="86"/>
      <c r="E402" s="552">
        <f t="shared" si="385"/>
        <v>0</v>
      </c>
      <c r="F402" s="557" t="str">
        <f t="shared" si="383"/>
        <v/>
      </c>
      <c r="G402" s="553" t="str">
        <f t="shared" si="384"/>
        <v/>
      </c>
      <c r="I402" s="36" t="str">
        <f>IF(A402="","",IF(OR(F402=1,F402=2,F402=3,F402=4,F402=5),1,SUMIF('Suivi budgétaire'!$A:$A,'Import balance'!A402,'Suivi budgétaire'!$A:$A)+SUMIF('Suivi budgétaire'!$B:$B,'Import balance'!A402,'Suivi budgétaire'!$B:$B)+SUMIF('Suivi budgétaire'!$C:$C,'Import balance'!A402,'Suivi budgétaire'!$C:$C)+SUMIF('Suivi budgétaire'!$D:$D,'Import balance'!A402,'Suivi budgétaire'!$D:$D)+SUMIF('Suivi budgétaire'!$E:$E,'Import balance'!A402,'Suivi budgétaire'!$E:$E)))</f>
        <v/>
      </c>
    </row>
    <row r="403">
      <c r="A403" s="86"/>
      <c r="B403" s="86"/>
      <c r="C403" s="86"/>
      <c r="D403" s="86"/>
      <c r="E403" s="552">
        <f t="shared" si="385"/>
        <v>0</v>
      </c>
      <c r="F403" s="557" t="str">
        <f t="shared" si="383"/>
        <v/>
      </c>
      <c r="G403" s="553" t="str">
        <f t="shared" si="384"/>
        <v/>
      </c>
      <c r="I403" s="36" t="str">
        <f>IF(A403="","",IF(OR(F403=1,F403=2,F403=3,F403=4,F403=5),1,SUMIF('Suivi budgétaire'!$A:$A,'Import balance'!A403,'Suivi budgétaire'!$A:$A)+SUMIF('Suivi budgétaire'!$B:$B,'Import balance'!A403,'Suivi budgétaire'!$B:$B)+SUMIF('Suivi budgétaire'!$C:$C,'Import balance'!A403,'Suivi budgétaire'!$C:$C)+SUMIF('Suivi budgétaire'!$D:$D,'Import balance'!A403,'Suivi budgétaire'!$D:$D)+SUMIF('Suivi budgétaire'!$E:$E,'Import balance'!A403,'Suivi budgétaire'!$E:$E)))</f>
        <v/>
      </c>
    </row>
    <row r="404">
      <c r="A404" s="86"/>
      <c r="B404" s="86"/>
      <c r="C404" s="86"/>
      <c r="D404" s="86"/>
      <c r="E404" s="552">
        <f t="shared" si="385"/>
        <v>0</v>
      </c>
      <c r="F404" s="557" t="str">
        <f t="shared" si="383"/>
        <v/>
      </c>
      <c r="G404" s="553" t="str">
        <f t="shared" si="384"/>
        <v/>
      </c>
      <c r="I404" s="36" t="str">
        <f>IF(A404="","",IF(OR(F404=1,F404=2,F404=3,F404=4,F404=5),1,SUMIF('Suivi budgétaire'!$A:$A,'Import balance'!A404,'Suivi budgétaire'!$A:$A)+SUMIF('Suivi budgétaire'!$B:$B,'Import balance'!A404,'Suivi budgétaire'!$B:$B)+SUMIF('Suivi budgétaire'!$C:$C,'Import balance'!A404,'Suivi budgétaire'!$C:$C)+SUMIF('Suivi budgétaire'!$D:$D,'Import balance'!A404,'Suivi budgétaire'!$D:$D)+SUMIF('Suivi budgétaire'!$E:$E,'Import balance'!A404,'Suivi budgétaire'!$E:$E)))</f>
        <v/>
      </c>
    </row>
    <row r="405">
      <c r="A405" s="86"/>
      <c r="B405" s="86"/>
      <c r="C405" s="86"/>
      <c r="D405" s="86"/>
      <c r="E405" s="552">
        <f t="shared" si="385"/>
        <v>0</v>
      </c>
      <c r="F405" s="557" t="str">
        <f t="shared" si="383"/>
        <v/>
      </c>
      <c r="G405" s="553" t="str">
        <f t="shared" si="384"/>
        <v/>
      </c>
      <c r="I405" s="36" t="str">
        <f>IF(A405="","",IF(OR(F405=1,F405=2,F405=3,F405=4,F405=5),1,SUMIF('Suivi budgétaire'!$A:$A,'Import balance'!A405,'Suivi budgétaire'!$A:$A)+SUMIF('Suivi budgétaire'!$B:$B,'Import balance'!A405,'Suivi budgétaire'!$B:$B)+SUMIF('Suivi budgétaire'!$C:$C,'Import balance'!A405,'Suivi budgétaire'!$C:$C)+SUMIF('Suivi budgétaire'!$D:$D,'Import balance'!A405,'Suivi budgétaire'!$D:$D)+SUMIF('Suivi budgétaire'!$E:$E,'Import balance'!A405,'Suivi budgétaire'!$E:$E)))</f>
        <v/>
      </c>
    </row>
    <row r="406">
      <c r="A406" s="86"/>
      <c r="B406" s="86"/>
      <c r="C406" s="86"/>
      <c r="D406" s="86"/>
      <c r="E406" s="552">
        <f t="shared" si="385"/>
        <v>0</v>
      </c>
      <c r="F406" s="557" t="str">
        <f t="shared" si="383"/>
        <v/>
      </c>
      <c r="G406" s="553" t="str">
        <f t="shared" si="384"/>
        <v/>
      </c>
      <c r="I406" s="36" t="str">
        <f>IF(A406="","",IF(OR(F406=1,F406=2,F406=3,F406=4,F406=5),1,SUMIF('Suivi budgétaire'!$A:$A,'Import balance'!A406,'Suivi budgétaire'!$A:$A)+SUMIF('Suivi budgétaire'!$B:$B,'Import balance'!A406,'Suivi budgétaire'!$B:$B)+SUMIF('Suivi budgétaire'!$C:$C,'Import balance'!A406,'Suivi budgétaire'!$C:$C)+SUMIF('Suivi budgétaire'!$D:$D,'Import balance'!A406,'Suivi budgétaire'!$D:$D)+SUMIF('Suivi budgétaire'!$E:$E,'Import balance'!A406,'Suivi budgétaire'!$E:$E)))</f>
        <v/>
      </c>
    </row>
    <row r="407">
      <c r="A407" s="86"/>
      <c r="B407" s="86"/>
      <c r="C407" s="559"/>
      <c r="D407" s="559"/>
      <c r="E407" s="552">
        <f t="shared" si="385"/>
        <v>0</v>
      </c>
      <c r="F407" s="557" t="str">
        <f t="shared" si="383"/>
        <v/>
      </c>
      <c r="G407" s="553" t="str">
        <f t="shared" si="384"/>
        <v/>
      </c>
      <c r="I407" s="36" t="str">
        <f>IF(A407="","",IF(OR(F407=1,F407=2,F407=3,F407=4,F407=5),1,SUMIF('Suivi budgétaire'!$A:$A,'Import balance'!A407,'Suivi budgétaire'!$A:$A)+SUMIF('Suivi budgétaire'!$B:$B,'Import balance'!A407,'Suivi budgétaire'!$B:$B)+SUMIF('Suivi budgétaire'!$C:$C,'Import balance'!A407,'Suivi budgétaire'!$C:$C)+SUMIF('Suivi budgétaire'!$D:$D,'Import balance'!A407,'Suivi budgétaire'!$D:$D)+SUMIF('Suivi budgétaire'!$E:$E,'Import balance'!A407,'Suivi budgétaire'!$E:$E)))</f>
        <v/>
      </c>
    </row>
    <row r="408">
      <c r="A408" s="86"/>
      <c r="B408" s="86"/>
      <c r="C408" s="86"/>
      <c r="D408" s="559"/>
      <c r="E408" s="552">
        <f t="shared" si="385"/>
        <v>0</v>
      </c>
      <c r="F408" s="557" t="str">
        <f t="shared" si="383"/>
        <v/>
      </c>
      <c r="G408" s="553" t="str">
        <f t="shared" si="384"/>
        <v/>
      </c>
      <c r="I408" s="36" t="str">
        <f>IF(A408="","",IF(OR(F408=1,F408=2,F408=3,F408=4,F408=5),1,SUMIF('Suivi budgétaire'!$A:$A,'Import balance'!A408,'Suivi budgétaire'!$A:$A)+SUMIF('Suivi budgétaire'!$B:$B,'Import balance'!A408,'Suivi budgétaire'!$B:$B)+SUMIF('Suivi budgétaire'!$C:$C,'Import balance'!A408,'Suivi budgétaire'!$C:$C)+SUMIF('Suivi budgétaire'!$D:$D,'Import balance'!A408,'Suivi budgétaire'!$D:$D)+SUMIF('Suivi budgétaire'!$E:$E,'Import balance'!A408,'Suivi budgétaire'!$E:$E)))</f>
        <v/>
      </c>
    </row>
    <row r="409">
      <c r="A409" s="86"/>
      <c r="B409" s="86"/>
      <c r="C409" s="559"/>
      <c r="D409" s="559"/>
      <c r="E409" s="552">
        <f t="shared" si="385"/>
        <v>0</v>
      </c>
      <c r="F409" s="557" t="str">
        <f t="shared" si="383"/>
        <v/>
      </c>
      <c r="G409" s="553" t="str">
        <f t="shared" si="384"/>
        <v/>
      </c>
      <c r="I409" s="36" t="str">
        <f>IF(A409="","",IF(OR(F409=1,F409=2,F409=3,F409=4,F409=5),1,SUMIF('Suivi budgétaire'!$A:$A,'Import balance'!A409,'Suivi budgétaire'!$A:$A)+SUMIF('Suivi budgétaire'!$B:$B,'Import balance'!A409,'Suivi budgétaire'!$B:$B)+SUMIF('Suivi budgétaire'!$C:$C,'Import balance'!A409,'Suivi budgétaire'!$C:$C)+SUMIF('Suivi budgétaire'!$D:$D,'Import balance'!A409,'Suivi budgétaire'!$D:$D)+SUMIF('Suivi budgétaire'!$E:$E,'Import balance'!A409,'Suivi budgétaire'!$E:$E)))</f>
        <v/>
      </c>
    </row>
    <row r="410">
      <c r="A410" s="86"/>
      <c r="B410" s="86"/>
      <c r="C410" s="559"/>
      <c r="D410" s="86"/>
      <c r="E410" s="552">
        <f t="shared" si="385"/>
        <v>0</v>
      </c>
      <c r="F410" s="557" t="str">
        <f t="shared" si="383"/>
        <v/>
      </c>
      <c r="G410" s="553" t="str">
        <f t="shared" si="384"/>
        <v/>
      </c>
      <c r="I410" s="36" t="str">
        <f>IF(A410="","",IF(OR(F410=1,F410=2,F410=3,F410=4,F410=5),1,SUMIF('Suivi budgétaire'!$A:$A,'Import balance'!A410,'Suivi budgétaire'!$A:$A)+SUMIF('Suivi budgétaire'!$B:$B,'Import balance'!A410,'Suivi budgétaire'!$B:$B)+SUMIF('Suivi budgétaire'!$C:$C,'Import balance'!A410,'Suivi budgétaire'!$C:$C)+SUMIF('Suivi budgétaire'!$D:$D,'Import balance'!A410,'Suivi budgétaire'!$D:$D)+SUMIF('Suivi budgétaire'!$E:$E,'Import balance'!A410,'Suivi budgétaire'!$E:$E)))</f>
        <v/>
      </c>
    </row>
    <row r="411">
      <c r="A411" s="86"/>
      <c r="B411" s="86"/>
      <c r="C411" s="559"/>
      <c r="D411" s="559"/>
      <c r="E411" s="552">
        <f t="shared" si="385"/>
        <v>0</v>
      </c>
      <c r="F411" s="557" t="str">
        <f t="shared" si="383"/>
        <v/>
      </c>
      <c r="G411" s="553" t="str">
        <f t="shared" si="384"/>
        <v/>
      </c>
      <c r="I411" s="36" t="str">
        <f>IF(A411="","",IF(OR(F411=1,F411=2,F411=3,F411=4,F411=5),1,SUMIF('Suivi budgétaire'!$A:$A,'Import balance'!A411,'Suivi budgétaire'!$A:$A)+SUMIF('Suivi budgétaire'!$B:$B,'Import balance'!A411,'Suivi budgétaire'!$B:$B)+SUMIF('Suivi budgétaire'!$C:$C,'Import balance'!A411,'Suivi budgétaire'!$C:$C)+SUMIF('Suivi budgétaire'!$D:$D,'Import balance'!A411,'Suivi budgétaire'!$D:$D)+SUMIF('Suivi budgétaire'!$E:$E,'Import balance'!A411,'Suivi budgétaire'!$E:$E)))</f>
        <v/>
      </c>
    </row>
  </sheetData>
  <mergeCells count="1">
    <mergeCell ref="A1:D1"/>
  </mergeCells>
  <printOptions headings="0" gridLines="0"/>
  <pageMargins left="0.69999999999999996" right="0.69999999999999996" top="0.75" bottom="0.75" header="0.29999999999999999" footer="0.29999999999999999"/>
  <pageSetup paperSize="9" scale="100" fitToWidth="1" fitToHeight="1" pageOrder="downThenOver" orientation="portrait" usePrinterDefaults="1" blackAndWhite="0" draft="0" cellComments="none" useFirstPageNumber="0" errors="displayed" horizontalDpi="600" verticalDpi="0" copies="1"/>
  <headerFooter/>
  <drawing r:id="rId1"/>
  <extLst>
    <ext xmlns:x14="http://schemas.microsoft.com/office/spreadsheetml/2009/9/main" uri="{78C0D931-6437-407d-A8EE-F0AAD7539E65}">
      <x14:conditionalFormattings>
        <x14:conditionalFormatting xmlns:xm="http://schemas.microsoft.com/office/excel/2006/main">
          <x14:cfRule type="cellIs" priority="1" operator="equal" id="{005200A1-00A1-4465-8DD0-002F005B00C5}">
            <xm:f>0</xm:f>
            <x14:dxf>
              <font>
                <color indexed="2"/>
              </font>
              <fill>
                <patternFill patternType="solid">
                  <fgColor indexed="2"/>
                  <bgColor indexed="2"/>
                </patternFill>
              </fill>
            </x14:dxf>
          </x14:cfRule>
          <xm:sqref>I:I</xm:sqref>
        </x14:conditionalFormatting>
        <x14:conditionalFormatting xmlns:xm="http://schemas.microsoft.com/office/excel/2006/main">
          <x14:cfRule type="cellIs" priority="2" operator="notEqual" id="{009400DD-0018-4862-BF2F-006C0011003D}">
            <xm:f>0</xm:f>
            <x14:dxf>
              <font>
                <color theme="0"/>
              </font>
            </x14:dxf>
          </x14:cfRule>
          <xm:sqref>I:I</xm:sqref>
        </x14:conditionalFormatting>
      </x14:conditionalFormattings>
    </ext>
  </extLst>
</worksheet>
</file>

<file path=xl/worksheets/sheet2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sheetViews>
    <sheetView zoomScale="100" workbookViewId="0">
      <selection activeCell="A1" activeCellId="0" sqref="A1"/>
    </sheetView>
  </sheetViews>
  <sheetFormatPr baseColWidth="10" defaultColWidth="10.6640625" defaultRowHeight="14.4"/>
  <cols>
    <col customWidth="1" min="1" max="3" width="24.33203125"/>
    <col min="4" max="20" style="36" width="10.6640625"/>
  </cols>
  <sheetData>
    <row r="1" ht="18">
      <c r="A1" s="560" t="s">
        <v>481</v>
      </c>
      <c r="B1" s="560" t="s">
        <v>482</v>
      </c>
      <c r="C1" s="560" t="s">
        <v>483</v>
      </c>
      <c r="D1" s="561"/>
      <c r="E1" s="561"/>
      <c r="F1" s="561"/>
      <c r="G1" s="561"/>
      <c r="H1" s="561"/>
      <c r="I1" s="561"/>
      <c r="J1" s="561"/>
      <c r="K1" s="561"/>
      <c r="L1" s="561"/>
      <c r="M1" s="561"/>
      <c r="N1" s="561"/>
    </row>
    <row r="2" ht="15">
      <c r="A2" s="562" t="s">
        <v>108</v>
      </c>
      <c r="B2" s="562" t="s">
        <v>484</v>
      </c>
      <c r="C2" s="563"/>
    </row>
    <row r="3" ht="15">
      <c r="A3" s="562" t="s">
        <v>110</v>
      </c>
      <c r="B3" s="562" t="s">
        <v>484</v>
      </c>
      <c r="C3" s="563"/>
    </row>
    <row r="4" ht="15">
      <c r="A4" s="562" t="s">
        <v>126</v>
      </c>
      <c r="B4" s="562" t="s">
        <v>484</v>
      </c>
      <c r="C4" s="563"/>
    </row>
    <row r="5" ht="15">
      <c r="A5" s="562" t="s">
        <v>111</v>
      </c>
      <c r="B5" s="562" t="s">
        <v>484</v>
      </c>
      <c r="C5" s="563"/>
    </row>
    <row r="6" ht="15">
      <c r="A6" s="564" t="s">
        <v>183</v>
      </c>
      <c r="B6" s="565" t="s">
        <v>484</v>
      </c>
      <c r="C6" s="566"/>
    </row>
    <row r="7" s="36" customFormat="1"/>
    <row r="8" s="36" customFormat="1"/>
    <row r="9" s="36" customFormat="1"/>
    <row r="10" s="36" customFormat="1"/>
    <row r="11" s="36" customFormat="1"/>
    <row r="12" s="36" customFormat="1"/>
    <row r="13" s="36" customFormat="1"/>
    <row r="14" s="36" customFormat="1"/>
    <row r="15" s="36" customFormat="1"/>
    <row r="16" s="36" customFormat="1"/>
    <row r="17" s="36" customFormat="1"/>
    <row r="18" s="36" customFormat="1"/>
    <row r="19" s="36" customFormat="1"/>
    <row r="20" s="36" customFormat="1"/>
    <row r="21" s="36" customFormat="1"/>
    <row r="22" s="36" customFormat="1"/>
    <row r="23" s="36" customFormat="1"/>
    <row r="24" s="36" customFormat="1"/>
    <row r="25" s="36" customFormat="1"/>
    <row r="26" s="36" customFormat="1"/>
    <row r="27" s="36" customFormat="1"/>
    <row r="28" s="36" customFormat="1"/>
    <row r="29" s="36" customFormat="1"/>
    <row r="30" s="36" customFormat="1"/>
    <row r="31" s="36" customFormat="1"/>
    <row r="32" s="36" customFormat="1"/>
    <row r="33" s="36" customFormat="1"/>
    <row r="34" s="36" customFormat="1"/>
    <row r="35" s="36" customFormat="1"/>
    <row r="36" s="36" customFormat="1"/>
    <row r="37" s="36" customFormat="1"/>
    <row r="38" s="36" customFormat="1"/>
    <row r="39" s="36" customFormat="1"/>
    <row r="40" s="36" customFormat="1"/>
    <row r="41" s="36" customFormat="1"/>
    <row r="42" s="36" customFormat="1"/>
    <row r="43" s="36" customFormat="1"/>
    <row r="44" s="36" customFormat="1"/>
    <row r="45" s="36" customFormat="1"/>
    <row r="46" s="36" customFormat="1"/>
    <row r="47" s="36" customFormat="1"/>
    <row r="48" s="36" customFormat="1"/>
    <row r="49" s="36" customFormat="1"/>
    <row r="50" s="36" customFormat="1"/>
    <row r="51" s="36" customFormat="1"/>
    <row r="52" s="36" customFormat="1"/>
    <row r="53" s="36" customFormat="1"/>
    <row r="54" s="36" customFormat="1"/>
    <row r="55" s="36" customFormat="1"/>
    <row r="56" s="36" customFormat="1"/>
    <row r="57" s="36" customFormat="1"/>
    <row r="58" s="36" customFormat="1"/>
    <row r="59" s="36" customFormat="1"/>
    <row r="60" s="36" customFormat="1"/>
    <row r="61" s="36" customFormat="1"/>
    <row r="62" s="36" customFormat="1"/>
    <row r="63" s="36" customFormat="1"/>
    <row r="64" s="36" customFormat="1"/>
    <row r="65" s="36" customFormat="1"/>
    <row r="66" s="36" customFormat="1"/>
    <row r="67" s="36" customFormat="1"/>
    <row r="68" s="36" customFormat="1"/>
    <row r="69" s="36" customFormat="1"/>
    <row r="70" s="36" customFormat="1"/>
    <row r="71" s="36" customFormat="1"/>
    <row r="72" s="36" customFormat="1"/>
    <row r="73" s="36" customFormat="1"/>
    <row r="74" s="36" customFormat="1"/>
    <row r="75" s="36" customFormat="1"/>
    <row r="76" s="36" customFormat="1"/>
    <row r="77" s="36" customFormat="1"/>
    <row r="78" s="36" customFormat="1"/>
    <row r="79" s="36" customFormat="1"/>
    <row r="80" s="36" customFormat="1"/>
  </sheetData>
  <printOptions headings="0" gridLines="0"/>
  <pageMargins left="0.69999999999999996" right="0.69999999999999996" top="0.75" bottom="0.75" header="0.29999999999999999" footer="0.29999999999999999"/>
  <pageSetup paperSize="9" scale="100" fitToWidth="1" fitToHeight="1" pageOrder="downThenOver" orientation="portrait" usePrinterDefaults="1" blackAndWhite="0" draft="0" cellComments="none" useFirstPageNumber="0" errors="displayed" horizontalDpi="600" verticalDpi="0" copies="1"/>
  <headerFooter/>
  <drawing r:id="rId1"/>
  <extLst>
    <ext xmlns:x14="http://schemas.microsoft.com/office/spreadsheetml/2009/9/main" uri="{CCE6A557-97BC-4b89-ADB6-D9C93CAAB3DF}">
      <x14:dataValidations xmlns:xm="http://schemas.microsoft.com/office/excel/2006/main" count="1" disablePrompts="0">
        <x14:dataValidation xr:uid="{00E2005C-009B-40CB-9E92-008B0003004D}" type="list" allowBlank="1" errorStyle="stop" imeMode="noControl" operator="between" showDropDown="0" showErrorMessage="1" showInputMessage="1">
          <x14:formula1>
            <xm:f>"OUI,NON"</xm:f>
          </x14:formula1>
          <xm:sqref>B2:B6</xm:sqref>
        </x14:dataValidation>
      </x14:dataValidations>
    </ext>
  </extLst>
</worksheet>
</file>

<file path=xl/worksheets/sheet2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sheetViews>
    <sheetView topLeftCell="A29" zoomScale="100" workbookViewId="0">
      <selection activeCell="A11" activeCellId="0" sqref="A11:O19"/>
    </sheetView>
  </sheetViews>
  <sheetFormatPr baseColWidth="10" defaultColWidth="10.88671875" defaultRowHeight="14.4"/>
  <cols>
    <col min="1" max="16384" style="36" width="10.88671875"/>
  </cols>
  <sheetData>
    <row r="3">
      <c r="G3" s="567" t="s">
        <v>485</v>
      </c>
      <c r="H3" s="567"/>
      <c r="I3" s="567"/>
      <c r="J3" s="567"/>
      <c r="K3" s="567"/>
      <c r="L3" s="567"/>
      <c r="M3" s="567"/>
      <c r="N3" s="567"/>
      <c r="O3" s="567"/>
    </row>
    <row r="4">
      <c r="G4" s="567"/>
      <c r="H4" s="567"/>
      <c r="I4" s="567"/>
      <c r="J4" s="567"/>
      <c r="K4" s="567"/>
      <c r="L4" s="567"/>
      <c r="M4" s="567"/>
      <c r="N4" s="567"/>
      <c r="O4" s="567"/>
    </row>
    <row r="5">
      <c r="G5" s="567"/>
      <c r="H5" s="567"/>
      <c r="I5" s="567"/>
      <c r="J5" s="567"/>
      <c r="K5" s="567"/>
      <c r="L5" s="567"/>
      <c r="M5" s="567"/>
      <c r="N5" s="567"/>
      <c r="O5" s="567"/>
    </row>
    <row r="7">
      <c r="N7"/>
    </row>
    <row r="10" ht="15">
      <c r="A10" s="158"/>
      <c r="B10" s="158"/>
      <c r="C10" s="158"/>
      <c r="D10" s="158"/>
      <c r="E10" s="158"/>
      <c r="F10" s="158"/>
      <c r="G10" s="158"/>
      <c r="H10" s="158"/>
      <c r="I10" s="158"/>
      <c r="J10" s="158"/>
      <c r="K10" s="158"/>
      <c r="L10" s="158"/>
      <c r="M10" s="158"/>
      <c r="N10" s="158"/>
      <c r="O10" s="158"/>
    </row>
    <row r="11" ht="15">
      <c r="A11" s="568" t="s">
        <v>486</v>
      </c>
      <c r="B11" s="568"/>
      <c r="C11" s="568"/>
      <c r="D11" s="568"/>
      <c r="E11" s="568"/>
      <c r="F11" s="568"/>
      <c r="G11" s="568"/>
      <c r="H11" s="568"/>
      <c r="I11" s="568"/>
      <c r="J11" s="568"/>
      <c r="K11" s="568"/>
      <c r="L11" s="568"/>
      <c r="M11" s="568"/>
      <c r="N11" s="568"/>
      <c r="O11" s="568"/>
    </row>
    <row r="12">
      <c r="A12" s="568"/>
      <c r="B12" s="568"/>
      <c r="C12" s="568"/>
      <c r="D12" s="568"/>
      <c r="E12" s="568"/>
      <c r="F12" s="568"/>
      <c r="G12" s="568"/>
      <c r="H12" s="568"/>
      <c r="I12" s="568"/>
      <c r="J12" s="568"/>
      <c r="K12" s="568"/>
      <c r="L12" s="568"/>
      <c r="M12" s="568"/>
      <c r="N12" s="568"/>
      <c r="O12" s="568"/>
    </row>
    <row r="13">
      <c r="A13" s="568"/>
      <c r="B13" s="568"/>
      <c r="C13" s="568"/>
      <c r="D13" s="568"/>
      <c r="E13" s="568"/>
      <c r="F13" s="568"/>
      <c r="G13" s="568"/>
      <c r="H13" s="568"/>
      <c r="I13" s="568"/>
      <c r="J13" s="568"/>
      <c r="K13" s="568"/>
      <c r="L13" s="568"/>
      <c r="M13" s="568"/>
      <c r="N13" s="568"/>
      <c r="O13" s="568"/>
    </row>
    <row r="14">
      <c r="A14" s="568"/>
      <c r="B14" s="568"/>
      <c r="C14" s="568"/>
      <c r="D14" s="568"/>
      <c r="E14" s="568"/>
      <c r="F14" s="568"/>
      <c r="G14" s="568"/>
      <c r="H14" s="568"/>
      <c r="I14" s="568"/>
      <c r="J14" s="568"/>
      <c r="K14" s="568"/>
      <c r="L14" s="568"/>
      <c r="M14" s="568"/>
      <c r="N14" s="568"/>
      <c r="O14" s="568"/>
    </row>
    <row r="15">
      <c r="A15" s="568"/>
      <c r="B15" s="568"/>
      <c r="C15" s="568"/>
      <c r="D15" s="568"/>
      <c r="E15" s="568"/>
      <c r="F15" s="568"/>
      <c r="G15" s="568"/>
      <c r="H15" s="568"/>
      <c r="I15" s="568"/>
      <c r="J15" s="568"/>
      <c r="K15" s="568"/>
      <c r="L15" s="568"/>
      <c r="M15" s="568"/>
      <c r="N15" s="568"/>
      <c r="O15" s="568"/>
    </row>
    <row r="16">
      <c r="A16" s="568"/>
      <c r="B16" s="568"/>
      <c r="C16" s="568"/>
      <c r="D16" s="568"/>
      <c r="E16" s="568"/>
      <c r="F16" s="568"/>
      <c r="G16" s="568"/>
      <c r="H16" s="568"/>
      <c r="I16" s="568"/>
      <c r="J16" s="568"/>
      <c r="K16" s="568"/>
      <c r="L16" s="568"/>
      <c r="M16" s="568"/>
      <c r="N16" s="568"/>
      <c r="O16" s="568"/>
    </row>
    <row r="17">
      <c r="A17" s="568"/>
      <c r="B17" s="568"/>
      <c r="C17" s="568"/>
      <c r="D17" s="568"/>
      <c r="E17" s="568"/>
      <c r="F17" s="568"/>
      <c r="G17" s="568"/>
      <c r="H17" s="568"/>
      <c r="I17" s="568"/>
      <c r="J17" s="568"/>
      <c r="K17" s="568"/>
      <c r="L17" s="568"/>
      <c r="M17" s="568"/>
      <c r="N17" s="568"/>
      <c r="O17" s="568"/>
    </row>
    <row r="18">
      <c r="A18" s="568"/>
      <c r="B18" s="568"/>
      <c r="C18" s="568"/>
      <c r="D18" s="568"/>
      <c r="E18" s="568"/>
      <c r="F18" s="568"/>
      <c r="G18" s="568"/>
      <c r="H18" s="568"/>
      <c r="I18" s="568"/>
      <c r="J18" s="568"/>
      <c r="K18" s="568"/>
      <c r="L18" s="568"/>
      <c r="M18" s="568"/>
      <c r="N18" s="568"/>
      <c r="O18" s="568"/>
    </row>
    <row r="19" ht="105" customHeight="1">
      <c r="A19" s="568"/>
      <c r="B19" s="568"/>
      <c r="C19" s="568"/>
      <c r="D19" s="568"/>
      <c r="E19" s="568"/>
      <c r="F19" s="568"/>
      <c r="G19" s="568"/>
      <c r="H19" s="568"/>
      <c r="I19" s="568"/>
      <c r="J19" s="568"/>
      <c r="K19" s="568"/>
      <c r="L19" s="568"/>
      <c r="M19" s="568"/>
      <c r="N19" s="568"/>
      <c r="O19" s="568"/>
    </row>
    <row r="20">
      <c r="A20" s="62" t="s">
        <v>487</v>
      </c>
    </row>
    <row r="21">
      <c r="A21" s="569"/>
      <c r="B21" s="570"/>
      <c r="C21" s="570"/>
      <c r="D21" s="571"/>
      <c r="E21" s="36" t="s">
        <v>488</v>
      </c>
    </row>
    <row r="22">
      <c r="A22" s="572"/>
      <c r="B22" s="573"/>
      <c r="C22" s="573"/>
      <c r="D22" s="574"/>
      <c r="E22" s="36" t="s">
        <v>489</v>
      </c>
    </row>
    <row r="23" ht="13.949999999999999" customHeight="1">
      <c r="A23" s="568"/>
      <c r="B23" s="568"/>
      <c r="C23" s="568"/>
      <c r="D23" s="568"/>
      <c r="E23" s="568"/>
      <c r="F23" s="568"/>
      <c r="G23" s="568"/>
      <c r="H23" s="568"/>
      <c r="I23" s="568"/>
      <c r="J23" s="568"/>
      <c r="K23" s="568"/>
      <c r="L23" s="568"/>
      <c r="M23" s="568"/>
      <c r="N23" s="568"/>
      <c r="O23" s="568"/>
    </row>
    <row r="24">
      <c r="A24" s="62" t="s">
        <v>490</v>
      </c>
    </row>
    <row r="25" ht="30.449999999999999" customHeight="1">
      <c r="A25" s="575" t="s">
        <v>491</v>
      </c>
      <c r="B25" s="575"/>
      <c r="C25" s="575"/>
      <c r="D25" s="575"/>
      <c r="E25" s="575"/>
      <c r="F25" s="575"/>
      <c r="G25" s="575"/>
      <c r="H25" s="575"/>
      <c r="I25" s="575"/>
      <c r="J25" s="575"/>
      <c r="K25" s="575"/>
      <c r="L25" s="575"/>
      <c r="M25" s="575"/>
      <c r="N25" s="575"/>
      <c r="O25" s="575"/>
    </row>
    <row r="26" ht="43.5" customHeight="1">
      <c r="A26" s="576" t="s">
        <v>492</v>
      </c>
      <c r="B26" s="576"/>
      <c r="C26" s="576"/>
      <c r="D26" s="576"/>
      <c r="E26" s="576"/>
      <c r="F26" s="576"/>
      <c r="G26" s="576"/>
      <c r="H26" s="576"/>
      <c r="I26" s="576"/>
      <c r="J26" s="576"/>
      <c r="K26" s="576"/>
      <c r="L26" s="576"/>
      <c r="M26" s="576"/>
      <c r="N26" s="576"/>
      <c r="O26" s="576"/>
    </row>
    <row r="27" ht="30.449999999999999" customHeight="1">
      <c r="A27" s="576"/>
      <c r="B27" s="576"/>
      <c r="C27" s="576"/>
      <c r="D27" s="576"/>
      <c r="E27" s="576"/>
      <c r="F27" s="576"/>
      <c r="G27" s="576"/>
      <c r="H27" s="576"/>
      <c r="I27" s="576"/>
      <c r="J27" s="576"/>
      <c r="K27" s="576"/>
      <c r="L27" s="576"/>
      <c r="M27" s="576"/>
      <c r="N27" s="576"/>
      <c r="O27" s="576"/>
    </row>
    <row r="28">
      <c r="A28" s="577" t="s">
        <v>493</v>
      </c>
      <c r="B28" s="578"/>
      <c r="C28" s="578"/>
      <c r="D28" s="578"/>
      <c r="E28" s="578"/>
      <c r="F28" s="578"/>
      <c r="G28" s="578"/>
      <c r="H28" s="578"/>
      <c r="I28" s="578"/>
      <c r="J28" s="578"/>
      <c r="K28" s="578"/>
      <c r="L28" s="578"/>
      <c r="M28" s="578"/>
      <c r="N28" s="578"/>
      <c r="O28" s="578"/>
    </row>
    <row r="29">
      <c r="A29" s="578"/>
      <c r="B29" s="578"/>
      <c r="C29" s="578"/>
      <c r="D29" s="578"/>
      <c r="E29" s="578"/>
      <c r="F29" s="578"/>
      <c r="G29" s="578"/>
      <c r="H29" s="578"/>
      <c r="I29" s="578"/>
      <c r="J29" s="578"/>
      <c r="K29" s="578"/>
      <c r="L29" s="578"/>
      <c r="M29" s="578"/>
      <c r="N29" s="578"/>
      <c r="O29" s="578"/>
    </row>
    <row r="30">
      <c r="A30" s="578"/>
      <c r="B30" s="578"/>
      <c r="C30" s="578"/>
      <c r="D30" s="578"/>
      <c r="E30" s="578"/>
      <c r="F30" s="578"/>
      <c r="G30" s="578"/>
      <c r="H30" s="578"/>
      <c r="I30" s="578"/>
      <c r="J30" s="578"/>
      <c r="K30" s="578"/>
      <c r="L30" s="578"/>
      <c r="M30" s="578"/>
      <c r="N30" s="578"/>
      <c r="O30" s="578"/>
    </row>
    <row r="31">
      <c r="A31" s="578"/>
      <c r="B31" s="578"/>
      <c r="C31" s="578"/>
      <c r="D31" s="578"/>
      <c r="E31" s="578"/>
      <c r="F31" s="578"/>
      <c r="G31" s="578"/>
      <c r="H31" s="578"/>
      <c r="I31" s="578"/>
      <c r="J31" s="578"/>
      <c r="K31" s="578"/>
      <c r="L31" s="578"/>
      <c r="M31" s="578"/>
      <c r="N31" s="578"/>
      <c r="O31" s="578"/>
    </row>
    <row r="32">
      <c r="A32" s="578"/>
      <c r="B32" s="578"/>
      <c r="C32" s="578"/>
      <c r="D32" s="578"/>
      <c r="E32" s="578"/>
      <c r="F32" s="578"/>
      <c r="G32" s="578"/>
      <c r="H32" s="578"/>
      <c r="I32" s="578"/>
      <c r="J32" s="578"/>
      <c r="K32" s="578"/>
      <c r="L32" s="578"/>
      <c r="M32" s="578"/>
      <c r="N32" s="578"/>
      <c r="O32" s="578"/>
    </row>
    <row r="33">
      <c r="A33" s="578"/>
      <c r="B33" s="578"/>
      <c r="C33" s="578"/>
      <c r="D33" s="578"/>
      <c r="E33" s="578"/>
      <c r="F33" s="578"/>
      <c r="G33" s="578"/>
      <c r="H33" s="578"/>
      <c r="I33" s="578"/>
      <c r="J33" s="578"/>
      <c r="K33" s="578"/>
      <c r="L33" s="578"/>
      <c r="M33" s="578"/>
      <c r="N33" s="578"/>
      <c r="O33" s="578"/>
    </row>
    <row r="34">
      <c r="A34" s="578"/>
      <c r="B34" s="578"/>
      <c r="C34" s="578"/>
      <c r="D34" s="578"/>
      <c r="E34" s="578"/>
      <c r="F34" s="578"/>
      <c r="G34" s="578"/>
      <c r="H34" s="578"/>
      <c r="I34" s="578"/>
      <c r="J34" s="578"/>
      <c r="K34" s="578"/>
      <c r="L34" s="578"/>
      <c r="M34" s="578"/>
      <c r="N34" s="578"/>
      <c r="O34" s="578"/>
    </row>
    <row r="35">
      <c r="A35" s="578"/>
      <c r="B35" s="578"/>
      <c r="C35" s="578"/>
      <c r="D35" s="578"/>
      <c r="E35" s="578"/>
      <c r="F35" s="578"/>
      <c r="G35" s="578"/>
      <c r="H35" s="578"/>
      <c r="I35" s="578"/>
      <c r="J35" s="578"/>
      <c r="K35" s="578"/>
      <c r="L35" s="578"/>
      <c r="M35" s="578"/>
      <c r="N35" s="578"/>
      <c r="O35" s="578"/>
    </row>
    <row r="36">
      <c r="A36" s="578"/>
      <c r="B36" s="578"/>
      <c r="C36" s="578"/>
      <c r="D36" s="578"/>
      <c r="E36" s="578"/>
      <c r="F36" s="578"/>
      <c r="G36" s="578"/>
      <c r="H36" s="578"/>
      <c r="I36" s="578"/>
      <c r="J36" s="578"/>
      <c r="K36" s="578"/>
      <c r="L36" s="578"/>
      <c r="M36" s="578"/>
      <c r="N36" s="578"/>
      <c r="O36" s="578"/>
    </row>
    <row r="37">
      <c r="A37" s="578"/>
      <c r="B37" s="578"/>
      <c r="C37" s="578"/>
      <c r="D37" s="578"/>
      <c r="E37" s="578"/>
      <c r="F37" s="578"/>
      <c r="G37" s="578"/>
      <c r="H37" s="578"/>
      <c r="I37" s="578"/>
      <c r="J37" s="578"/>
      <c r="K37" s="578"/>
      <c r="L37" s="578"/>
      <c r="M37" s="578"/>
      <c r="N37" s="578"/>
      <c r="O37" s="578"/>
    </row>
    <row r="38" ht="166.94999999999999" customHeight="1">
      <c r="A38" s="578"/>
      <c r="B38" s="578"/>
      <c r="C38" s="578"/>
      <c r="D38" s="578"/>
      <c r="E38" s="578"/>
      <c r="F38" s="578"/>
      <c r="G38" s="578"/>
      <c r="H38" s="578"/>
      <c r="I38" s="578"/>
      <c r="J38" s="578"/>
      <c r="K38" s="578"/>
      <c r="L38" s="578"/>
      <c r="M38" s="578"/>
      <c r="N38" s="578"/>
      <c r="O38" s="578"/>
    </row>
    <row r="39">
      <c r="A39" s="52"/>
      <c r="B39" s="52"/>
      <c r="C39" s="52"/>
      <c r="D39" s="52"/>
      <c r="E39" s="52"/>
      <c r="F39" s="52"/>
      <c r="G39" s="52"/>
      <c r="H39" s="52"/>
      <c r="I39" s="52"/>
      <c r="J39" s="52"/>
      <c r="K39" s="52"/>
      <c r="L39" s="52"/>
      <c r="M39" s="52"/>
      <c r="N39" s="52"/>
      <c r="O39" s="52"/>
    </row>
    <row r="40">
      <c r="A40" s="579" t="s">
        <v>494</v>
      </c>
      <c r="B40" s="579"/>
      <c r="C40" s="579"/>
      <c r="D40" s="579"/>
      <c r="E40" s="579"/>
      <c r="F40" s="579"/>
      <c r="G40" s="579"/>
      <c r="H40" s="579"/>
      <c r="I40" s="579"/>
      <c r="J40" s="579"/>
      <c r="K40" s="579"/>
      <c r="L40" s="579"/>
      <c r="M40" s="579"/>
      <c r="N40" s="579"/>
      <c r="O40" s="579"/>
    </row>
    <row r="41">
      <c r="A41" s="579"/>
      <c r="B41" s="579"/>
      <c r="C41" s="579"/>
      <c r="D41" s="579"/>
      <c r="E41" s="579"/>
      <c r="F41" s="579"/>
      <c r="G41" s="579"/>
      <c r="H41" s="579"/>
      <c r="I41" s="579"/>
      <c r="J41" s="579"/>
      <c r="K41" s="579"/>
      <c r="L41" s="579"/>
      <c r="M41" s="579"/>
      <c r="N41" s="579"/>
      <c r="O41" s="579"/>
    </row>
    <row r="42">
      <c r="A42" s="579"/>
      <c r="B42" s="579"/>
      <c r="C42" s="579"/>
      <c r="D42" s="579"/>
      <c r="E42" s="579"/>
      <c r="F42" s="579"/>
      <c r="G42" s="579"/>
      <c r="H42" s="579"/>
      <c r="I42" s="579"/>
      <c r="J42" s="579"/>
      <c r="K42" s="579"/>
      <c r="L42" s="579"/>
      <c r="M42" s="579"/>
      <c r="N42" s="579"/>
      <c r="O42" s="579"/>
    </row>
    <row r="43">
      <c r="A43" s="579"/>
      <c r="B43" s="579"/>
      <c r="C43" s="579"/>
      <c r="D43" s="579"/>
      <c r="E43" s="579"/>
      <c r="F43" s="579"/>
      <c r="G43" s="579"/>
      <c r="H43" s="579"/>
      <c r="I43" s="579"/>
      <c r="J43" s="579"/>
      <c r="K43" s="579"/>
      <c r="L43" s="579"/>
      <c r="M43" s="579"/>
      <c r="N43" s="579"/>
      <c r="O43" s="579"/>
    </row>
    <row r="44">
      <c r="A44" s="52"/>
      <c r="B44" s="52"/>
      <c r="C44" s="52"/>
      <c r="D44" s="52"/>
      <c r="E44" s="52"/>
      <c r="F44" s="52"/>
      <c r="G44" s="52"/>
      <c r="H44" s="52"/>
      <c r="I44" s="52"/>
      <c r="J44" s="52"/>
      <c r="K44" s="52"/>
      <c r="L44" s="52"/>
      <c r="M44" s="52"/>
      <c r="N44" s="52"/>
      <c r="O44" s="52"/>
    </row>
    <row r="45">
      <c r="A45" s="52"/>
      <c r="B45" s="52"/>
      <c r="C45" s="52"/>
      <c r="D45" s="52"/>
      <c r="E45" s="52"/>
      <c r="F45" s="52"/>
      <c r="G45" s="52"/>
      <c r="H45" s="52"/>
      <c r="I45" s="52"/>
      <c r="J45" s="52"/>
      <c r="K45" s="52"/>
      <c r="L45" s="52"/>
      <c r="M45" s="52"/>
      <c r="N45" s="52"/>
      <c r="O45" s="52"/>
    </row>
    <row r="46" ht="15">
      <c r="A46" s="52"/>
      <c r="B46" s="52"/>
      <c r="C46" s="52"/>
      <c r="D46" s="52"/>
      <c r="E46" s="52"/>
      <c r="F46" s="580" t="s">
        <v>495</v>
      </c>
      <c r="H46" s="52"/>
      <c r="I46" s="52"/>
      <c r="J46" s="52"/>
      <c r="K46" s="52"/>
      <c r="L46" s="52"/>
      <c r="M46" s="52"/>
      <c r="N46" s="52"/>
      <c r="O46" s="52"/>
    </row>
  </sheetData>
  <mergeCells count="6">
    <mergeCell ref="A40:O43"/>
    <mergeCell ref="A25:O25"/>
    <mergeCell ref="G3:O5"/>
    <mergeCell ref="A26:O26"/>
    <mergeCell ref="A11:O19"/>
    <mergeCell ref="A28:O38"/>
  </mergeCells>
  <hyperlinks>
    <hyperlink r:id="rId1" ref="A26"/>
  </hyperlinks>
  <printOptions headings="0" gridLines="0"/>
  <pageMargins left="0.69999999999999996" right="0.69999999999999996" top="0.75" bottom="0.75" header="0.29999999999999999" footer="0.29999999999999999"/>
  <pageSetup paperSize="9" scale="100" fitToWidth="1" fitToHeight="1" pageOrder="downThenOver" orientation="portrait" usePrinterDefaults="1" blackAndWhite="0" draft="0" cellComments="none" useFirstPageNumber="0" errors="displayed" horizontalDpi="600" verticalDpi="600" copies="1"/>
  <headerFooter/>
  <drawing r:id="rId2"/>
</worksheet>
</file>

<file path=xl/worksheets/sheet2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sheetViews>
    <sheetView zoomScale="100" workbookViewId="0">
      <selection activeCell="A1" activeCellId="0" sqref="A1"/>
    </sheetView>
  </sheetViews>
  <sheetFormatPr baseColWidth="10" defaultColWidth="11.44140625" defaultRowHeight="14.4"/>
  <sheetData/>
  <printOptions headings="0" gridLines="0"/>
  <pageMargins left="0.69999999999999996" right="0.69999999999999996" top="0.75" bottom="0.75" header="0.29999999999999999" footer="0.29999999999999999"/>
  <pageSetup paperSize="9" scale="100" fitToWidth="1" fitToHeight="1" pageOrder="downThenOver" orientation="portrait" usePrinterDefaults="1" blackAndWhite="0" draft="0" cellComments="none" useFirstPageNumber="0" errors="displayed" horizontalDpi="600" verticalDpi="600" copies="1"/>
  <headerFooter/>
</worksheet>
</file>

<file path=xl/worksheets/sheet2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sheetPr codeName="Feuil8">
    <outlinePr applyStyles="0" summaryBelow="1" summaryRight="1" showOutlineSymbols="1"/>
    <pageSetUpPr autoPageBreaks="1" fitToPage="1"/>
  </sheetPr>
  <sheetViews>
    <sheetView zoomScale="100" workbookViewId="0">
      <selection activeCell="A8" activeCellId="0" sqref="8:8"/>
    </sheetView>
  </sheetViews>
  <sheetFormatPr baseColWidth="10" defaultColWidth="10.88671875" defaultRowHeight="14.4"/>
  <cols>
    <col min="1" max="16384" style="36" width="10.88671875"/>
  </cols>
  <sheetData>
    <row r="1">
      <c r="A1" s="581"/>
      <c r="B1" s="582"/>
      <c r="C1" s="582"/>
      <c r="D1" s="582"/>
      <c r="E1" s="582"/>
      <c r="F1" s="583"/>
      <c r="G1" s="581"/>
      <c r="H1" s="582"/>
      <c r="I1" s="582"/>
      <c r="J1" s="582"/>
      <c r="K1" s="582"/>
      <c r="L1" s="582"/>
      <c r="M1" s="582"/>
      <c r="N1" s="582"/>
      <c r="O1" s="583"/>
    </row>
    <row r="2">
      <c r="A2" s="584"/>
      <c r="B2" s="38"/>
      <c r="C2" s="38"/>
      <c r="D2" s="38"/>
      <c r="E2" s="38"/>
      <c r="F2" s="585"/>
      <c r="G2" s="584"/>
      <c r="H2" s="38"/>
      <c r="I2" s="38"/>
      <c r="J2" s="38"/>
      <c r="K2" s="38"/>
      <c r="L2" s="38"/>
      <c r="M2" s="38"/>
      <c r="N2" s="38"/>
      <c r="O2" s="585"/>
    </row>
    <row r="3">
      <c r="A3" s="584"/>
      <c r="B3" s="38"/>
      <c r="C3" s="38"/>
      <c r="D3" s="38"/>
      <c r="E3" s="38"/>
      <c r="F3" s="585"/>
      <c r="G3" s="584"/>
      <c r="H3" s="38"/>
      <c r="I3" s="38"/>
      <c r="J3" s="38"/>
      <c r="K3" s="38"/>
      <c r="L3" s="38"/>
      <c r="M3" s="38"/>
      <c r="N3" s="38"/>
      <c r="O3" s="585"/>
    </row>
    <row r="4">
      <c r="A4" s="584"/>
      <c r="B4" s="38"/>
      <c r="C4" s="38"/>
      <c r="D4" s="38"/>
      <c r="E4" s="38"/>
      <c r="F4" s="585"/>
      <c r="G4" s="584"/>
      <c r="H4" s="38"/>
      <c r="I4" s="38"/>
      <c r="J4" s="38"/>
      <c r="K4" s="38"/>
      <c r="L4" s="38"/>
      <c r="M4" s="38"/>
      <c r="N4" s="38"/>
      <c r="O4" s="585"/>
    </row>
    <row r="5">
      <c r="A5" s="584"/>
      <c r="B5" s="38"/>
      <c r="C5" s="38"/>
      <c r="D5" s="38"/>
      <c r="E5" s="38"/>
      <c r="F5" s="585"/>
      <c r="G5" s="584"/>
      <c r="H5" s="38"/>
      <c r="I5" s="38"/>
      <c r="J5" s="38"/>
      <c r="K5" s="38"/>
      <c r="L5" s="38"/>
      <c r="M5" s="38"/>
      <c r="N5" s="38"/>
      <c r="O5" s="585"/>
    </row>
    <row r="6">
      <c r="A6" s="584"/>
      <c r="B6" s="38"/>
      <c r="C6" s="38"/>
      <c r="D6" s="38"/>
      <c r="E6" s="38"/>
      <c r="F6" s="585"/>
      <c r="G6" s="584"/>
      <c r="H6" s="38"/>
      <c r="I6" s="38"/>
      <c r="J6" s="38"/>
      <c r="K6" s="38"/>
      <c r="L6" s="38"/>
      <c r="M6" s="38"/>
      <c r="N6" s="38"/>
      <c r="O6" s="585"/>
    </row>
    <row r="7">
      <c r="A7" s="584"/>
      <c r="B7" s="38"/>
      <c r="C7" s="38"/>
      <c r="D7" s="38"/>
      <c r="E7" s="38"/>
      <c r="F7" s="585"/>
      <c r="G7" s="584"/>
      <c r="H7" s="38"/>
      <c r="I7" s="38"/>
      <c r="J7" s="38"/>
      <c r="K7" s="38"/>
      <c r="L7" s="38"/>
      <c r="M7" s="38"/>
      <c r="N7" s="38"/>
      <c r="O7" s="585"/>
    </row>
    <row r="8" ht="21">
      <c r="A8" s="586"/>
      <c r="B8" s="587"/>
      <c r="C8" s="587"/>
      <c r="D8" s="587"/>
      <c r="E8" s="587"/>
      <c r="F8" s="588"/>
      <c r="G8" s="589"/>
      <c r="H8" s="587"/>
      <c r="I8" s="587"/>
      <c r="J8" s="587"/>
      <c r="K8" s="587"/>
      <c r="L8" s="587"/>
      <c r="M8" s="587"/>
      <c r="N8" s="587"/>
      <c r="O8" s="588"/>
    </row>
    <row r="9" ht="2.7000000000000002" customHeight="1">
      <c r="A9" s="590"/>
      <c r="B9" s="591"/>
      <c r="C9" s="591"/>
      <c r="D9" s="591"/>
      <c r="E9" s="591"/>
      <c r="F9" s="592"/>
      <c r="G9" s="590"/>
      <c r="H9" s="591"/>
      <c r="I9" s="591"/>
      <c r="J9" s="591"/>
      <c r="K9" s="591"/>
      <c r="L9" s="591"/>
      <c r="M9" s="591"/>
      <c r="N9" s="591"/>
      <c r="O9" s="592"/>
    </row>
    <row r="10">
      <c r="A10" s="593"/>
      <c r="B10" s="594"/>
      <c r="C10" s="594"/>
      <c r="D10" s="594"/>
      <c r="E10" s="594"/>
      <c r="F10" s="595"/>
      <c r="G10" s="593"/>
      <c r="H10" s="594"/>
      <c r="I10" s="594"/>
      <c r="J10" s="594"/>
      <c r="K10" s="594"/>
      <c r="L10" s="594"/>
      <c r="M10" s="594"/>
      <c r="N10" s="594"/>
      <c r="O10" s="595"/>
    </row>
    <row r="11">
      <c r="A11" s="212"/>
      <c r="F11" s="596"/>
      <c r="G11" s="212"/>
      <c r="O11" s="596"/>
    </row>
    <row r="12" ht="14.699999999999999" customHeight="1">
      <c r="A12" s="597"/>
      <c r="B12" s="598"/>
      <c r="C12" s="598"/>
      <c r="D12" s="598"/>
      <c r="E12" s="598"/>
      <c r="F12" s="599"/>
      <c r="G12" s="597"/>
      <c r="H12" s="598"/>
      <c r="I12" s="598"/>
      <c r="J12" s="598"/>
      <c r="K12" s="598"/>
      <c r="L12" s="598"/>
      <c r="M12" s="598"/>
      <c r="N12" s="598"/>
      <c r="O12" s="599"/>
    </row>
    <row r="13">
      <c r="A13" s="597"/>
      <c r="B13" s="598"/>
      <c r="C13" s="598"/>
      <c r="D13" s="598"/>
      <c r="E13" s="598"/>
      <c r="F13" s="599"/>
      <c r="G13" s="597"/>
      <c r="H13" s="598"/>
      <c r="I13" s="598"/>
      <c r="J13" s="598"/>
      <c r="K13" s="598"/>
      <c r="L13" s="598"/>
      <c r="M13" s="598"/>
      <c r="N13" s="598"/>
      <c r="O13" s="599"/>
    </row>
    <row r="14">
      <c r="A14" s="597"/>
      <c r="B14" s="598"/>
      <c r="C14" s="598"/>
      <c r="D14" s="598"/>
      <c r="E14" s="598"/>
      <c r="F14" s="599"/>
      <c r="G14" s="597"/>
      <c r="H14" s="598"/>
      <c r="I14" s="598"/>
      <c r="J14" s="598"/>
      <c r="K14" s="598"/>
      <c r="L14" s="598"/>
      <c r="M14" s="598"/>
      <c r="N14" s="598"/>
      <c r="O14" s="599"/>
    </row>
    <row r="15" ht="303" customHeight="1">
      <c r="A15" s="597"/>
      <c r="B15" s="598"/>
      <c r="C15" s="598"/>
      <c r="D15" s="598"/>
      <c r="E15" s="598"/>
      <c r="F15" s="599"/>
      <c r="G15" s="597"/>
      <c r="H15" s="598"/>
      <c r="I15" s="598"/>
      <c r="J15" s="598"/>
      <c r="K15" s="598"/>
      <c r="L15" s="598"/>
      <c r="M15" s="598"/>
      <c r="N15" s="598"/>
      <c r="O15" s="599"/>
    </row>
    <row r="16">
      <c r="A16" s="212"/>
      <c r="F16" s="596"/>
      <c r="G16" s="212"/>
      <c r="O16" s="596"/>
    </row>
    <row r="17">
      <c r="A17" s="212"/>
      <c r="F17" s="596"/>
      <c r="G17" s="212"/>
      <c r="O17" s="596"/>
    </row>
    <row r="18" ht="21">
      <c r="A18" s="212"/>
      <c r="F18" s="596"/>
      <c r="G18" s="212"/>
      <c r="H18" s="600"/>
      <c r="J18" s="488"/>
      <c r="O18" s="596"/>
    </row>
    <row r="19">
      <c r="A19" s="212"/>
      <c r="F19" s="596"/>
      <c r="G19" s="212"/>
      <c r="O19" s="596"/>
    </row>
    <row r="20">
      <c r="A20" s="212"/>
      <c r="F20" s="596"/>
      <c r="G20" s="212"/>
      <c r="O20" s="596"/>
    </row>
    <row r="21">
      <c r="A21" s="212"/>
      <c r="F21" s="596"/>
      <c r="G21" s="212"/>
      <c r="O21" s="596"/>
    </row>
    <row r="22">
      <c r="A22" s="212"/>
      <c r="F22" s="596"/>
      <c r="G22" s="212"/>
      <c r="O22" s="596"/>
    </row>
    <row r="23">
      <c r="A23" s="212"/>
      <c r="F23" s="596"/>
      <c r="G23" s="212"/>
      <c r="O23" s="596"/>
    </row>
    <row r="24">
      <c r="A24" s="212"/>
      <c r="F24" s="596"/>
      <c r="G24" s="212"/>
      <c r="O24" s="596"/>
    </row>
    <row r="25">
      <c r="A25" s="212"/>
      <c r="F25" s="596"/>
      <c r="G25" s="601"/>
      <c r="H25" s="37"/>
      <c r="I25" s="37"/>
      <c r="J25" s="37"/>
      <c r="K25" s="37"/>
      <c r="L25" s="37"/>
      <c r="M25" s="37"/>
      <c r="N25" s="37"/>
      <c r="O25" s="602"/>
    </row>
    <row r="26">
      <c r="A26" s="212"/>
      <c r="F26" s="596"/>
      <c r="G26" s="601"/>
      <c r="H26" s="37"/>
      <c r="I26" s="37"/>
      <c r="J26" s="37"/>
      <c r="K26" s="37"/>
      <c r="L26" s="37"/>
      <c r="M26" s="37"/>
      <c r="N26" s="37"/>
      <c r="O26" s="602"/>
    </row>
    <row r="27">
      <c r="A27" s="212"/>
      <c r="F27" s="596"/>
      <c r="G27" s="601"/>
      <c r="H27" s="37"/>
      <c r="I27" s="37"/>
      <c r="J27" s="37"/>
      <c r="K27" s="37"/>
      <c r="L27" s="37"/>
      <c r="M27" s="37"/>
      <c r="N27" s="37"/>
      <c r="O27" s="602"/>
    </row>
    <row r="28">
      <c r="A28" s="212"/>
      <c r="F28" s="596"/>
      <c r="G28" s="601"/>
      <c r="H28" s="37"/>
      <c r="I28" s="37"/>
      <c r="J28" s="37"/>
      <c r="K28" s="37"/>
      <c r="L28" s="37"/>
      <c r="M28" s="37"/>
      <c r="N28" s="37"/>
      <c r="O28" s="602"/>
    </row>
    <row r="29">
      <c r="A29" s="212"/>
      <c r="F29" s="596"/>
      <c r="G29" s="601"/>
      <c r="H29" s="37"/>
      <c r="I29" s="37"/>
      <c r="J29" s="37"/>
      <c r="K29" s="37"/>
      <c r="L29" s="37"/>
      <c r="M29" s="37"/>
      <c r="N29" s="37"/>
      <c r="O29" s="602"/>
    </row>
    <row r="30">
      <c r="A30" s="212"/>
      <c r="F30" s="596"/>
      <c r="G30" s="601"/>
      <c r="H30" s="37"/>
      <c r="I30" s="37"/>
      <c r="J30" s="37"/>
      <c r="K30" s="37"/>
      <c r="L30" s="37"/>
      <c r="M30" s="37"/>
      <c r="N30" s="37"/>
      <c r="O30" s="602"/>
    </row>
    <row r="31">
      <c r="A31" s="212"/>
      <c r="F31" s="596"/>
      <c r="G31" s="601"/>
      <c r="H31" s="37"/>
      <c r="I31" s="37"/>
      <c r="J31" s="37"/>
      <c r="K31" s="37"/>
      <c r="L31" s="37"/>
      <c r="M31" s="37"/>
      <c r="N31" s="37"/>
      <c r="O31" s="602"/>
    </row>
    <row r="32">
      <c r="A32" s="212"/>
      <c r="F32" s="596"/>
      <c r="G32" s="601"/>
      <c r="H32" s="37"/>
      <c r="I32" s="37"/>
      <c r="J32" s="37"/>
      <c r="K32" s="37"/>
      <c r="L32" s="37"/>
      <c r="M32" s="37"/>
      <c r="N32" s="37"/>
      <c r="O32" s="602"/>
    </row>
    <row r="33">
      <c r="A33" s="212"/>
      <c r="F33" s="596"/>
      <c r="G33" s="601"/>
      <c r="H33" s="37"/>
      <c r="I33" s="37"/>
      <c r="J33" s="37"/>
      <c r="K33" s="37"/>
      <c r="L33" s="37"/>
      <c r="M33" s="37"/>
      <c r="N33" s="37"/>
      <c r="O33" s="602"/>
    </row>
    <row r="34">
      <c r="A34" s="212"/>
      <c r="F34" s="596"/>
      <c r="G34" s="601"/>
      <c r="H34" s="37"/>
      <c r="I34" s="37"/>
      <c r="J34" s="37"/>
      <c r="K34" s="37"/>
      <c r="L34" s="37"/>
      <c r="M34" s="37"/>
      <c r="N34" s="37"/>
      <c r="O34" s="602"/>
    </row>
    <row r="35">
      <c r="A35" s="212"/>
      <c r="F35" s="596"/>
      <c r="G35" s="601"/>
      <c r="H35" s="37"/>
      <c r="I35" s="37"/>
      <c r="J35" s="37"/>
      <c r="K35" s="37"/>
      <c r="L35" s="37"/>
      <c r="M35" s="37"/>
      <c r="N35" s="37"/>
      <c r="O35" s="602"/>
    </row>
    <row r="36">
      <c r="A36" s="212"/>
      <c r="F36" s="596"/>
      <c r="G36" s="601"/>
      <c r="H36" s="37"/>
      <c r="I36" s="37"/>
      <c r="J36" s="37"/>
      <c r="K36" s="37"/>
      <c r="L36" s="37"/>
      <c r="M36" s="37"/>
      <c r="N36" s="37"/>
      <c r="O36" s="602"/>
    </row>
    <row r="37">
      <c r="A37" s="212"/>
      <c r="F37" s="596"/>
      <c r="G37" s="601"/>
      <c r="H37" s="37"/>
      <c r="I37" s="37"/>
      <c r="J37" s="37"/>
      <c r="K37" s="37"/>
      <c r="L37" s="37"/>
      <c r="M37" s="37"/>
      <c r="N37" s="37"/>
      <c r="O37" s="602"/>
    </row>
    <row r="38" ht="4.9500000000000002" customHeight="1">
      <c r="A38" s="603"/>
      <c r="B38" s="604"/>
      <c r="C38" s="604"/>
      <c r="D38" s="604"/>
      <c r="E38" s="604"/>
      <c r="F38" s="605"/>
      <c r="G38" s="606"/>
      <c r="H38" s="607"/>
      <c r="I38" s="607"/>
      <c r="J38" s="607"/>
      <c r="K38" s="607"/>
      <c r="L38" s="607"/>
      <c r="M38" s="607"/>
      <c r="N38" s="607"/>
      <c r="O38" s="608"/>
    </row>
  </sheetData>
  <printOptions headings="0" gridLines="0" horizontalCentered="1"/>
  <pageMargins left="0.70866141732283472" right="0.70866141732283472" top="0.74803149606299213" bottom="0.74803149606299213" header="0.31496062992125984" footer="0.31496062992125984"/>
  <pageSetup paperSize="9" scale="58" fitToWidth="1" fitToHeight="1" pageOrder="downThenOver" orientation="landscape" usePrinterDefaults="1" blackAndWhite="0" draft="0" cellComments="none" useFirstPageNumber="0" errors="displayed" horizontalDpi="600" verticalDpi="600" copies="1"/>
  <headerFooter/>
  <drawing r:id="rId1"/>
</worksheet>
</file>

<file path=docProps/app.xml><?xml version="1.0" encoding="utf-8"?>
<Properties xmlns="http://schemas.openxmlformats.org/officeDocument/2006/extended-properties" xmlns:vt="http://schemas.openxmlformats.org/officeDocument/2006/docPropsVTypes">
  <Application>ONLYOFFICE/9.3.1.8</Application>
  <DocSecurity>0</DocSecurity>
  <ScaleCrop>0</ScaleCrop>
  <HeadingPairs>
    <vt:vector size="0" baseType="variant"/>
  </HeadingPairs>
  <TitlesOfParts>
    <vt:vector size="0" baseType="lpstr"/>
  </TitlesOfParts>
  <Manager/>
  <Company/>
  <LinksUpToDate>0</LinksUpToDate>
  <SharedDoc>0</SharedDoc>
  <HyperlinkBase/>
  <HyperlinksChanged>0</HyperlinksChanged>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33609</dc:creator>
  <cp:keywords/>
  <dc:description/>
  <cp:revision>1</cp:revision>
  <dcterms:created xsi:type="dcterms:W3CDTF">2021-05-25T12:13:43Z</dcterms:created>
  <dcterms:modified xsi:type="dcterms:W3CDTF">2026-03-12T07:57:44Z</dcterms:modified>
  <cp:category/>
  <cp:contentStatus/>
</cp:coreProperties>
</file>